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pivotTables/pivotTable1.xml" ContentType="application/vnd.openxmlformats-officedocument.spreadsheetml.pivotTable+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theme/themeOverride1.xml" ContentType="application/vnd.openxmlformats-officedocument.themeOverride+xml"/>
  <Override PartName="/xl/drawings/drawing3.xml" ContentType="application/vnd.openxmlformats-officedocument.drawingml.chartshapes+xml"/>
  <Override PartName="/xl/charts/chart5.xml" ContentType="application/vnd.openxmlformats-officedocument.drawingml.chart+xml"/>
  <Override PartName="/xl/charts/style4.xml" ContentType="application/vnd.ms-office.chartstyle+xml"/>
  <Override PartName="/xl/charts/colors4.xml" ContentType="application/vnd.ms-office.chartcolorstyle+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theme/themeOverride2.xml" ContentType="application/vnd.openxmlformats-officedocument.themeOverride+xml"/>
  <Override PartName="/xl/drawings/drawing4.xml" ContentType="application/vnd.openxmlformats-officedocument.drawing+xml"/>
  <Override PartName="/xl/comments2.xml" ContentType="application/vnd.openxmlformats-officedocument.spreadsheetml.comments+xml"/>
  <Override PartName="/xl/drawings/drawing5.xml" ContentType="application/vnd.openxmlformats-officedocument.drawing+xml"/>
  <Override PartName="/xl/comments3.xml" ContentType="application/vnd.openxmlformats-officedocument.spreadsheetml.comments+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drawings/drawing6.xml" ContentType="application/vnd.openxmlformats-officedocument.drawing+xml"/>
  <Override PartName="/xl/charts/chart7.xml" ContentType="application/vnd.openxmlformats-officedocument.drawingml.chart+xml"/>
  <Override PartName="/xl/drawings/drawing7.xml" ContentType="application/vnd.openxmlformats-officedocument.drawingml.chartshapes+xml"/>
  <Override PartName="/xl/charts/chart8.xml" ContentType="application/vnd.openxmlformats-officedocument.drawingml.chart+xml"/>
  <Override PartName="/xl/charts/style6.xml" ContentType="application/vnd.ms-office.chartstyle+xml"/>
  <Override PartName="/xl/charts/colors6.xml" ContentType="application/vnd.ms-office.chartcolorstyle+xml"/>
  <Override PartName="/xl/theme/themeOverride3.xml" ContentType="application/vnd.openxmlformats-officedocument.themeOverride+xml"/>
  <Override PartName="/xl/drawings/drawing8.xml" ContentType="application/vnd.openxmlformats-officedocument.drawing+xml"/>
  <Override PartName="/xl/drawings/drawing9.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defaultThemeVersion="124226"/>
  <mc:AlternateContent xmlns:mc="http://schemas.openxmlformats.org/markup-compatibility/2006">
    <mc:Choice Requires="x15">
      <x15ac:absPath xmlns:x15ac="http://schemas.microsoft.com/office/spreadsheetml/2010/11/ac" url="C:\Users\ncasallas\Documents\Documents\Planeación Estrategica\12. PLAN DE ACCION\2019\Correcciones plan de accion\"/>
    </mc:Choice>
  </mc:AlternateContent>
  <bookViews>
    <workbookView xWindow="-120" yWindow="-120" windowWidth="20730" windowHeight="11160" tabRatio="750" firstSheet="1" activeTab="3"/>
  </bookViews>
  <sheets>
    <sheet name="PLAN DE ACCIÓN 2018" sheetId="1" state="hidden" r:id="rId1"/>
    <sheet name="Indicadores" sheetId="15" r:id="rId2"/>
    <sheet name="PLAN DE ACCIÓN 2019 Producto" sheetId="9" r:id="rId3"/>
    <sheet name="PLAN DE ACCIÓN 2019 Actividades" sheetId="14" r:id="rId4"/>
    <sheet name="Tablas" sheetId="8" r:id="rId5"/>
    <sheet name="PLAN DE DESARROLLO 2018" sheetId="3" state="hidden" r:id="rId6"/>
    <sheet name="Actividades Plan de Desarrollo" sheetId="6" state="hidden" r:id="rId7"/>
  </sheets>
  <externalReferences>
    <externalReference r:id="rId8"/>
    <externalReference r:id="rId9"/>
    <externalReference r:id="rId10"/>
    <externalReference r:id="rId11"/>
    <externalReference r:id="rId12"/>
    <externalReference r:id="rId13"/>
    <externalReference r:id="rId14"/>
  </externalReferences>
  <definedNames>
    <definedName name="_xlnm._FilterDatabase" localSheetId="0" hidden="1">'PLAN DE ACCIÓN 2018'!$B$8:$AQ$227</definedName>
    <definedName name="_xlnm._FilterDatabase" localSheetId="3" hidden="1">'PLAN DE ACCIÓN 2019 Actividades'!$B$5:$Y$255</definedName>
    <definedName name="_xlnm._FilterDatabase" localSheetId="2" hidden="1">'PLAN DE ACCIÓN 2019 Producto'!$B$6:$AF$79</definedName>
    <definedName name="_xlnm._FilterDatabase" localSheetId="5" hidden="1">'PLAN DE DESARROLLO 2018'!$A$5:$R$23</definedName>
    <definedName name="_xlnm.Print_Area" localSheetId="2">'PLAN DE ACCIÓN 2019 Producto'!$R$6:$Y$33</definedName>
    <definedName name="_xlnm.Print_Area" localSheetId="5">'PLAN DE DESARROLLO 2018'!$E$5:$P$23</definedName>
    <definedName name="SegmentaciónDeDatos_DEPENDENCIA">#N/A</definedName>
    <definedName name="SegmentaciónDeDatos_Estado_del_Producto">#N/A</definedName>
    <definedName name="SegmentaciónDeDatos_Tipo_de_resultado">#N/A</definedName>
  </definedNames>
  <calcPr calcId="162913"/>
  <pivotCaches>
    <pivotCache cacheId="0" r:id="rId15"/>
    <pivotCache cacheId="1" r:id="rId16"/>
  </pivotCaches>
  <extLst>
    <ext xmlns:x14="http://schemas.microsoft.com/office/spreadsheetml/2009/9/main" uri="{BBE1A952-AA13-448e-AADC-164F8A28A991}">
      <x14:slicerCaches>
        <x14:slicerCache r:id="rId17"/>
        <x14:slicerCache r:id="rId18"/>
        <x14:slicerCache r:id="rId19"/>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R79" i="9" l="1"/>
  <c r="X79" i="9" s="1"/>
  <c r="S30" i="14"/>
  <c r="E74" i="8"/>
  <c r="J99" i="15"/>
  <c r="J82" i="15"/>
  <c r="J64" i="15"/>
  <c r="J48" i="15"/>
  <c r="J65" i="15"/>
  <c r="J106" i="15"/>
  <c r="J89" i="15"/>
  <c r="J73" i="15"/>
  <c r="J55" i="15"/>
  <c r="J66" i="15"/>
  <c r="J104" i="15"/>
  <c r="J61" i="15"/>
  <c r="J105" i="15"/>
  <c r="J88" i="15"/>
  <c r="J62" i="15"/>
  <c r="J92" i="15"/>
  <c r="J45" i="15"/>
  <c r="E141" i="8"/>
  <c r="E135" i="8"/>
  <c r="E131" i="8"/>
  <c r="E127" i="8"/>
  <c r="E123" i="8"/>
  <c r="E118" i="8"/>
  <c r="E114" i="8"/>
  <c r="E110" i="8"/>
  <c r="E106" i="8"/>
  <c r="E102" i="8"/>
  <c r="E96" i="8"/>
  <c r="E92" i="8"/>
  <c r="E88" i="8"/>
  <c r="E84" i="8"/>
  <c r="E80" i="8"/>
  <c r="J113" i="15"/>
  <c r="J78" i="15"/>
  <c r="J60" i="15"/>
  <c r="J44" i="15"/>
  <c r="J102" i="15"/>
  <c r="J67" i="15"/>
  <c r="J51" i="15"/>
  <c r="J100" i="15"/>
  <c r="J101" i="15"/>
  <c r="J80" i="15"/>
  <c r="J83" i="15"/>
  <c r="E134" i="8"/>
  <c r="E126" i="8"/>
  <c r="E117" i="8"/>
  <c r="E109" i="8"/>
  <c r="E101" i="8"/>
  <c r="E91" i="8"/>
  <c r="E79" i="8"/>
  <c r="E75" i="8"/>
  <c r="J91" i="15"/>
  <c r="J96" i="15"/>
  <c r="J98" i="15"/>
  <c r="J63" i="15"/>
  <c r="J50" i="15"/>
  <c r="J115" i="15"/>
  <c r="J76" i="15"/>
  <c r="J69" i="15"/>
  <c r="E139" i="8"/>
  <c r="E129" i="8"/>
  <c r="E121" i="8"/>
  <c r="E112" i="8"/>
  <c r="E104" i="8"/>
  <c r="E94" i="8"/>
  <c r="E86" i="8"/>
  <c r="E78" i="8"/>
  <c r="J103" i="15"/>
  <c r="J86" i="15"/>
  <c r="J68" i="15"/>
  <c r="J52" i="15"/>
  <c r="J79" i="15"/>
  <c r="J112" i="15"/>
  <c r="J94" i="15"/>
  <c r="J77" i="15"/>
  <c r="J59" i="15"/>
  <c r="J84" i="15"/>
  <c r="J114" i="15"/>
  <c r="J75" i="15"/>
  <c r="J111" i="15"/>
  <c r="J93" i="15"/>
  <c r="J72" i="15"/>
  <c r="J110" i="15"/>
  <c r="J57" i="15"/>
  <c r="E142" i="8"/>
  <c r="E138" i="8"/>
  <c r="E132" i="8"/>
  <c r="E128" i="8"/>
  <c r="E124" i="8"/>
  <c r="E120" i="8"/>
  <c r="E115" i="8"/>
  <c r="E111" i="8"/>
  <c r="E107" i="8"/>
  <c r="E103" i="8"/>
  <c r="E97" i="8"/>
  <c r="E93" i="8"/>
  <c r="E89" i="8"/>
  <c r="E85" i="8"/>
  <c r="E81" i="8"/>
  <c r="E77" i="8"/>
  <c r="E76" i="8"/>
  <c r="J95" i="15"/>
  <c r="J53" i="15"/>
  <c r="J85" i="15"/>
  <c r="J58" i="15"/>
  <c r="J49" i="15"/>
  <c r="J54" i="15"/>
  <c r="E144" i="8"/>
  <c r="E140" i="8"/>
  <c r="E130" i="8"/>
  <c r="E122" i="8"/>
  <c r="E113" i="8"/>
  <c r="E105" i="8"/>
  <c r="E95" i="8"/>
  <c r="E87" i="8"/>
  <c r="E83" i="8"/>
  <c r="J109" i="15"/>
  <c r="J74" i="15"/>
  <c r="J56" i="15"/>
  <c r="E73" i="8"/>
  <c r="J81" i="15"/>
  <c r="J47" i="15"/>
  <c r="J87" i="15"/>
  <c r="J97" i="15"/>
  <c r="J46" i="15"/>
  <c r="E143" i="8"/>
  <c r="E133" i="8"/>
  <c r="E125" i="8"/>
  <c r="E116" i="8"/>
  <c r="E108" i="8"/>
  <c r="E98" i="8"/>
  <c r="E90" i="8"/>
  <c r="E82" i="8"/>
  <c r="Z79" i="9" l="1"/>
  <c r="Y79" i="9"/>
  <c r="AA79" i="9"/>
  <c r="W237" i="14"/>
  <c r="Y237" i="14" s="1"/>
  <c r="W240" i="14"/>
  <c r="X240" i="14" s="1"/>
  <c r="W241" i="14"/>
  <c r="Y241" i="14" s="1"/>
  <c r="W244" i="14"/>
  <c r="Y244" i="14" s="1"/>
  <c r="W245" i="14"/>
  <c r="X245" i="14" s="1"/>
  <c r="W251" i="14"/>
  <c r="X251" i="14" s="1"/>
  <c r="W252" i="14"/>
  <c r="Y252" i="14" s="1"/>
  <c r="W188" i="14"/>
  <c r="Y188" i="14" s="1"/>
  <c r="W189" i="14"/>
  <c r="X241" i="14" l="1"/>
  <c r="X188" i="14"/>
  <c r="X244" i="14"/>
  <c r="X252" i="14"/>
  <c r="Y251" i="14"/>
  <c r="Y240" i="14"/>
  <c r="X237" i="14"/>
  <c r="Y245" i="14"/>
  <c r="AA65" i="9" l="1"/>
  <c r="X58" i="9"/>
  <c r="AA58" i="9" s="1"/>
  <c r="X43" i="9"/>
  <c r="AA43" i="9" s="1"/>
  <c r="CF16" i="15"/>
  <c r="CF15" i="15"/>
  <c r="CF14" i="15"/>
  <c r="Y58" i="9" l="1"/>
  <c r="Z58" i="9"/>
  <c r="Z65" i="9"/>
  <c r="Z43" i="9"/>
  <c r="B64" i="8"/>
  <c r="D451" i="8" l="1"/>
  <c r="E456" i="8"/>
  <c r="D453" i="8" s="1"/>
  <c r="B27" i="8"/>
  <c r="B13" i="8"/>
  <c r="W255" i="14"/>
  <c r="S255" i="14"/>
  <c r="W254" i="14"/>
  <c r="S254" i="14"/>
  <c r="W253" i="14"/>
  <c r="Y253" i="14" s="1"/>
  <c r="S253" i="14"/>
  <c r="S252" i="14"/>
  <c r="S251" i="14"/>
  <c r="W250" i="14"/>
  <c r="S250" i="14"/>
  <c r="W249" i="14"/>
  <c r="X249" i="14" s="1"/>
  <c r="S249" i="14"/>
  <c r="W248" i="14"/>
  <c r="X248" i="14" s="1"/>
  <c r="S248" i="14"/>
  <c r="W247" i="14"/>
  <c r="X247" i="14" s="1"/>
  <c r="S247" i="14"/>
  <c r="W246" i="14"/>
  <c r="S246" i="14"/>
  <c r="S245" i="14"/>
  <c r="S244" i="14"/>
  <c r="W243" i="14"/>
  <c r="S243" i="14"/>
  <c r="W242" i="14"/>
  <c r="S242" i="14"/>
  <c r="S241" i="14"/>
  <c r="S240" i="14"/>
  <c r="W239" i="14"/>
  <c r="X239" i="14" s="1"/>
  <c r="S239" i="14"/>
  <c r="W238" i="14"/>
  <c r="X238" i="14" s="1"/>
  <c r="S238" i="14"/>
  <c r="S237" i="14"/>
  <c r="W236" i="14"/>
  <c r="Y236" i="14" s="1"/>
  <c r="S236" i="14"/>
  <c r="W235" i="14"/>
  <c r="S235" i="14"/>
  <c r="W234" i="14"/>
  <c r="Y234" i="14" s="1"/>
  <c r="S234" i="14"/>
  <c r="W233" i="14"/>
  <c r="Y233" i="14" s="1"/>
  <c r="S233" i="14"/>
  <c r="W232" i="14"/>
  <c r="Y232" i="14" s="1"/>
  <c r="S232" i="14"/>
  <c r="W231" i="14"/>
  <c r="Y231" i="14" s="1"/>
  <c r="S231" i="14"/>
  <c r="W230" i="14"/>
  <c r="S230" i="14"/>
  <c r="W229" i="14"/>
  <c r="Y229" i="14" s="1"/>
  <c r="S229" i="14"/>
  <c r="W228" i="14"/>
  <c r="Y228" i="14" s="1"/>
  <c r="S228" i="14"/>
  <c r="W227" i="14"/>
  <c r="Y227" i="14" s="1"/>
  <c r="S227" i="14"/>
  <c r="W226" i="14"/>
  <c r="S226" i="14"/>
  <c r="W225" i="14"/>
  <c r="Y225" i="14" s="1"/>
  <c r="S225" i="14"/>
  <c r="W224" i="14"/>
  <c r="Y224" i="14" s="1"/>
  <c r="S224" i="14"/>
  <c r="W223" i="14"/>
  <c r="Y223" i="14" s="1"/>
  <c r="S223" i="14"/>
  <c r="W222" i="14"/>
  <c r="S222" i="14"/>
  <c r="W221" i="14"/>
  <c r="Y221" i="14" s="1"/>
  <c r="S221" i="14"/>
  <c r="W220" i="14"/>
  <c r="Y220" i="14" s="1"/>
  <c r="S220" i="14"/>
  <c r="W219" i="14"/>
  <c r="Y219" i="14" s="1"/>
  <c r="S219" i="14"/>
  <c r="W218" i="14"/>
  <c r="S218" i="14"/>
  <c r="W217" i="14"/>
  <c r="Y217" i="14" s="1"/>
  <c r="S217" i="14"/>
  <c r="W216" i="14"/>
  <c r="Y216" i="14" s="1"/>
  <c r="S216" i="14"/>
  <c r="W215" i="14"/>
  <c r="Y215" i="14" s="1"/>
  <c r="S215" i="14"/>
  <c r="W214" i="14"/>
  <c r="S214" i="14"/>
  <c r="W213" i="14"/>
  <c r="Y213" i="14" s="1"/>
  <c r="S213" i="14"/>
  <c r="W212" i="14"/>
  <c r="Y212" i="14" s="1"/>
  <c r="S212" i="14"/>
  <c r="W211" i="14"/>
  <c r="Y211" i="14" s="1"/>
  <c r="S211" i="14"/>
  <c r="W210" i="14"/>
  <c r="X210" i="14" s="1"/>
  <c r="S210" i="14"/>
  <c r="W209" i="14"/>
  <c r="X209" i="14" s="1"/>
  <c r="S209" i="14"/>
  <c r="W208" i="14"/>
  <c r="X208" i="14" s="1"/>
  <c r="S208" i="14"/>
  <c r="W207" i="14"/>
  <c r="X207" i="14" s="1"/>
  <c r="S207" i="14"/>
  <c r="W206" i="14"/>
  <c r="X206" i="14" s="1"/>
  <c r="S206" i="14"/>
  <c r="W205" i="14"/>
  <c r="X205" i="14" s="1"/>
  <c r="S205" i="14"/>
  <c r="W204" i="14"/>
  <c r="X204" i="14" s="1"/>
  <c r="S204" i="14"/>
  <c r="W203" i="14"/>
  <c r="X203" i="14" s="1"/>
  <c r="S203" i="14"/>
  <c r="W202" i="14"/>
  <c r="X202" i="14" s="1"/>
  <c r="S202" i="14"/>
  <c r="W201" i="14"/>
  <c r="X201" i="14" s="1"/>
  <c r="S201" i="14"/>
  <c r="W200" i="14"/>
  <c r="X200" i="14" s="1"/>
  <c r="S200" i="14"/>
  <c r="W199" i="14"/>
  <c r="X199" i="14" s="1"/>
  <c r="S199" i="14"/>
  <c r="W198" i="14"/>
  <c r="X198" i="14" s="1"/>
  <c r="S198" i="14"/>
  <c r="W197" i="14"/>
  <c r="X197" i="14" s="1"/>
  <c r="S197" i="14"/>
  <c r="W196" i="14"/>
  <c r="X196" i="14" s="1"/>
  <c r="S196" i="14"/>
  <c r="W195" i="14"/>
  <c r="X195" i="14" s="1"/>
  <c r="S195" i="14"/>
  <c r="W194" i="14"/>
  <c r="X194" i="14" s="1"/>
  <c r="S194" i="14"/>
  <c r="W193" i="14"/>
  <c r="X193" i="14" s="1"/>
  <c r="S193" i="14"/>
  <c r="W192" i="14"/>
  <c r="X192" i="14" s="1"/>
  <c r="S192" i="14"/>
  <c r="W191" i="14"/>
  <c r="X191" i="14" s="1"/>
  <c r="S191" i="14"/>
  <c r="W190" i="14"/>
  <c r="X190" i="14" s="1"/>
  <c r="S190" i="14"/>
  <c r="Y189" i="14"/>
  <c r="X189" i="14"/>
  <c r="S189" i="14"/>
  <c r="S188" i="14"/>
  <c r="W187" i="14"/>
  <c r="S187" i="14"/>
  <c r="W186" i="14"/>
  <c r="S186" i="14"/>
  <c r="W185" i="14"/>
  <c r="S185" i="14"/>
  <c r="W184" i="14"/>
  <c r="S184" i="14"/>
  <c r="W183" i="14"/>
  <c r="S183" i="14"/>
  <c r="W182" i="14"/>
  <c r="S182" i="14"/>
  <c r="W181" i="14"/>
  <c r="S181" i="14"/>
  <c r="W180" i="14"/>
  <c r="S180" i="14"/>
  <c r="W179" i="14"/>
  <c r="S179" i="14"/>
  <c r="W178" i="14"/>
  <c r="Y178" i="14" s="1"/>
  <c r="S178" i="14"/>
  <c r="W177" i="14"/>
  <c r="Y177" i="14" s="1"/>
  <c r="S177" i="14"/>
  <c r="W176" i="14"/>
  <c r="S176" i="14"/>
  <c r="W175" i="14"/>
  <c r="Y175" i="14" s="1"/>
  <c r="S175" i="14"/>
  <c r="W174" i="14"/>
  <c r="Y174" i="14" s="1"/>
  <c r="S174" i="14"/>
  <c r="W173" i="14"/>
  <c r="Y173" i="14" s="1"/>
  <c r="S173" i="14"/>
  <c r="W172" i="14"/>
  <c r="Y172" i="14" s="1"/>
  <c r="S172" i="14"/>
  <c r="W171" i="14"/>
  <c r="Y171" i="14" s="1"/>
  <c r="S171" i="14"/>
  <c r="W170" i="14"/>
  <c r="Y170" i="14" s="1"/>
  <c r="S170" i="14"/>
  <c r="W169" i="14"/>
  <c r="Y169" i="14" s="1"/>
  <c r="S169" i="14"/>
  <c r="W168" i="14"/>
  <c r="Y168" i="14" s="1"/>
  <c r="S168" i="14"/>
  <c r="W167" i="14"/>
  <c r="Y167" i="14" s="1"/>
  <c r="S167" i="14"/>
  <c r="W166" i="14"/>
  <c r="Y166" i="14" s="1"/>
  <c r="S166" i="14"/>
  <c r="W165" i="14"/>
  <c r="Y165" i="14" s="1"/>
  <c r="S165" i="14"/>
  <c r="W164" i="14"/>
  <c r="Y164" i="14" s="1"/>
  <c r="S164" i="14"/>
  <c r="W163" i="14"/>
  <c r="Y163" i="14" s="1"/>
  <c r="S163" i="14"/>
  <c r="W162" i="14"/>
  <c r="Y162" i="14" s="1"/>
  <c r="S162" i="14"/>
  <c r="W161" i="14"/>
  <c r="Y161" i="14" s="1"/>
  <c r="S161" i="14"/>
  <c r="W160" i="14"/>
  <c r="Y160" i="14" s="1"/>
  <c r="S160" i="14"/>
  <c r="W159" i="14"/>
  <c r="Y159" i="14" s="1"/>
  <c r="S159" i="14"/>
  <c r="W158" i="14"/>
  <c r="Y158" i="14" s="1"/>
  <c r="S158" i="14"/>
  <c r="W157" i="14"/>
  <c r="Y157" i="14" s="1"/>
  <c r="S157" i="14"/>
  <c r="W156" i="14"/>
  <c r="Y156" i="14" s="1"/>
  <c r="S156" i="14"/>
  <c r="W155" i="14"/>
  <c r="Y155" i="14" s="1"/>
  <c r="S155" i="14"/>
  <c r="W154" i="14"/>
  <c r="Y154" i="14" s="1"/>
  <c r="S154" i="14"/>
  <c r="W153" i="14"/>
  <c r="Y153" i="14" s="1"/>
  <c r="S153" i="14"/>
  <c r="W152" i="14"/>
  <c r="Y152" i="14" s="1"/>
  <c r="S152" i="14"/>
  <c r="W151" i="14"/>
  <c r="Y151" i="14" s="1"/>
  <c r="S151" i="14"/>
  <c r="W150" i="14"/>
  <c r="Y150" i="14" s="1"/>
  <c r="S150" i="14"/>
  <c r="W149" i="14"/>
  <c r="Y149" i="14" s="1"/>
  <c r="S149" i="14"/>
  <c r="W148" i="14"/>
  <c r="Y148" i="14" s="1"/>
  <c r="S148" i="14"/>
  <c r="W147" i="14"/>
  <c r="Y147" i="14" s="1"/>
  <c r="S147" i="14"/>
  <c r="W146" i="14"/>
  <c r="X146" i="14" s="1"/>
  <c r="S146" i="14"/>
  <c r="W145" i="14"/>
  <c r="X145" i="14" s="1"/>
  <c r="S145" i="14"/>
  <c r="W144" i="14"/>
  <c r="Y144" i="14" s="1"/>
  <c r="S144" i="14"/>
  <c r="W143" i="14"/>
  <c r="Y143" i="14" s="1"/>
  <c r="S143" i="14"/>
  <c r="W142" i="14"/>
  <c r="Y142" i="14" s="1"/>
  <c r="S142" i="14"/>
  <c r="W141" i="14"/>
  <c r="Y141" i="14" s="1"/>
  <c r="S141" i="14"/>
  <c r="W140" i="14"/>
  <c r="Y140" i="14" s="1"/>
  <c r="S140" i="14"/>
  <c r="W139" i="14"/>
  <c r="Y139" i="14" s="1"/>
  <c r="S139" i="14"/>
  <c r="W138" i="14"/>
  <c r="Y138" i="14" s="1"/>
  <c r="S138" i="14"/>
  <c r="W137" i="14"/>
  <c r="Y137" i="14" s="1"/>
  <c r="S137" i="14"/>
  <c r="W136" i="14"/>
  <c r="Y136" i="14" s="1"/>
  <c r="S136" i="14"/>
  <c r="W135" i="14"/>
  <c r="Y135" i="14" s="1"/>
  <c r="S135" i="14"/>
  <c r="W134" i="14"/>
  <c r="Y134" i="14" s="1"/>
  <c r="S134" i="14"/>
  <c r="W133" i="14"/>
  <c r="Y133" i="14" s="1"/>
  <c r="S133" i="14"/>
  <c r="W132" i="14"/>
  <c r="Y132" i="14" s="1"/>
  <c r="S132" i="14"/>
  <c r="W131" i="14"/>
  <c r="Y131" i="14" s="1"/>
  <c r="S131" i="14"/>
  <c r="W130" i="14"/>
  <c r="Y130" i="14" s="1"/>
  <c r="S130" i="14"/>
  <c r="W129" i="14"/>
  <c r="Y129" i="14" s="1"/>
  <c r="S129" i="14"/>
  <c r="W128" i="14"/>
  <c r="Y128" i="14" s="1"/>
  <c r="S128" i="14"/>
  <c r="W127" i="14"/>
  <c r="X127" i="14" s="1"/>
  <c r="S127" i="14"/>
  <c r="W126" i="14"/>
  <c r="X126" i="14" s="1"/>
  <c r="S126" i="14"/>
  <c r="W125" i="14"/>
  <c r="X125" i="14" s="1"/>
  <c r="S125" i="14"/>
  <c r="W124" i="14"/>
  <c r="X124" i="14" s="1"/>
  <c r="S124" i="14"/>
  <c r="W123" i="14"/>
  <c r="X123" i="14" s="1"/>
  <c r="S123" i="14"/>
  <c r="W122" i="14"/>
  <c r="X122" i="14" s="1"/>
  <c r="S122" i="14"/>
  <c r="W121" i="14"/>
  <c r="X121" i="14" s="1"/>
  <c r="S121" i="14"/>
  <c r="W120" i="14"/>
  <c r="X120" i="14" s="1"/>
  <c r="S120" i="14"/>
  <c r="W119" i="14"/>
  <c r="X119" i="14" s="1"/>
  <c r="S119" i="14"/>
  <c r="W118" i="14"/>
  <c r="X118" i="14" s="1"/>
  <c r="S118" i="14"/>
  <c r="W117" i="14"/>
  <c r="X117" i="14" s="1"/>
  <c r="S117" i="14"/>
  <c r="W116" i="14"/>
  <c r="X116" i="14" s="1"/>
  <c r="S116" i="14"/>
  <c r="W115" i="14"/>
  <c r="X115" i="14" s="1"/>
  <c r="S115" i="14"/>
  <c r="W114" i="14"/>
  <c r="X114" i="14" s="1"/>
  <c r="S114" i="14"/>
  <c r="W113" i="14"/>
  <c r="X113" i="14" s="1"/>
  <c r="S113" i="14"/>
  <c r="W112" i="14"/>
  <c r="X112" i="14" s="1"/>
  <c r="S112" i="14"/>
  <c r="W111" i="14"/>
  <c r="X111" i="14" s="1"/>
  <c r="S111" i="14"/>
  <c r="W110" i="14"/>
  <c r="X110" i="14" s="1"/>
  <c r="S110" i="14"/>
  <c r="W109" i="14"/>
  <c r="X109" i="14" s="1"/>
  <c r="S109" i="14"/>
  <c r="W108" i="14"/>
  <c r="X108" i="14" s="1"/>
  <c r="S108" i="14"/>
  <c r="W107" i="14"/>
  <c r="X107" i="14" s="1"/>
  <c r="S107" i="14"/>
  <c r="W106" i="14"/>
  <c r="X106" i="14" s="1"/>
  <c r="S106" i="14"/>
  <c r="W105" i="14"/>
  <c r="X105" i="14" s="1"/>
  <c r="S105" i="14"/>
  <c r="W104" i="14"/>
  <c r="X104" i="14" s="1"/>
  <c r="S104" i="14"/>
  <c r="W103" i="14"/>
  <c r="X103" i="14" s="1"/>
  <c r="S103" i="14"/>
  <c r="W102" i="14"/>
  <c r="X102" i="14" s="1"/>
  <c r="S102" i="14"/>
  <c r="W101" i="14"/>
  <c r="X101" i="14" s="1"/>
  <c r="S101" i="14"/>
  <c r="W100" i="14"/>
  <c r="X100" i="14" s="1"/>
  <c r="S100" i="14"/>
  <c r="W99" i="14"/>
  <c r="Y99" i="14" s="1"/>
  <c r="S99" i="14"/>
  <c r="W98" i="14"/>
  <c r="X98" i="14" s="1"/>
  <c r="S98" i="14"/>
  <c r="W97" i="14"/>
  <c r="S97" i="14"/>
  <c r="W96" i="14"/>
  <c r="Y96" i="14" s="1"/>
  <c r="S96" i="14"/>
  <c r="W95" i="14"/>
  <c r="Y95" i="14" s="1"/>
  <c r="S95" i="14"/>
  <c r="W94" i="14"/>
  <c r="Y94" i="14" s="1"/>
  <c r="S94" i="14"/>
  <c r="W93" i="14"/>
  <c r="S93" i="14"/>
  <c r="W92" i="14"/>
  <c r="Y92" i="14" s="1"/>
  <c r="S92" i="14"/>
  <c r="W91" i="14"/>
  <c r="Y91" i="14" s="1"/>
  <c r="S91" i="14"/>
  <c r="W90" i="14"/>
  <c r="Y90" i="14" s="1"/>
  <c r="S90" i="14"/>
  <c r="W89" i="14"/>
  <c r="S89" i="14"/>
  <c r="W88" i="14"/>
  <c r="Y88" i="14" s="1"/>
  <c r="S88" i="14"/>
  <c r="W87" i="14"/>
  <c r="Y87" i="14" s="1"/>
  <c r="S87" i="14"/>
  <c r="W86" i="14"/>
  <c r="X86" i="14" s="1"/>
  <c r="S86" i="14"/>
  <c r="W85" i="14"/>
  <c r="S85" i="14"/>
  <c r="W84" i="14"/>
  <c r="Y84" i="14" s="1"/>
  <c r="S84" i="14"/>
  <c r="W83" i="14"/>
  <c r="Y83" i="14" s="1"/>
  <c r="S83" i="14"/>
  <c r="W82" i="14"/>
  <c r="S82" i="14"/>
  <c r="W81" i="14"/>
  <c r="Y81" i="14" s="1"/>
  <c r="S81" i="14"/>
  <c r="W80" i="14"/>
  <c r="Y80" i="14" s="1"/>
  <c r="S80" i="14"/>
  <c r="W79" i="14"/>
  <c r="S79" i="14"/>
  <c r="W78" i="14"/>
  <c r="Y78" i="14" s="1"/>
  <c r="S78" i="14"/>
  <c r="W77" i="14"/>
  <c r="S77" i="14"/>
  <c r="W76" i="14"/>
  <c r="Y76" i="14" s="1"/>
  <c r="S76" i="14"/>
  <c r="W75" i="14"/>
  <c r="Y75" i="14" s="1"/>
  <c r="S75" i="14"/>
  <c r="W74" i="14"/>
  <c r="Y74" i="14" s="1"/>
  <c r="S74" i="14"/>
  <c r="W73" i="14"/>
  <c r="Y73" i="14" s="1"/>
  <c r="S73" i="14"/>
  <c r="W72" i="14"/>
  <c r="Y72" i="14" s="1"/>
  <c r="S72" i="14"/>
  <c r="W71" i="14"/>
  <c r="Y71" i="14" s="1"/>
  <c r="S71" i="14"/>
  <c r="W70" i="14"/>
  <c r="Y70" i="14" s="1"/>
  <c r="S70" i="14"/>
  <c r="W69" i="14"/>
  <c r="Y69" i="14" s="1"/>
  <c r="S69" i="14"/>
  <c r="W68" i="14"/>
  <c r="Y68" i="14" s="1"/>
  <c r="S68" i="14"/>
  <c r="W67" i="14"/>
  <c r="Y67" i="14" s="1"/>
  <c r="S67" i="14"/>
  <c r="W66" i="14"/>
  <c r="Y66" i="14" s="1"/>
  <c r="S66" i="14"/>
  <c r="W65" i="14"/>
  <c r="Y65" i="14" s="1"/>
  <c r="S65" i="14"/>
  <c r="W64" i="14"/>
  <c r="Y64" i="14" s="1"/>
  <c r="S64" i="14"/>
  <c r="W63" i="14"/>
  <c r="Y63" i="14" s="1"/>
  <c r="S63" i="14"/>
  <c r="W62" i="14"/>
  <c r="Y62" i="14" s="1"/>
  <c r="S62" i="14"/>
  <c r="W61" i="14"/>
  <c r="Y61" i="14" s="1"/>
  <c r="S61" i="14"/>
  <c r="W60" i="14"/>
  <c r="Y60" i="14" s="1"/>
  <c r="S60" i="14"/>
  <c r="W59" i="14"/>
  <c r="Y59" i="14" s="1"/>
  <c r="S59" i="14"/>
  <c r="W58" i="14"/>
  <c r="Y58" i="14" s="1"/>
  <c r="S58" i="14"/>
  <c r="W57" i="14"/>
  <c r="Y57" i="14" s="1"/>
  <c r="S57" i="14"/>
  <c r="W56" i="14"/>
  <c r="Y56" i="14" s="1"/>
  <c r="S56" i="14"/>
  <c r="W55" i="14"/>
  <c r="Y55" i="14" s="1"/>
  <c r="S55" i="14"/>
  <c r="W54" i="14"/>
  <c r="Y54" i="14" s="1"/>
  <c r="S54" i="14"/>
  <c r="W53" i="14"/>
  <c r="Y53" i="14" s="1"/>
  <c r="S53" i="14"/>
  <c r="W52" i="14"/>
  <c r="Y52" i="14" s="1"/>
  <c r="S52" i="14"/>
  <c r="W51" i="14"/>
  <c r="Y51" i="14" s="1"/>
  <c r="S51" i="14"/>
  <c r="W50" i="14"/>
  <c r="Y50" i="14" s="1"/>
  <c r="S50" i="14"/>
  <c r="W49" i="14"/>
  <c r="Y49" i="14" s="1"/>
  <c r="S49" i="14"/>
  <c r="W48" i="14"/>
  <c r="Y48" i="14" s="1"/>
  <c r="S48" i="14"/>
  <c r="W47" i="14"/>
  <c r="Y47" i="14" s="1"/>
  <c r="S47" i="14"/>
  <c r="W46" i="14"/>
  <c r="Y46" i="14" s="1"/>
  <c r="S46" i="14"/>
  <c r="W45" i="14"/>
  <c r="Y45" i="14" s="1"/>
  <c r="S45" i="14"/>
  <c r="W44" i="14"/>
  <c r="Y44" i="14" s="1"/>
  <c r="S44" i="14"/>
  <c r="W43" i="14"/>
  <c r="Y43" i="14" s="1"/>
  <c r="S43" i="14"/>
  <c r="W42" i="14"/>
  <c r="Y42" i="14" s="1"/>
  <c r="S42" i="14"/>
  <c r="W41" i="14"/>
  <c r="Y41" i="14" s="1"/>
  <c r="S41" i="14"/>
  <c r="W40" i="14"/>
  <c r="Y40" i="14" s="1"/>
  <c r="S40" i="14"/>
  <c r="W39" i="14"/>
  <c r="Y39" i="14" s="1"/>
  <c r="S39" i="14"/>
  <c r="W38" i="14"/>
  <c r="Y38" i="14" s="1"/>
  <c r="S38" i="14"/>
  <c r="W37" i="14"/>
  <c r="Y37" i="14" s="1"/>
  <c r="S37" i="14"/>
  <c r="W36" i="14"/>
  <c r="Y36" i="14" s="1"/>
  <c r="S36" i="14"/>
  <c r="W35" i="14"/>
  <c r="Y35" i="14" s="1"/>
  <c r="S35" i="14"/>
  <c r="W34" i="14"/>
  <c r="Y34" i="14" s="1"/>
  <c r="S34" i="14"/>
  <c r="W33" i="14"/>
  <c r="S33" i="14"/>
  <c r="W32" i="14"/>
  <c r="S32" i="14"/>
  <c r="W31" i="14"/>
  <c r="S31" i="14"/>
  <c r="W30" i="14"/>
  <c r="W29" i="14"/>
  <c r="S29" i="14"/>
  <c r="W28" i="14"/>
  <c r="S28" i="14"/>
  <c r="W27" i="14"/>
  <c r="S27" i="14"/>
  <c r="W26" i="14"/>
  <c r="S26" i="14"/>
  <c r="W25" i="14"/>
  <c r="S25" i="14"/>
  <c r="W24" i="14"/>
  <c r="Y24" i="14" s="1"/>
  <c r="S24" i="14"/>
  <c r="W23" i="14"/>
  <c r="Y23" i="14" s="1"/>
  <c r="S23" i="14"/>
  <c r="W22" i="14"/>
  <c r="Y22" i="14" s="1"/>
  <c r="S22" i="14"/>
  <c r="W21" i="14"/>
  <c r="Y21" i="14" s="1"/>
  <c r="S21" i="14"/>
  <c r="W20" i="14"/>
  <c r="Y20" i="14" s="1"/>
  <c r="S20" i="14"/>
  <c r="W19" i="14"/>
  <c r="Y19" i="14" s="1"/>
  <c r="S19" i="14"/>
  <c r="W18" i="14"/>
  <c r="Y18" i="14" s="1"/>
  <c r="S18" i="14"/>
  <c r="W17" i="14"/>
  <c r="Y17" i="14" s="1"/>
  <c r="S17" i="14"/>
  <c r="W16" i="14"/>
  <c r="Y16" i="14" s="1"/>
  <c r="S16" i="14"/>
  <c r="W15" i="14"/>
  <c r="Y15" i="14" s="1"/>
  <c r="S15" i="14"/>
  <c r="W14" i="14"/>
  <c r="Y14" i="14" s="1"/>
  <c r="S14" i="14"/>
  <c r="W13" i="14"/>
  <c r="Y13" i="14" s="1"/>
  <c r="S13" i="14"/>
  <c r="W12" i="14"/>
  <c r="Y12" i="14" s="1"/>
  <c r="S12" i="14"/>
  <c r="W11" i="14"/>
  <c r="Y11" i="14" s="1"/>
  <c r="S11" i="14"/>
  <c r="W10" i="14"/>
  <c r="S10" i="14"/>
  <c r="W9" i="14"/>
  <c r="S9" i="14"/>
  <c r="W8" i="14"/>
  <c r="Y8" i="14" s="1"/>
  <c r="S8" i="14"/>
  <c r="W7" i="14"/>
  <c r="Y7" i="14" s="1"/>
  <c r="S7" i="14"/>
  <c r="W6" i="14"/>
  <c r="Y6" i="14" s="1"/>
  <c r="S6" i="14"/>
  <c r="R78" i="9"/>
  <c r="R77" i="9"/>
  <c r="X77" i="9" s="1"/>
  <c r="R76" i="9"/>
  <c r="R75" i="9"/>
  <c r="R74" i="9"/>
  <c r="S74" i="9" s="1"/>
  <c r="R73" i="9"/>
  <c r="R72" i="9"/>
  <c r="X72" i="9" s="1"/>
  <c r="R71" i="9"/>
  <c r="X71" i="9" s="1"/>
  <c r="R70" i="9"/>
  <c r="X70" i="9" s="1"/>
  <c r="R69" i="9"/>
  <c r="X69" i="9" s="1"/>
  <c r="R68" i="9"/>
  <c r="X68" i="9" s="1"/>
  <c r="R67" i="9"/>
  <c r="R66" i="9"/>
  <c r="R64" i="9"/>
  <c r="R63" i="9"/>
  <c r="R62" i="9"/>
  <c r="R61" i="9"/>
  <c r="R60" i="9"/>
  <c r="X59" i="9"/>
  <c r="AA59" i="9" s="1"/>
  <c r="S59" i="9"/>
  <c r="S58" i="9"/>
  <c r="R57" i="9"/>
  <c r="X57" i="9" s="1"/>
  <c r="AA57" i="9" s="1"/>
  <c r="R56" i="9"/>
  <c r="X56" i="9" s="1"/>
  <c r="R55" i="9"/>
  <c r="X55" i="9" s="1"/>
  <c r="R54" i="9"/>
  <c r="R53" i="9"/>
  <c r="X53" i="9" s="1"/>
  <c r="R52" i="9"/>
  <c r="X52" i="9" s="1"/>
  <c r="R51" i="9"/>
  <c r="X51" i="9" s="1"/>
  <c r="X50" i="9"/>
  <c r="Z50" i="9" s="1"/>
  <c r="S50" i="9"/>
  <c r="R49" i="9"/>
  <c r="X49" i="9" s="1"/>
  <c r="R48" i="9"/>
  <c r="X48" i="9" s="1"/>
  <c r="R47" i="9"/>
  <c r="X47" i="9" s="1"/>
  <c r="R46" i="9"/>
  <c r="X46" i="9" s="1"/>
  <c r="R45" i="9"/>
  <c r="X45" i="9" s="1"/>
  <c r="R44" i="9"/>
  <c r="X44" i="9" s="1"/>
  <c r="R42" i="9"/>
  <c r="S42" i="9" s="1"/>
  <c r="R41" i="9"/>
  <c r="X41" i="9" s="1"/>
  <c r="R40" i="9"/>
  <c r="R39" i="9"/>
  <c r="S39" i="9" s="1"/>
  <c r="R38" i="9"/>
  <c r="X38" i="9" s="1"/>
  <c r="AA38" i="9" s="1"/>
  <c r="R37" i="9"/>
  <c r="X37" i="9" s="1"/>
  <c r="Y37" i="9" s="1"/>
  <c r="R36" i="9"/>
  <c r="X36" i="9" s="1"/>
  <c r="R35" i="9"/>
  <c r="X35" i="9" s="1"/>
  <c r="Y35" i="9" s="1"/>
  <c r="R34" i="9"/>
  <c r="R33" i="9"/>
  <c r="X33" i="9" s="1"/>
  <c r="R32" i="9"/>
  <c r="X32" i="9" s="1"/>
  <c r="R31" i="9"/>
  <c r="X31" i="9" s="1"/>
  <c r="R30" i="9"/>
  <c r="S30" i="9" s="1"/>
  <c r="R29" i="9"/>
  <c r="R28" i="9"/>
  <c r="R27" i="9"/>
  <c r="X27" i="9" s="1"/>
  <c r="R26" i="9"/>
  <c r="X26" i="9" s="1"/>
  <c r="R25" i="9"/>
  <c r="R24" i="9"/>
  <c r="X24" i="9" s="1"/>
  <c r="R23" i="9"/>
  <c r="R20" i="9"/>
  <c r="S20" i="9" s="1"/>
  <c r="R19" i="9"/>
  <c r="S19" i="9" s="1"/>
  <c r="R18" i="9"/>
  <c r="R17" i="9"/>
  <c r="S17" i="9" s="1"/>
  <c r="R16" i="9"/>
  <c r="S16" i="9" s="1"/>
  <c r="R15" i="9"/>
  <c r="S15" i="9" s="1"/>
  <c r="R14" i="9"/>
  <c r="R13" i="9"/>
  <c r="S13" i="9" s="1"/>
  <c r="R12" i="9"/>
  <c r="S12" i="9" s="1"/>
  <c r="R11" i="9"/>
  <c r="S11" i="9" s="1"/>
  <c r="R10" i="9"/>
  <c r="R9" i="9"/>
  <c r="S9" i="9" s="1"/>
  <c r="R8" i="9"/>
  <c r="S8" i="9" s="1"/>
  <c r="R7" i="9"/>
  <c r="S7" i="9" s="1"/>
  <c r="BU21" i="15"/>
  <c r="CI17" i="15"/>
  <c r="CF17" i="15"/>
  <c r="CC11" i="15"/>
  <c r="CC16" i="15" s="1"/>
  <c r="CB11" i="15"/>
  <c r="CB16" i="15" s="1"/>
  <c r="CA11" i="15"/>
  <c r="CA16" i="15" s="1"/>
  <c r="BZ11" i="15"/>
  <c r="BZ16" i="15" s="1"/>
  <c r="BY11" i="15"/>
  <c r="BY16" i="15" s="1"/>
  <c r="BX11" i="15"/>
  <c r="BX16" i="15" s="1"/>
  <c r="BW11" i="15"/>
  <c r="BW16" i="15" s="1"/>
  <c r="BV11" i="15"/>
  <c r="BV16" i="15" s="1"/>
  <c r="BU11" i="15"/>
  <c r="BU16" i="15" s="1"/>
  <c r="CF10" i="15"/>
  <c r="CE10" i="15"/>
  <c r="K68" i="1"/>
  <c r="J68" i="1"/>
  <c r="X26" i="1"/>
  <c r="AK14" i="1"/>
  <c r="AL14" i="1" s="1"/>
  <c r="AK13" i="1"/>
  <c r="AL13" i="1" s="1"/>
  <c r="AK12" i="1"/>
  <c r="AL12" i="1" s="1"/>
  <c r="AK11" i="1"/>
  <c r="AL11" i="1" s="1"/>
  <c r="AK10" i="1"/>
  <c r="AL10" i="1" s="1"/>
  <c r="AK9" i="1"/>
  <c r="AL9" i="1" s="1"/>
  <c r="X9" i="1"/>
  <c r="AA9" i="1" s="1"/>
  <c r="S9" i="1"/>
  <c r="X10" i="14" l="1"/>
  <c r="Y10" i="14"/>
  <c r="X26" i="14"/>
  <c r="Y26" i="14"/>
  <c r="X28" i="14"/>
  <c r="Y28" i="14"/>
  <c r="X30" i="14"/>
  <c r="Y30" i="14"/>
  <c r="X32" i="14"/>
  <c r="Y32" i="14"/>
  <c r="X9" i="14"/>
  <c r="Y9" i="14"/>
  <c r="X25" i="14"/>
  <c r="Y25" i="14"/>
  <c r="X27" i="14"/>
  <c r="Y27" i="14"/>
  <c r="X29" i="14"/>
  <c r="Y29" i="14"/>
  <c r="X31" i="14"/>
  <c r="Y31" i="14"/>
  <c r="X33" i="14"/>
  <c r="Y33" i="14"/>
  <c r="X187" i="14"/>
  <c r="Y187" i="14"/>
  <c r="AA51" i="9"/>
  <c r="Z51" i="9"/>
  <c r="Y51" i="9"/>
  <c r="AA68" i="9"/>
  <c r="Z68" i="9"/>
  <c r="Y68" i="9"/>
  <c r="AA69" i="9"/>
  <c r="Y69" i="9"/>
  <c r="Z69" i="9"/>
  <c r="AA72" i="9"/>
  <c r="Y72" i="9"/>
  <c r="Z72" i="9"/>
  <c r="S75" i="9"/>
  <c r="X75" i="9"/>
  <c r="AA53" i="9"/>
  <c r="Y53" i="9"/>
  <c r="Z53" i="9"/>
  <c r="S66" i="9"/>
  <c r="X66" i="9"/>
  <c r="S67" i="9"/>
  <c r="X67" i="9"/>
  <c r="Y70" i="9"/>
  <c r="Z70" i="9"/>
  <c r="AA70" i="9"/>
  <c r="Y71" i="9"/>
  <c r="AA71" i="9"/>
  <c r="Z71" i="9"/>
  <c r="S72" i="9"/>
  <c r="S73" i="9"/>
  <c r="X73" i="9"/>
  <c r="Y44" i="9"/>
  <c r="Z44" i="9"/>
  <c r="AA44" i="9"/>
  <c r="Y45" i="9"/>
  <c r="Z45" i="9"/>
  <c r="AA45" i="9"/>
  <c r="Y46" i="9"/>
  <c r="Z46" i="9"/>
  <c r="AA46" i="9"/>
  <c r="Y47" i="9"/>
  <c r="Z47" i="9"/>
  <c r="AA47" i="9"/>
  <c r="Y48" i="9"/>
  <c r="Z48" i="9"/>
  <c r="AA48" i="9"/>
  <c r="Y49" i="9"/>
  <c r="Z49" i="9"/>
  <c r="AA49" i="9"/>
  <c r="S23" i="9"/>
  <c r="X23" i="9"/>
  <c r="Y27" i="9"/>
  <c r="AA27" i="9"/>
  <c r="Z27" i="9"/>
  <c r="Y24" i="9"/>
  <c r="Z24" i="9"/>
  <c r="AA24" i="9"/>
  <c r="S25" i="9"/>
  <c r="X25" i="9"/>
  <c r="Y26" i="9"/>
  <c r="AA26" i="9"/>
  <c r="Z26" i="9"/>
  <c r="S28" i="9"/>
  <c r="X28" i="9"/>
  <c r="S29" i="9"/>
  <c r="X29" i="9"/>
  <c r="Z31" i="9"/>
  <c r="Y31" i="9"/>
  <c r="X61" i="14"/>
  <c r="X20" i="14"/>
  <c r="X135" i="14"/>
  <c r="Y101" i="14"/>
  <c r="X165" i="14"/>
  <c r="X37" i="14"/>
  <c r="X74" i="14"/>
  <c r="Y117" i="14"/>
  <c r="X88" i="14"/>
  <c r="Y113" i="14"/>
  <c r="X149" i="14"/>
  <c r="Y239" i="14"/>
  <c r="X58" i="14"/>
  <c r="X69" i="14"/>
  <c r="X92" i="14"/>
  <c r="X171" i="14"/>
  <c r="X172" i="14"/>
  <c r="X215" i="14"/>
  <c r="Y98" i="14"/>
  <c r="X24" i="14"/>
  <c r="X45" i="14"/>
  <c r="Y146" i="14"/>
  <c r="X157" i="14"/>
  <c r="X223" i="14"/>
  <c r="X42" i="14"/>
  <c r="X90" i="14"/>
  <c r="Y107" i="14"/>
  <c r="Y125" i="14"/>
  <c r="Y145" i="14"/>
  <c r="X163" i="14"/>
  <c r="X233" i="14"/>
  <c r="X13" i="14"/>
  <c r="Y86" i="14"/>
  <c r="X87" i="14"/>
  <c r="Y105" i="14"/>
  <c r="Y121" i="14"/>
  <c r="X137" i="14"/>
  <c r="Y249" i="14"/>
  <c r="Y59" i="9"/>
  <c r="Z59" i="9"/>
  <c r="X9" i="9"/>
  <c r="Z9" i="9" s="1"/>
  <c r="Z35" i="9"/>
  <c r="X17" i="9"/>
  <c r="S31" i="9"/>
  <c r="S56" i="9"/>
  <c r="Y38" i="9"/>
  <c r="X53" i="14"/>
  <c r="X94" i="14"/>
  <c r="X133" i="14"/>
  <c r="X143" i="14"/>
  <c r="X153" i="14"/>
  <c r="X161" i="14"/>
  <c r="Y190" i="14"/>
  <c r="Y191" i="14"/>
  <c r="Y192" i="14"/>
  <c r="Y193" i="14"/>
  <c r="Y194" i="14"/>
  <c r="Y195" i="14"/>
  <c r="Y196" i="14"/>
  <c r="Y197" i="14"/>
  <c r="Y198" i="14"/>
  <c r="Y199" i="14"/>
  <c r="Y200" i="14"/>
  <c r="Y201" i="14"/>
  <c r="Y202" i="14"/>
  <c r="Y203" i="14"/>
  <c r="Y204" i="14"/>
  <c r="Y205" i="14"/>
  <c r="Y206" i="14"/>
  <c r="Y207" i="14"/>
  <c r="Y208" i="14"/>
  <c r="Y209" i="14"/>
  <c r="Y210" i="14"/>
  <c r="X19" i="14"/>
  <c r="X23" i="14"/>
  <c r="X99" i="14"/>
  <c r="Y106" i="14"/>
  <c r="Y109" i="14"/>
  <c r="Y114" i="14"/>
  <c r="Y122" i="14"/>
  <c r="X147" i="14"/>
  <c r="X155" i="14"/>
  <c r="X178" i="14"/>
  <c r="X219" i="14"/>
  <c r="X15" i="14"/>
  <c r="X18" i="14"/>
  <c r="X22" i="14"/>
  <c r="X43" i="14"/>
  <c r="X59" i="14"/>
  <c r="X75" i="14"/>
  <c r="X11" i="14"/>
  <c r="X14" i="14"/>
  <c r="X17" i="14"/>
  <c r="X21" i="14"/>
  <c r="Y102" i="14"/>
  <c r="Y118" i="14"/>
  <c r="Y126" i="14"/>
  <c r="X129" i="14"/>
  <c r="X141" i="14"/>
  <c r="X151" i="14"/>
  <c r="X159" i="14"/>
  <c r="X167" i="14"/>
  <c r="X211" i="14"/>
  <c r="X227" i="14"/>
  <c r="Y247" i="14"/>
  <c r="X12" i="14"/>
  <c r="X16" i="14"/>
  <c r="Y100" i="14"/>
  <c r="Y104" i="14"/>
  <c r="Y108" i="14"/>
  <c r="Y112" i="14"/>
  <c r="Y116" i="14"/>
  <c r="Y120" i="14"/>
  <c r="Y124" i="14"/>
  <c r="Y127" i="14"/>
  <c r="X131" i="14"/>
  <c r="X139" i="14"/>
  <c r="X169" i="14"/>
  <c r="X39" i="14"/>
  <c r="X47" i="14"/>
  <c r="X50" i="14"/>
  <c r="X55" i="14"/>
  <c r="X63" i="14"/>
  <c r="X66" i="14"/>
  <c r="X71" i="14"/>
  <c r="X81" i="14"/>
  <c r="X96" i="14"/>
  <c r="Y103" i="14"/>
  <c r="Y111" i="14"/>
  <c r="Y115" i="14"/>
  <c r="Y119" i="14"/>
  <c r="Y123" i="14"/>
  <c r="X130" i="14"/>
  <c r="X134" i="14"/>
  <c r="X138" i="14"/>
  <c r="X142" i="14"/>
  <c r="X148" i="14"/>
  <c r="X152" i="14"/>
  <c r="X156" i="14"/>
  <c r="X160" i="14"/>
  <c r="X164" i="14"/>
  <c r="X168" i="14"/>
  <c r="X175" i="14"/>
  <c r="X217" i="14"/>
  <c r="X225" i="14"/>
  <c r="X49" i="14"/>
  <c r="X65" i="14"/>
  <c r="X78" i="14"/>
  <c r="X83" i="14"/>
  <c r="Y110" i="14"/>
  <c r="X34" i="14"/>
  <c r="X128" i="14"/>
  <c r="X132" i="14"/>
  <c r="X136" i="14"/>
  <c r="X140" i="14"/>
  <c r="X144" i="14"/>
  <c r="X150" i="14"/>
  <c r="X154" i="14"/>
  <c r="X158" i="14"/>
  <c r="X162" i="14"/>
  <c r="X166" i="14"/>
  <c r="X170" i="14"/>
  <c r="X213" i="14"/>
  <c r="X221" i="14"/>
  <c r="X229" i="14"/>
  <c r="Z38" i="9"/>
  <c r="X13" i="9"/>
  <c r="BV10" i="15" s="1"/>
  <c r="BV15" i="15" s="1"/>
  <c r="X42" i="9"/>
  <c r="Z42" i="9" s="1"/>
  <c r="S49" i="9"/>
  <c r="S52" i="9"/>
  <c r="S41" i="9"/>
  <c r="S45" i="9"/>
  <c r="X74" i="9"/>
  <c r="AA74" i="9" s="1"/>
  <c r="X39" i="9"/>
  <c r="Z39" i="9" s="1"/>
  <c r="X40" i="9"/>
  <c r="Z40" i="9" s="1"/>
  <c r="S40" i="9"/>
  <c r="AA33" i="9"/>
  <c r="Z33" i="9"/>
  <c r="Y33" i="9"/>
  <c r="S36" i="9"/>
  <c r="Z37" i="9"/>
  <c r="AA32" i="9"/>
  <c r="Z32" i="9"/>
  <c r="S33" i="9"/>
  <c r="X76" i="9"/>
  <c r="AA76" i="9" s="1"/>
  <c r="S76" i="9"/>
  <c r="Y32" i="9"/>
  <c r="Z41" i="9"/>
  <c r="AA41" i="9"/>
  <c r="S53" i="9"/>
  <c r="X54" i="9"/>
  <c r="BZ10" i="15" s="1"/>
  <c r="BZ15" i="15" s="1"/>
  <c r="S54" i="9"/>
  <c r="S57" i="9"/>
  <c r="Y50" i="9"/>
  <c r="AA50" i="9"/>
  <c r="S78" i="9"/>
  <c r="X78" i="9"/>
  <c r="AA78" i="9" s="1"/>
  <c r="AA36" i="9"/>
  <c r="Z36" i="9"/>
  <c r="Y36" i="9"/>
  <c r="S47" i="9"/>
  <c r="S70" i="9"/>
  <c r="S71" i="9"/>
  <c r="CA10" i="15"/>
  <c r="CA15" i="15" s="1"/>
  <c r="S68" i="9"/>
  <c r="S69" i="9"/>
  <c r="S77" i="9"/>
  <c r="X8" i="9"/>
  <c r="Y8" i="9" s="1"/>
  <c r="X12" i="9"/>
  <c r="Y12" i="9" s="1"/>
  <c r="X16" i="9"/>
  <c r="X20" i="9"/>
  <c r="S51" i="9"/>
  <c r="S55" i="9"/>
  <c r="Y79" i="14"/>
  <c r="X79" i="14"/>
  <c r="X246" i="14"/>
  <c r="Y246" i="14"/>
  <c r="X8" i="14"/>
  <c r="X35" i="14"/>
  <c r="X36" i="14"/>
  <c r="X38" i="14"/>
  <c r="X41" i="14"/>
  <c r="X51" i="14"/>
  <c r="X54" i="14"/>
  <c r="X57" i="14"/>
  <c r="X67" i="14"/>
  <c r="X70" i="14"/>
  <c r="X73" i="14"/>
  <c r="Y93" i="14"/>
  <c r="X93" i="14"/>
  <c r="Y214" i="14"/>
  <c r="X214" i="14"/>
  <c r="Y222" i="14"/>
  <c r="X222" i="14"/>
  <c r="Y230" i="14"/>
  <c r="X230" i="14"/>
  <c r="Y85" i="14"/>
  <c r="X85" i="14"/>
  <c r="Y250" i="14"/>
  <c r="X250" i="14"/>
  <c r="X46" i="14"/>
  <c r="X62" i="14"/>
  <c r="Y77" i="14"/>
  <c r="X77" i="14"/>
  <c r="Y82" i="14"/>
  <c r="X82" i="14"/>
  <c r="Y89" i="14"/>
  <c r="X89" i="14"/>
  <c r="Y97" i="14"/>
  <c r="X97" i="14"/>
  <c r="Y176" i="14"/>
  <c r="X176" i="14"/>
  <c r="Y218" i="14"/>
  <c r="X218" i="14"/>
  <c r="Y226" i="14"/>
  <c r="X226" i="14"/>
  <c r="X91" i="14"/>
  <c r="X95" i="14"/>
  <c r="X174" i="14"/>
  <c r="X212" i="14"/>
  <c r="X216" i="14"/>
  <c r="X220" i="14"/>
  <c r="X224" i="14"/>
  <c r="X228" i="14"/>
  <c r="X234" i="14"/>
  <c r="Y238" i="14"/>
  <c r="Y248" i="14"/>
  <c r="X231" i="14"/>
  <c r="X232" i="14"/>
  <c r="Y235" i="14"/>
  <c r="X235" i="14"/>
  <c r="Y243" i="14"/>
  <c r="X243" i="14"/>
  <c r="X6" i="14"/>
  <c r="X7" i="14"/>
  <c r="X40" i="14"/>
  <c r="X44" i="14"/>
  <c r="X48" i="14"/>
  <c r="X52" i="14"/>
  <c r="X56" i="14"/>
  <c r="X60" i="14"/>
  <c r="X64" i="14"/>
  <c r="X68" i="14"/>
  <c r="X72" i="14"/>
  <c r="X76" i="14"/>
  <c r="X80" i="14"/>
  <c r="X84" i="14"/>
  <c r="X173" i="14"/>
  <c r="X177" i="14"/>
  <c r="Y180" i="14"/>
  <c r="X180" i="14"/>
  <c r="Y182" i="14"/>
  <c r="X182" i="14"/>
  <c r="Y184" i="14"/>
  <c r="X184" i="14"/>
  <c r="Y186" i="14"/>
  <c r="X186" i="14"/>
  <c r="Y254" i="14"/>
  <c r="X254" i="14"/>
  <c r="Y242" i="14"/>
  <c r="X242" i="14"/>
  <c r="X253" i="14"/>
  <c r="Y255" i="14"/>
  <c r="X255" i="14"/>
  <c r="Y179" i="14"/>
  <c r="X179" i="14"/>
  <c r="Y181" i="14"/>
  <c r="X181" i="14"/>
  <c r="Y183" i="14"/>
  <c r="X183" i="14"/>
  <c r="Y185" i="14"/>
  <c r="X185" i="14"/>
  <c r="X236" i="14"/>
  <c r="S24" i="9"/>
  <c r="S26" i="9"/>
  <c r="S10" i="9"/>
  <c r="X10" i="9"/>
  <c r="S14" i="9"/>
  <c r="X14" i="9"/>
  <c r="S18" i="9"/>
  <c r="X18" i="9"/>
  <c r="X34" i="9"/>
  <c r="S34" i="9"/>
  <c r="Y55" i="9"/>
  <c r="AA55" i="9"/>
  <c r="Z55" i="9"/>
  <c r="Y52" i="9"/>
  <c r="AA52" i="9"/>
  <c r="Z52" i="9"/>
  <c r="Y41" i="9"/>
  <c r="S46" i="9"/>
  <c r="AA35" i="9"/>
  <c r="S27" i="9"/>
  <c r="X30" i="9"/>
  <c r="AA31" i="9"/>
  <c r="S35" i="9"/>
  <c r="S37" i="9"/>
  <c r="AA37" i="9"/>
  <c r="X7" i="9"/>
  <c r="X11" i="9"/>
  <c r="X15" i="9"/>
  <c r="X19" i="9"/>
  <c r="S32" i="9"/>
  <c r="S38" i="9"/>
  <c r="S44" i="9"/>
  <c r="S48" i="9"/>
  <c r="Z56" i="9"/>
  <c r="Y56" i="9"/>
  <c r="AA56" i="9"/>
  <c r="Z57" i="9"/>
  <c r="Y57" i="9"/>
  <c r="X61" i="9"/>
  <c r="S61" i="9"/>
  <c r="X63" i="9"/>
  <c r="S63" i="9"/>
  <c r="X60" i="9"/>
  <c r="S60" i="9"/>
  <c r="X62" i="9"/>
  <c r="S62" i="9"/>
  <c r="X64" i="9"/>
  <c r="S64" i="9"/>
  <c r="Z77" i="9"/>
  <c r="Y77" i="9"/>
  <c r="AA77" i="9"/>
  <c r="D456" i="8"/>
  <c r="C456" i="8"/>
  <c r="Y16" i="9" l="1"/>
  <c r="AA17" i="9"/>
  <c r="Y20" i="9"/>
  <c r="BU10" i="15"/>
  <c r="AA75" i="9"/>
  <c r="Y75" i="9"/>
  <c r="Z75" i="9"/>
  <c r="Y66" i="9"/>
  <c r="Z66" i="9"/>
  <c r="AA66" i="9"/>
  <c r="Y73" i="9"/>
  <c r="AA73" i="9"/>
  <c r="Z73" i="9"/>
  <c r="Y67" i="9"/>
  <c r="AA67" i="9"/>
  <c r="Z67" i="9"/>
  <c r="Y28" i="9"/>
  <c r="Z28" i="9"/>
  <c r="AA28" i="9"/>
  <c r="Y25" i="9"/>
  <c r="Z25" i="9"/>
  <c r="AA25" i="9"/>
  <c r="Y23" i="9"/>
  <c r="AA23" i="9"/>
  <c r="Z23" i="9"/>
  <c r="Y29" i="9"/>
  <c r="AA29" i="9"/>
  <c r="Z29" i="9"/>
  <c r="AA9" i="9"/>
  <c r="AA40" i="9"/>
  <c r="Y42" i="9"/>
  <c r="Z17" i="9"/>
  <c r="AA42" i="9"/>
  <c r="Y9" i="9"/>
  <c r="Y74" i="9"/>
  <c r="Z13" i="9"/>
  <c r="Z74" i="9"/>
  <c r="AA13" i="9"/>
  <c r="Y78" i="9"/>
  <c r="Y17" i="9"/>
  <c r="AA54" i="9"/>
  <c r="Y39" i="9"/>
  <c r="Z12" i="9"/>
  <c r="AA12" i="9"/>
  <c r="Z76" i="9"/>
  <c r="Y40" i="9"/>
  <c r="Y13" i="9"/>
  <c r="AA20" i="9"/>
  <c r="Z16" i="9"/>
  <c r="AA39" i="9"/>
  <c r="Y76" i="9"/>
  <c r="Y54" i="9"/>
  <c r="Z8" i="9"/>
  <c r="CC10" i="15"/>
  <c r="CC15" i="15" s="1"/>
  <c r="CB10" i="15"/>
  <c r="CB15" i="15" s="1"/>
  <c r="Z78" i="9"/>
  <c r="Z54" i="9"/>
  <c r="Z20" i="9"/>
  <c r="AA16" i="9"/>
  <c r="AA8" i="9"/>
  <c r="AA30" i="9"/>
  <c r="BX10" i="15"/>
  <c r="BX15" i="15" s="1"/>
  <c r="Y30" i="9"/>
  <c r="Z30" i="9"/>
  <c r="AA62" i="9"/>
  <c r="Y62" i="9"/>
  <c r="Z62" i="9"/>
  <c r="AA61" i="9"/>
  <c r="Z61" i="9"/>
  <c r="Y61" i="9"/>
  <c r="AA11" i="9"/>
  <c r="Y11" i="9"/>
  <c r="Z11" i="9"/>
  <c r="AA14" i="9"/>
  <c r="Y14" i="9"/>
  <c r="BW10" i="15"/>
  <c r="BW15" i="15" s="1"/>
  <c r="Z14" i="9"/>
  <c r="AA10" i="9"/>
  <c r="Y10" i="9"/>
  <c r="Z10" i="9"/>
  <c r="AA64" i="9"/>
  <c r="Y64" i="9"/>
  <c r="Z64" i="9"/>
  <c r="AA63" i="9"/>
  <c r="Z63" i="9"/>
  <c r="Y63" i="9"/>
  <c r="AA7" i="9"/>
  <c r="BU15" i="15"/>
  <c r="Z7" i="9"/>
  <c r="Y7" i="9"/>
  <c r="AA18" i="9"/>
  <c r="Y18" i="9"/>
  <c r="Z18" i="9"/>
  <c r="AA60" i="9"/>
  <c r="Y60" i="9"/>
  <c r="Z60" i="9"/>
  <c r="AA19" i="9"/>
  <c r="Z19" i="9"/>
  <c r="Y19" i="9"/>
  <c r="AA15" i="9"/>
  <c r="Y15" i="9"/>
  <c r="Z15" i="9"/>
  <c r="Z34" i="9"/>
  <c r="BY10" i="15"/>
  <c r="BY15" i="15" s="1"/>
  <c r="Y34" i="9"/>
  <c r="AA34" i="9"/>
</calcChain>
</file>

<file path=xl/comments1.xml><?xml version="1.0" encoding="utf-8"?>
<comments xmlns="http://schemas.openxmlformats.org/spreadsheetml/2006/main">
  <authors>
    <author>Soporte</author>
  </authors>
  <commentList>
    <comment ref="AA8" authorId="0" shapeId="0">
      <text>
        <r>
          <rPr>
            <sz val="9"/>
            <color indexed="81"/>
            <rFont val="Tahoma"/>
            <family val="2"/>
          </rPr>
          <t xml:space="preserve">EFICACIA PONDERADA DEL PLAN DE ACCIÓN, </t>
        </r>
        <r>
          <rPr>
            <b/>
            <sz val="9"/>
            <color indexed="81"/>
            <rFont val="Tahoma"/>
            <family val="2"/>
          </rPr>
          <t>SEGUIMIENTO A LAS METAS PROGRAMADAS</t>
        </r>
        <r>
          <rPr>
            <sz val="9"/>
            <color indexed="81"/>
            <rFont val="Tahoma"/>
            <family val="2"/>
          </rPr>
          <t xml:space="preserve">
</t>
        </r>
      </text>
    </comment>
    <comment ref="AL8" authorId="0" shapeId="0">
      <text>
        <r>
          <rPr>
            <sz val="9"/>
            <color indexed="81"/>
            <rFont val="Tahoma"/>
            <family val="2"/>
          </rPr>
          <t xml:space="preserve">AVANCE ACUMULADO A LA GESTIÓN DEL PLAN DE ACCIÓN= </t>
        </r>
        <r>
          <rPr>
            <b/>
            <sz val="9"/>
            <color indexed="81"/>
            <rFont val="Tahoma"/>
            <family val="2"/>
          </rPr>
          <t>AVANCE PONDERADO DE TODAS LAS ACTIVIDADES DEL PLAN DE ACCIÓN</t>
        </r>
        <r>
          <rPr>
            <sz val="9"/>
            <color indexed="81"/>
            <rFont val="Tahoma"/>
            <family val="2"/>
          </rPr>
          <t xml:space="preserve">
</t>
        </r>
      </text>
    </comment>
  </commentList>
</comments>
</file>

<file path=xl/comments2.xml><?xml version="1.0" encoding="utf-8"?>
<comments xmlns="http://schemas.openxmlformats.org/spreadsheetml/2006/main">
  <authors>
    <author>Soporte</author>
    <author>Edgar Andrés Ortiz Vivas</author>
  </authors>
  <commentList>
    <comment ref="AA6" authorId="0" shapeId="0">
      <text>
        <r>
          <rPr>
            <sz val="9"/>
            <color indexed="81"/>
            <rFont val="Tahoma"/>
            <family val="2"/>
          </rPr>
          <t xml:space="preserve">EFICACIA PONDERADA DEL PLAN DE ACCIÓN, </t>
        </r>
        <r>
          <rPr>
            <b/>
            <sz val="9"/>
            <color indexed="81"/>
            <rFont val="Tahoma"/>
            <family val="2"/>
          </rPr>
          <t>SEGUIMIENTO A LAS METAS PROGRAMADAS</t>
        </r>
        <r>
          <rPr>
            <sz val="9"/>
            <color indexed="81"/>
            <rFont val="Tahoma"/>
            <family val="2"/>
          </rPr>
          <t xml:space="preserve">
</t>
        </r>
      </text>
    </comment>
    <comment ref="N51" authorId="1" shapeId="0">
      <text>
        <r>
          <rPr>
            <b/>
            <sz val="9"/>
            <color indexed="81"/>
            <rFont val="Tahoma"/>
            <family val="2"/>
          </rPr>
          <t>Se modificó en %, para que la evaluación de la meta del producto esté acorde con los porcentajes de las actividades programadas. Revisar!</t>
        </r>
        <r>
          <rPr>
            <sz val="9"/>
            <color indexed="81"/>
            <rFont val="Tahoma"/>
            <family val="2"/>
          </rPr>
          <t xml:space="preserve">
</t>
        </r>
      </text>
    </comment>
    <comment ref="N54" authorId="1" shapeId="0">
      <text>
        <r>
          <rPr>
            <b/>
            <sz val="9"/>
            <color indexed="81"/>
            <rFont val="Tahoma"/>
            <family val="2"/>
          </rPr>
          <t>me permití cambiar el enfoque de la meta, para que se pueda gestionar el producto durante toda la vigencia, y no hasta el ultimo trimestre. Revisar y confirmar, gracias</t>
        </r>
        <r>
          <rPr>
            <sz val="9"/>
            <color indexed="81"/>
            <rFont val="Tahoma"/>
            <family val="2"/>
          </rPr>
          <t xml:space="preserve">
</t>
        </r>
      </text>
    </comment>
    <comment ref="H63" authorId="1" shapeId="0">
      <text>
        <r>
          <rPr>
            <sz val="9"/>
            <color indexed="81"/>
            <rFont val="Tahoma"/>
            <family val="2"/>
          </rPr>
          <t xml:space="preserve">cada producto debe contener como mínimo dos actividades
</t>
        </r>
      </text>
    </comment>
    <comment ref="N65" authorId="1" shapeId="0">
      <text>
        <r>
          <rPr>
            <b/>
            <sz val="9"/>
            <color indexed="81"/>
            <rFont val="Tahoma"/>
            <family val="2"/>
          </rPr>
          <t>Se modifico los % de acuerdo a la programación de las actividades que para el 1er trimestre se debe llevar el 50%, revisar!</t>
        </r>
        <r>
          <rPr>
            <sz val="9"/>
            <color indexed="81"/>
            <rFont val="Tahoma"/>
            <family val="2"/>
          </rPr>
          <t xml:space="preserve">
</t>
        </r>
      </text>
    </comment>
    <comment ref="N67" authorId="1" shapeId="0">
      <text>
        <r>
          <rPr>
            <b/>
            <sz val="9"/>
            <color indexed="81"/>
            <rFont val="Tahoma"/>
            <family val="2"/>
          </rPr>
          <t>se modifico de acuerdo al porcentaje de cumplimiento de las actividades, que guarde la proporción con la meta del producto., Revisar!</t>
        </r>
        <r>
          <rPr>
            <sz val="9"/>
            <color indexed="81"/>
            <rFont val="Tahoma"/>
            <family val="2"/>
          </rPr>
          <t xml:space="preserve">
</t>
        </r>
      </text>
    </comment>
    <comment ref="P74" authorId="1" shapeId="0">
      <text>
        <r>
          <rPr>
            <b/>
            <sz val="9"/>
            <color indexed="81"/>
            <rFont val="Tahoma"/>
            <family val="2"/>
          </rPr>
          <t>Se realizo el ajuste de 75% a 70%, de acuerdo a a planeación de ejecución de las actividades</t>
        </r>
      </text>
    </comment>
    <comment ref="P77" authorId="1" shapeId="0">
      <text>
        <r>
          <rPr>
            <b/>
            <sz val="9"/>
            <color indexed="81"/>
            <rFont val="Tahoma"/>
            <family val="2"/>
          </rPr>
          <t>Se realizo el ajuste de 80% a 75%, de acuerdo a a planeación de ejecución de las actividades</t>
        </r>
      </text>
    </comment>
    <comment ref="P78" authorId="1" shapeId="0">
      <text>
        <r>
          <rPr>
            <b/>
            <sz val="9"/>
            <color indexed="81"/>
            <rFont val="Tahoma"/>
            <family val="2"/>
          </rPr>
          <t>Se realizo el ajuste de 80% a 75%, de acuerdo a a planeación de ejecución de las actividades</t>
        </r>
      </text>
    </comment>
  </commentList>
</comments>
</file>

<file path=xl/comments3.xml><?xml version="1.0" encoding="utf-8"?>
<comments xmlns="http://schemas.openxmlformats.org/spreadsheetml/2006/main">
  <authors>
    <author>Edgar Andrés Ortiz Vivas</author>
    <author>Soporte</author>
    <author>cromero</author>
  </authors>
  <commentList>
    <comment ref="S5" authorId="0" shapeId="0">
      <text>
        <r>
          <rPr>
            <b/>
            <sz val="9"/>
            <color indexed="81"/>
            <rFont val="Tahoma"/>
            <family val="2"/>
          </rPr>
          <t>(I x AC)</t>
        </r>
        <r>
          <rPr>
            <sz val="9"/>
            <color indexed="81"/>
            <rFont val="Tahoma"/>
            <family val="2"/>
          </rPr>
          <t xml:space="preserve">
</t>
        </r>
      </text>
    </comment>
    <comment ref="W5" authorId="0" shapeId="0">
      <text>
        <r>
          <rPr>
            <b/>
            <sz val="9"/>
            <color indexed="81"/>
            <rFont val="Tahoma"/>
            <family val="2"/>
          </rPr>
          <t>(AI x AC)</t>
        </r>
        <r>
          <rPr>
            <sz val="9"/>
            <color indexed="81"/>
            <rFont val="Tahoma"/>
            <family val="2"/>
          </rPr>
          <t xml:space="preserve">
</t>
        </r>
      </text>
    </comment>
    <comment ref="X5" authorId="0" shapeId="0">
      <text>
        <r>
          <rPr>
            <b/>
            <sz val="9"/>
            <color indexed="81"/>
            <rFont val="Tahoma"/>
            <family val="2"/>
          </rPr>
          <t>(AF x AH)</t>
        </r>
        <r>
          <rPr>
            <sz val="9"/>
            <color indexed="81"/>
            <rFont val="Tahoma"/>
            <family val="2"/>
          </rPr>
          <t xml:space="preserve">
</t>
        </r>
      </text>
    </comment>
    <comment ref="Y5" authorId="1" shapeId="0">
      <text>
        <r>
          <rPr>
            <sz val="9"/>
            <color indexed="81"/>
            <rFont val="Tahoma"/>
            <family val="2"/>
          </rPr>
          <t xml:space="preserve">AVANCE ACUMULADO A LA GESTIÓN DEL PLAN DE ACCIÓN= </t>
        </r>
        <r>
          <rPr>
            <b/>
            <sz val="9"/>
            <color indexed="81"/>
            <rFont val="Tahoma"/>
            <family val="2"/>
          </rPr>
          <t>AVANCE PONDERADO DE TODAS LAS ACTIVIDADES DEL PLAN DE ACCIÓN</t>
        </r>
        <r>
          <rPr>
            <sz val="9"/>
            <color indexed="81"/>
            <rFont val="Tahoma"/>
            <family val="2"/>
          </rPr>
          <t xml:space="preserve">
(AI x I)</t>
        </r>
      </text>
    </comment>
    <comment ref="O30" authorId="0" shapeId="0">
      <text>
        <r>
          <rPr>
            <b/>
            <sz val="9"/>
            <color indexed="81"/>
            <rFont val="Tahoma"/>
            <family val="2"/>
          </rPr>
          <t xml:space="preserve">1. Adelantar la planeación de las diferentes actividades (Investigación documental, elaboración de plan de auditoría, memorandos, entre otros).
Adelantar las actividades (mesas de trabajo, entrevistas, encuestas, recopilación de evidencias)
</t>
        </r>
        <r>
          <rPr>
            <sz val="9"/>
            <color indexed="81"/>
            <rFont val="Tahoma"/>
            <family val="2"/>
          </rPr>
          <t xml:space="preserve">
Análisis de las evidencias y formulación de hallazgos u observaciones, plasmados en los informes 
Entrega del informe final, reporte electrónicos, memorandos, a las partes interesadas</t>
        </r>
      </text>
    </comment>
    <comment ref="O31" authorId="0" shapeId="0">
      <text>
        <r>
          <rPr>
            <b/>
            <sz val="9"/>
            <color indexed="81"/>
            <rFont val="Tahoma"/>
            <family val="2"/>
          </rPr>
          <t xml:space="preserve">1. Adelantar la planeación de las diferentes actividades (Investigación documental, elaboración de plan de auditoría, memorandos, entre otros).
Adelantar las actividades (mesas de trabajo, entrevistas, encuestas, recopilación de evidencias)
</t>
        </r>
        <r>
          <rPr>
            <sz val="9"/>
            <color indexed="81"/>
            <rFont val="Tahoma"/>
            <family val="2"/>
          </rPr>
          <t xml:space="preserve">
Análisis de las evidencias y formulación de hallazgos u observaciones, plasmados en los informes 
Entrega del informe final, reporte electrónicos, memorandos, a las partes interesadas</t>
        </r>
      </text>
    </comment>
    <comment ref="O32" authorId="0" shapeId="0">
      <text>
        <r>
          <rPr>
            <b/>
            <sz val="9"/>
            <color indexed="81"/>
            <rFont val="Tahoma"/>
            <family val="2"/>
          </rPr>
          <t xml:space="preserve">1. Adelantar la planeación de las diferentes actividades (Investigación documental, elaboración de plan de auditoría, memorandos, entre otros).
Adelantar las actividades (mesas de trabajo, entrevistas, encuestas, recopilación de evidencias)
</t>
        </r>
        <r>
          <rPr>
            <sz val="9"/>
            <color indexed="81"/>
            <rFont val="Tahoma"/>
            <family val="2"/>
          </rPr>
          <t xml:space="preserve">
Análisis de las evidencias y formulación de hallazgos u observaciones, plasmados en los informes 
Entrega del informe final, reporte electrónicos, memorandos, a las partes interesadas</t>
        </r>
      </text>
    </comment>
    <comment ref="O33" authorId="0" shapeId="0">
      <text>
        <r>
          <rPr>
            <b/>
            <sz val="9"/>
            <color indexed="81"/>
            <rFont val="Tahoma"/>
            <family val="2"/>
          </rPr>
          <t xml:space="preserve">1. Adelantar la planeación de las diferentes actividades (Investigación documental, elaboración de plan de auditoría, memorandos, entre otros).
Adelantar las actividades (mesas de trabajo, entrevistas, encuestas, recopilación de evidencias)
</t>
        </r>
        <r>
          <rPr>
            <sz val="9"/>
            <color indexed="81"/>
            <rFont val="Tahoma"/>
            <family val="2"/>
          </rPr>
          <t xml:space="preserve">
Análisis de las evidencias y formulación de hallazgos u observaciones, plasmados en los informes 
Entrega del informe final, reporte electrónicos, memorandos, a las partes interesadas</t>
        </r>
      </text>
    </comment>
    <comment ref="H193" authorId="0" shapeId="0">
      <text>
        <r>
          <rPr>
            <sz val="9"/>
            <color indexed="81"/>
            <rFont val="Tahoma"/>
            <family val="2"/>
          </rPr>
          <t xml:space="preserve">cada producto debe contener como mínimo dos actividades
</t>
        </r>
      </text>
    </comment>
    <comment ref="O235" authorId="2" shapeId="0">
      <text>
        <r>
          <rPr>
            <b/>
            <sz val="8"/>
            <color indexed="81"/>
            <rFont val="Tahoma"/>
            <family val="2"/>
          </rPr>
          <t>cromero:</t>
        </r>
        <r>
          <rPr>
            <sz val="8"/>
            <color indexed="81"/>
            <rFont val="Tahoma"/>
            <family val="2"/>
          </rPr>
          <t xml:space="preserve">
Meta Producto 103, meta proyecto 4k5</t>
        </r>
      </text>
    </comment>
    <comment ref="O236" authorId="2" shapeId="0">
      <text>
        <r>
          <rPr>
            <b/>
            <sz val="8"/>
            <color indexed="81"/>
            <rFont val="Tahoma"/>
            <family val="2"/>
          </rPr>
          <t>cromero:</t>
        </r>
        <r>
          <rPr>
            <sz val="8"/>
            <color indexed="81"/>
            <rFont val="Tahoma"/>
            <family val="2"/>
          </rPr>
          <t xml:space="preserve">
cromero:
Meta Producto 103, meta proyecto 4k5</t>
        </r>
      </text>
    </comment>
    <comment ref="O237" authorId="2" shapeId="0">
      <text>
        <r>
          <rPr>
            <b/>
            <sz val="8"/>
            <color indexed="81"/>
            <rFont val="Tahoma"/>
            <family val="2"/>
          </rPr>
          <t>cromero:</t>
        </r>
        <r>
          <rPr>
            <sz val="8"/>
            <color indexed="81"/>
            <rFont val="Tahoma"/>
            <family val="2"/>
          </rPr>
          <t xml:space="preserve">
cromero:
Meta Producto 103, meta proyecto 4k5</t>
        </r>
      </text>
    </comment>
    <comment ref="O238" authorId="2" shapeId="0">
      <text>
        <r>
          <rPr>
            <b/>
            <sz val="8"/>
            <color indexed="81"/>
            <rFont val="Tahoma"/>
            <family val="2"/>
          </rPr>
          <t>cromero:</t>
        </r>
        <r>
          <rPr>
            <sz val="8"/>
            <color indexed="81"/>
            <rFont val="Tahoma"/>
            <family val="2"/>
          </rPr>
          <t xml:space="preserve">
cromero:
Meta Producto 103, meta proyecto 4k5</t>
        </r>
      </text>
    </comment>
    <comment ref="O239" authorId="2" shapeId="0">
      <text>
        <r>
          <rPr>
            <b/>
            <sz val="8"/>
            <color indexed="81"/>
            <rFont val="Tahoma"/>
            <family val="2"/>
          </rPr>
          <t>cromero:</t>
        </r>
        <r>
          <rPr>
            <sz val="8"/>
            <color indexed="81"/>
            <rFont val="Tahoma"/>
            <family val="2"/>
          </rPr>
          <t xml:space="preserve">
cromero:
Meta Producto 103, meta proyecto 4k5</t>
        </r>
      </text>
    </comment>
    <comment ref="O240" authorId="2" shapeId="0">
      <text>
        <r>
          <rPr>
            <b/>
            <sz val="8"/>
            <color indexed="81"/>
            <rFont val="Tahoma"/>
            <family val="2"/>
          </rPr>
          <t>cromero:</t>
        </r>
        <r>
          <rPr>
            <sz val="8"/>
            <color indexed="81"/>
            <rFont val="Tahoma"/>
            <family val="2"/>
          </rPr>
          <t xml:space="preserve">
cromero:
Meta Producto 103, meta proyecto 4k5</t>
        </r>
      </text>
    </comment>
    <comment ref="O241" authorId="2" shapeId="0">
      <text>
        <r>
          <rPr>
            <b/>
            <sz val="8"/>
            <color indexed="81"/>
            <rFont val="Tahoma"/>
            <family val="2"/>
          </rPr>
          <t>cromero:</t>
        </r>
        <r>
          <rPr>
            <sz val="8"/>
            <color indexed="81"/>
            <rFont val="Tahoma"/>
            <family val="2"/>
          </rPr>
          <t xml:space="preserve">
cromero:
Meta Producto 103, meta proyecto 4k5</t>
        </r>
      </text>
    </comment>
    <comment ref="O242" authorId="2" shapeId="0">
      <text>
        <r>
          <rPr>
            <b/>
            <sz val="8"/>
            <color indexed="81"/>
            <rFont val="Tahoma"/>
            <family val="2"/>
          </rPr>
          <t>cromero:</t>
        </r>
        <r>
          <rPr>
            <sz val="8"/>
            <color indexed="81"/>
            <rFont val="Tahoma"/>
            <family val="2"/>
          </rPr>
          <t xml:space="preserve">
cromero:
Meta Producto 103, meta proyecto 4k5</t>
        </r>
      </text>
    </comment>
    <comment ref="O243" authorId="2" shapeId="0">
      <text>
        <r>
          <rPr>
            <b/>
            <sz val="8"/>
            <color indexed="81"/>
            <rFont val="Tahoma"/>
            <family val="2"/>
          </rPr>
          <t>cromero:</t>
        </r>
        <r>
          <rPr>
            <sz val="8"/>
            <color indexed="81"/>
            <rFont val="Tahoma"/>
            <family val="2"/>
          </rPr>
          <t xml:space="preserve">
cromero:
Meta Producto 103, meta proyecto 4k5</t>
        </r>
      </text>
    </comment>
    <comment ref="O244" authorId="2" shapeId="0">
      <text>
        <r>
          <rPr>
            <b/>
            <sz val="8"/>
            <color indexed="81"/>
            <rFont val="Tahoma"/>
            <family val="2"/>
          </rPr>
          <t>cromero:</t>
        </r>
        <r>
          <rPr>
            <sz val="8"/>
            <color indexed="81"/>
            <rFont val="Tahoma"/>
            <family val="2"/>
          </rPr>
          <t xml:space="preserve">
cromero:
Meta Producto 103, meta proyecto 4k5</t>
        </r>
      </text>
    </comment>
    <comment ref="O245" authorId="2" shapeId="0">
      <text>
        <r>
          <rPr>
            <b/>
            <sz val="8"/>
            <color indexed="81"/>
            <rFont val="Tahoma"/>
            <family val="2"/>
          </rPr>
          <t>cromero:</t>
        </r>
        <r>
          <rPr>
            <sz val="8"/>
            <color indexed="81"/>
            <rFont val="Tahoma"/>
            <family val="2"/>
          </rPr>
          <t xml:space="preserve">
cromero:
Meta Producto 103, meta proyecto 4k5</t>
        </r>
      </text>
    </comment>
  </commentList>
</comments>
</file>

<file path=xl/comments4.xml><?xml version="1.0" encoding="utf-8"?>
<comments xmlns="http://schemas.openxmlformats.org/spreadsheetml/2006/main">
  <authors>
    <author>Soporte</author>
  </authors>
  <commentList>
    <comment ref="C32" authorId="0" shapeId="0">
      <text>
        <r>
          <rPr>
            <b/>
            <sz val="9"/>
            <color indexed="81"/>
            <rFont val="Tahoma"/>
            <family val="2"/>
          </rPr>
          <t>Actividad transversal que no se encuentra en la matriz principal del plan de acción 2018</t>
        </r>
        <r>
          <rPr>
            <sz val="9"/>
            <color indexed="81"/>
            <rFont val="Tahoma"/>
            <family val="2"/>
          </rPr>
          <t xml:space="preserve">
</t>
        </r>
      </text>
    </comment>
  </commentList>
</comments>
</file>

<file path=xl/sharedStrings.xml><?xml version="1.0" encoding="utf-8"?>
<sst xmlns="http://schemas.openxmlformats.org/spreadsheetml/2006/main" count="5984" uniqueCount="1344">
  <si>
    <t>INFORMACIÓN INSTITUCIONAL</t>
  </si>
  <si>
    <t>INFORMACIÓN DEL PRODUCTO</t>
  </si>
  <si>
    <t>META DEL PERIODO</t>
  </si>
  <si>
    <t>INFORMACIÓN DE LAS ACTIVIDADES</t>
  </si>
  <si>
    <t>OBJETIVOS ESTRATEGICOS</t>
  </si>
  <si>
    <t>PROCESO</t>
  </si>
  <si>
    <t>DEPENDENCIA</t>
  </si>
  <si>
    <t>No.</t>
  </si>
  <si>
    <t>Nombre del producto</t>
  </si>
  <si>
    <t>% Ponderación Producto</t>
  </si>
  <si>
    <t>Meta Anual</t>
  </si>
  <si>
    <t>Unidad Medida</t>
  </si>
  <si>
    <t>Descripción Meta</t>
  </si>
  <si>
    <t>Responsable Producto</t>
  </si>
  <si>
    <t>1° TRIM</t>
  </si>
  <si>
    <t>2° TRIM</t>
  </si>
  <si>
    <t>3° TRIM</t>
  </si>
  <si>
    <t>4° TRIM</t>
  </si>
  <si>
    <t>ACTIVIDADES DEL PRODUCTO</t>
  </si>
  <si>
    <t>% Ponderación Actividades</t>
  </si>
  <si>
    <t>Fecha Inicio</t>
  </si>
  <si>
    <t>Fecha fin</t>
  </si>
  <si>
    <t>Responsable Actividad</t>
  </si>
  <si>
    <t>4. Fortalecer la capacidad de gestión y desarrollo institucional e interinstitucional, para consolidar la modernización de la UAECOB y llevarla a la excelencia</t>
  </si>
  <si>
    <t>1. Dirección</t>
  </si>
  <si>
    <t>Revista virtual: "Bomberos Hoy el Magazzine".</t>
  </si>
  <si>
    <t>Pdf.</t>
  </si>
  <si>
    <t>En el año se realizarán 12 publicaciones, en las cuales se destacará la  información más importante realizada durante el mes en curso, para de esta forma mantener actualizado al personal de la UAECOB.</t>
  </si>
  <si>
    <t>Oficina Asesora Prensa y Comunicaciones</t>
  </si>
  <si>
    <t xml:space="preserve">Recopilación de la información del mes. </t>
  </si>
  <si>
    <t>Diseño</t>
  </si>
  <si>
    <t>Publicación de la revista virtual a toda la UAECOB</t>
  </si>
  <si>
    <t>Bomberos Hoy el Informativo.</t>
  </si>
  <si>
    <t>Piezas audiovisuales.</t>
  </si>
  <si>
    <t>Mediante la divulgación de 44 Noticieros en el año, se pretende informar a la comunidad interna y externa de las actividades realizadas por la UAECOB, en materia operativa y administrativa.</t>
  </si>
  <si>
    <t xml:space="preserve">Grabación de la nota.        </t>
  </si>
  <si>
    <t xml:space="preserve">Edición.          </t>
  </si>
  <si>
    <t>Publicación.</t>
  </si>
  <si>
    <t>Crónica: Bomberos de corazón.</t>
  </si>
  <si>
    <t>Generar 24 piezas audiovisuales en el año, con el fin de visibilizar las historias de vida laborales y/o personales de los Bomberos de Bogotá.</t>
  </si>
  <si>
    <t xml:space="preserve">Investigación del tema.            </t>
  </si>
  <si>
    <t xml:space="preserve">Grabación.      </t>
  </si>
  <si>
    <t>Publicación</t>
  </si>
  <si>
    <t xml:space="preserve">Acciones Bomberiles. </t>
  </si>
  <si>
    <t>En 24 publicaciones durante el año, generar un informe de actividades operativas y administrativas de interés general.</t>
  </si>
  <si>
    <t>Recopilación  de la información.</t>
  </si>
  <si>
    <t>Foto de la semana</t>
  </si>
  <si>
    <t>Pieza gráfica.</t>
  </si>
  <si>
    <t>Mediante 44 imágenes, una cada semana, dar a conocer el hecho o atención de emergencia más relevante de la semana en curso.</t>
  </si>
  <si>
    <t>Toma fotográfica de las los incidentes y actividades administrativas de la UAECOB.</t>
  </si>
  <si>
    <t>Selección de la mejor imagen por relevancia</t>
  </si>
  <si>
    <t>diseño y publicación.</t>
  </si>
  <si>
    <t>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t>
  </si>
  <si>
    <t>2. Oficina de Control Interno</t>
  </si>
  <si>
    <t>Plan anual de auditoria vigencia 2018</t>
  </si>
  <si>
    <t>Cumplir el 100% de las actividades programadas</t>
  </si>
  <si>
    <t>Oficina de Control Interno</t>
  </si>
  <si>
    <t>Informes, actas, reportes electrónicos, entre otros</t>
  </si>
  <si>
    <t>Oficina Control Interno</t>
  </si>
  <si>
    <t>3. Oficina Asesora de Planeación</t>
  </si>
  <si>
    <t>Líder Grupo de Mejora Continua - Darwin Baquero</t>
  </si>
  <si>
    <t xml:space="preserve">*Continuación - Ventanilla única de atención ciudadano. </t>
  </si>
  <si>
    <t>Implementación de un servicio y/o tramite en la ventanilla única de Atención al Ciudadano.</t>
  </si>
  <si>
    <t xml:space="preserve">Finalizar el desarrollo y/o prototipo del sistema de información.40%
</t>
  </si>
  <si>
    <t>Luis Alberto Carmona</t>
  </si>
  <si>
    <t>Pruebas del sistema de información.</t>
  </si>
  <si>
    <t>Puesta en producción de la solución desarrollada.</t>
  </si>
  <si>
    <t>*Continuación - Aplicación móvil para el sistema de información Misional Implementada</t>
  </si>
  <si>
    <t>Mariano Garrido</t>
  </si>
  <si>
    <t>Desarrollo e implementación del Aplicativo.</t>
  </si>
  <si>
    <t>Ivan Medina Talero</t>
  </si>
  <si>
    <t>*Continuación - Herramienta tecnológica para la creación y administración de cursos virtuales en la UEA implementada</t>
  </si>
  <si>
    <t>Herramienta implementada</t>
  </si>
  <si>
    <t>Instalación, configuración y desarrollo de los módulos en la herramienta.</t>
  </si>
  <si>
    <t>Diana Poveda</t>
  </si>
  <si>
    <t>Pruebas de la herramienta, aprobación, puesta en producción y publicación de los módulos desarrollados.</t>
  </si>
  <si>
    <t>*Continuación - Entornos de virtualización para la UAECOB Implementados</t>
  </si>
  <si>
    <t xml:space="preserve">Finalización proceso contractual previos para la contratación </t>
  </si>
  <si>
    <t>Carlos Tejada</t>
  </si>
  <si>
    <t>Desarrollo e implementación de los ambientes virtuales.</t>
  </si>
  <si>
    <t>*Continuación - Herramienta tecnológica para la administración y gestión documental de la UAECOB Implementada.</t>
  </si>
  <si>
    <t>Implementar una herramienta tecnológica que soporte  la gestión documental en la entidad, bajo la administración de la Subdirección Corporativa.</t>
  </si>
  <si>
    <t>Acta de reunión de entrega a satisfacción de las áreas respectivas.</t>
  </si>
  <si>
    <t>*Continuación -Dotación Tecnológica para la Estación de Bomberos de Bosa B-8 implementada</t>
  </si>
  <si>
    <t>Contratación de la dotación Tecnológica</t>
  </si>
  <si>
    <t>Eliana Barrero</t>
  </si>
  <si>
    <t>Acompañamiento y soporte en la implementación de las soluciones tecnológicas.</t>
  </si>
  <si>
    <t>*Continuación -Levantamiento de inventario de activos de Información de Software, hardware y servicios, cuadro de caracterización documental actualizados</t>
  </si>
  <si>
    <t>Cuadro de caracterización documental de los procedimientos actualizados.</t>
  </si>
  <si>
    <t xml:space="preserve">Levantamiento de información inicial para la construcción del inventario. </t>
  </si>
  <si>
    <r>
      <t xml:space="preserve">6. Alimentación de la caracterización documental. 
</t>
    </r>
    <r>
      <rPr>
        <i/>
        <sz val="11"/>
        <color theme="1"/>
        <rFont val="Calibri"/>
        <family val="2"/>
        <scheme val="minor"/>
      </rPr>
      <t>Los criterios del 4 al 6 tienen un peso del 50% de la gestión total del producto; y  se ejecutan durante el 2do semestre de acuerdo a la entrega de los procedimientos actualizados por parte de las dependencias.</t>
    </r>
  </si>
  <si>
    <t>Unidades</t>
  </si>
  <si>
    <t>Líder Grupo Cooperación Internacional y Alianzas Estratégicas - Saudy Rojas</t>
  </si>
  <si>
    <t xml:space="preserve">Planificación de la Primera jornada, Versión 4 de la feria </t>
  </si>
  <si>
    <t>Prof. Esp. Cooperación Internacional y Alianzas Estratégicas - Alexandra Neira</t>
  </si>
  <si>
    <t>Realización de informe de  la Primera jornada, Versión 4 de la feria</t>
  </si>
  <si>
    <t xml:space="preserve">Planificación de la Segunda jornada, Versión 5 de la feria </t>
  </si>
  <si>
    <t xml:space="preserve">Ejecución de la Segunda jornada, Versión 5 de la feria </t>
  </si>
  <si>
    <t xml:space="preserve">Realización de informe de la Segunda jornada, Versión 5 de la feria </t>
  </si>
  <si>
    <t>Actividad de lanzamiento y socialización Guía Buenas Prácticas Saber Hacer Cuerpo Oficial Bomberos de Bogotá</t>
  </si>
  <si>
    <t>Unidad</t>
  </si>
  <si>
    <t>Programar y realizar una actividad de lanzamiento y socialización de la Guía de Buenas Prácticas Saber Hacer Cuerpo Oficial Bomberos de Bogotá</t>
  </si>
  <si>
    <t>Planificación actividad de lanzamiento y socialización de la Guía de Buenas Prácticas</t>
  </si>
  <si>
    <t>Ejecución actividad de lanzamiento y socialización de la Guía de Buenas Prácticas "Saber Hacer" Cuerpo Oficial Bomberos de Bogotá</t>
  </si>
  <si>
    <t>Socialización y distribución del Portafolio de servicios de la UAECOB</t>
  </si>
  <si>
    <t>Gestionar la participación en 2 actividades de la Entidad para la socialización y distribución del Portafolio de servicios de la UAECOB</t>
  </si>
  <si>
    <t>Gestionar la participación en 1 actividad de la Entidad con la comunidad y organizaciones cooperantes para la socialización y distribución del Portafolio de servicios de la UAECOB</t>
  </si>
  <si>
    <t>Organización del III Congreso Internacional del Cuerpo Oficial Bomberos de Bogotá</t>
  </si>
  <si>
    <t>Planear y organizar el III Congreso Internacional del Cuerpo Oficial Bomberos de Bogotá</t>
  </si>
  <si>
    <t>Planeación del III Congreso Internacional del Cuerpo Oficial Bomberos de Bogotá</t>
  </si>
  <si>
    <t>Planeación y organización de un evento de intercambio de experiencias con otros cuerpos de bomberos de Colombia sobre la implementación de la resolución 0358 de 2014 de la DNBC</t>
  </si>
  <si>
    <t>Planear y organizar el III un evento de intercambio de experiencias con otros cuerpos de bomberos de Colombia sobre la implementación de la resolución 0358 de 2014 de la DNBC</t>
  </si>
  <si>
    <t>Planeación de un evento de intercambio de experiencias con otros cuerpos de bomberos de Colombia sobre la implementación de la resolución 0358 de 2014 de la DNBC</t>
  </si>
  <si>
    <t>Coordinación y ejecución un evento de intercambio de experiencias con otros cuerpos de bomberos de Colombia sobre la implementación de la resolución 0358 de 2014 de la DNBC</t>
  </si>
  <si>
    <t>Realización del Informe del Evento de Intercambio de Experiencias</t>
  </si>
  <si>
    <t>4. Oficina Asesora Jurídica</t>
  </si>
  <si>
    <t>Adopción SECOP II en los  procesos, formatos y procedimientos de contratación que se realizan en la Oficina Asesora Jurídica</t>
  </si>
  <si>
    <t>Jefe Oficina Asesora Jurídica - Giohana Catarine Gonzalez Turizo</t>
  </si>
  <si>
    <t xml:space="preserve">Publicar los procesos, formatos y procedimientos de las diferentes modalidades de selección actualizados en la ruta de la calidad de la UAECOB </t>
  </si>
  <si>
    <t>Sensibilizar al personal de planta  y contratistas sobre la utilización de los  procesos, formatos y procedimientos actualizados, a través de una capacitación</t>
  </si>
  <si>
    <t>Actualización Manual de Contratación y  Supervisión</t>
  </si>
  <si>
    <t>Manual de Contratación y  Supervisión actualizado</t>
  </si>
  <si>
    <t xml:space="preserve">Publicar Manual de Contratación actualizado </t>
  </si>
  <si>
    <t>Sensibilizar al personal de planta  y contratistas sobre el contenido del Manual de Contratación, a través de una capacitación</t>
  </si>
  <si>
    <t xml:space="preserve">Aplicación de Procedimientos de Colombia Compra Eficiente </t>
  </si>
  <si>
    <t>Sensibilizar al personal de planta  y contratistas sobre la utilización de los procedimientos creados</t>
  </si>
  <si>
    <t>Creación de procedimiento de pago de sentencias judiciales y conciliaciones</t>
  </si>
  <si>
    <t>Aplicación de Procedimiento de pago de sentencias judiciales y conciliaciones</t>
  </si>
  <si>
    <t xml:space="preserve">Publicar el procedimiento de pago de sentencias judiciales y conciliaciones en la ruta de la calidad  de la UAECOB </t>
  </si>
  <si>
    <t>Sensibilizar al personal de planta  y contratistas sobre la utilización del procedimientos creado</t>
  </si>
  <si>
    <t>2. Generar corresponsabilidad del riesgo mediante la prevención, mitigación, transferencia y preparación con la comunidad ante el riesgo de incendios, incidentes con materiales peligrosos y rescates en general</t>
  </si>
  <si>
    <t>5. Subdirección de Gestión del Riesgo</t>
  </si>
  <si>
    <t>Realizar jornadas de sensibilización en las 17 estaciones para el personal uniformado de los cambios normativos en  revisiones técnicas y aglomeración de publico</t>
  </si>
  <si>
    <t>Subdirector de Gestión del Riesgo
Jorge Alberto Pardo Torres</t>
  </si>
  <si>
    <t>1. Diseño de material pedagógico para sensibilizar.</t>
  </si>
  <si>
    <t>Ing. Andrea Navarro</t>
  </si>
  <si>
    <t xml:space="preserve">Programación de sensibilización. </t>
  </si>
  <si>
    <t>Ing Jhon Jairo Palacio</t>
  </si>
  <si>
    <t>1. Mesas de Trabajo</t>
  </si>
  <si>
    <t>Ing Jhon Jairo Palacio
Ing. Andrea Navarro</t>
  </si>
  <si>
    <t>2. Priorización de Necesidades</t>
  </si>
  <si>
    <t>3. Levantamiento de requerimientos con el apoyo del área de Tecnología.</t>
  </si>
  <si>
    <t>3. Consolidar la Gestión del Conocimiento a través del modelo de Gestión del Riesgo y sus líneas de acción</t>
  </si>
  <si>
    <t>31/06/2018</t>
  </si>
  <si>
    <t>Ing. Jhon jairo Palacio
Arq. Sasndy Ibañez</t>
  </si>
  <si>
    <t>Ing. Andres Fierro
Nelson Osorio</t>
  </si>
  <si>
    <t>2. Inclusión de las actividades en el plan de acción de   los CLGR-CC (Consejos locales de gestión del riesgo y cambio climático). 30%</t>
  </si>
  <si>
    <t>Ing. Maria Angelica Arenas</t>
  </si>
  <si>
    <t>01//08/2018</t>
  </si>
  <si>
    <t>30/03/0218</t>
  </si>
  <si>
    <t>3. Informe consolidado de resultados del proyecto (30%)</t>
  </si>
  <si>
    <t>1. Mesas de Trabajo  (33%)</t>
  </si>
  <si>
    <t>Cecilia Camacho</t>
  </si>
  <si>
    <t>2. Priorización de Necesidades (33%)</t>
  </si>
  <si>
    <t>3. Levantamiento de requerimientos con el apoyo del área de Tecnología. (34%)</t>
  </si>
  <si>
    <t>Actividad de prevención en el marco de los programas del club bomberitos.</t>
  </si>
  <si>
    <t>Desarrollo de 1 actividades de prevención en el marco de los programas del club bomberitos</t>
  </si>
  <si>
    <t>Carolina Suarez</t>
  </si>
  <si>
    <t>2. Convocatoria para la actividad de Prevención. 25%</t>
  </si>
  <si>
    <t>Realizar el 100% de la revisión y ajuste de la estrategia de Sensibilización Y Educación En Prevención De Incendios Y Emergencias Conexas- Club Bomberitos</t>
  </si>
  <si>
    <t>Carolina Suarez
Juliana Patiño
Cristian Castañeda</t>
  </si>
  <si>
    <t>3. Desarrollo de productos del plan de trabajo de la estrategia de Sensibilización Y Educación En Prevención De Incendios Y Emergencias Conexas- Club Bomberitos. 70%</t>
  </si>
  <si>
    <t>1/06/0218</t>
  </si>
  <si>
    <t>Sto. Yimer Arias</t>
  </si>
  <si>
    <t xml:space="preserve"> Capacitación Básica de investigación de incendios </t>
  </si>
  <si>
    <r>
      <t xml:space="preserve">Realizar un </t>
    </r>
    <r>
      <rPr>
        <sz val="12"/>
        <color indexed="8"/>
        <rFont val="Calibri"/>
        <family val="2"/>
      </rPr>
      <t>(1) cursos de  capacitación  Básica de Investigación de incendios dirigido a el personal operativo de la UAECOB.</t>
    </r>
  </si>
  <si>
    <t>1, Diseño de la  capacitación  Básico 25%</t>
  </si>
  <si>
    <t>Sto. William Rene Diaz</t>
  </si>
  <si>
    <t>2. Plan de trabajo y cronograma de la capacitación. 25%</t>
  </si>
  <si>
    <t>3. Desarrollo de la capacitación básica . 50%</t>
  </si>
  <si>
    <t>1. Diseño de material pedagógico para sensibilizar. (35%)</t>
  </si>
  <si>
    <t>Cabo Hernando Martinez</t>
  </si>
  <si>
    <t>2.  Programación de sensibilización. (15%)</t>
  </si>
  <si>
    <t>3. Ejecución de 17 jornadas de sensibilización. (50%)</t>
  </si>
  <si>
    <t>un (1) Curso Gestionado ante la entidad correspondiente</t>
  </si>
  <si>
    <t>Sto. Omar Bedoya</t>
  </si>
  <si>
    <t>6. Subdirección Operativa</t>
  </si>
  <si>
    <t>Socialización del árbol de servicios de emergencias de la UAECOB.</t>
  </si>
  <si>
    <t xml:space="preserve">Ejercicio IEC INSARAG </t>
  </si>
  <si>
    <t>Simulacro de rescate por extensión</t>
  </si>
  <si>
    <t xml:space="preserve">Simulacro de rescate vehicular </t>
  </si>
  <si>
    <t>Proceso de clasificación en el marco de la estrategia de búsqueda y rescate de la DNBC</t>
  </si>
  <si>
    <t>Simulacro de búsqueda y rescate con caninos en media montaña</t>
  </si>
  <si>
    <t>7. Subdirección Logística</t>
  </si>
  <si>
    <t>Porcentaje</t>
  </si>
  <si>
    <t>Realizar Diagnostico del estado actual de la Estructura Funcional</t>
  </si>
  <si>
    <t>8. Subdirección de Gestión Corporativa</t>
  </si>
  <si>
    <t>Elaboración y Radicación del documento "Ficha técnica de las necesidades del sistema para la administración del proceso de Inventarios".</t>
  </si>
  <si>
    <t>Coordinador Área de Compras, Seguros e inventarios - William Arrubla</t>
  </si>
  <si>
    <t>Coordinador Área de Compras, Seguros e Inventarios - William Arrubla</t>
  </si>
  <si>
    <t>Elaborar documento técnico y gestionar su tramite a la oficina de Planeación</t>
  </si>
  <si>
    <t xml:space="preserve">Capacitaciones documentales </t>
  </si>
  <si>
    <t>Sensibilizar al 75% personal uniformado y administrativo en temas de gestión documental</t>
  </si>
  <si>
    <t>Coordinador Gestión Documental - Francisco Rubiano</t>
  </si>
  <si>
    <t>Elaboración de cronograma para realización de capacitaciones.</t>
  </si>
  <si>
    <t>Realizar dos (2) capacitaciones internas por mes  (Estaciones y Edificio Comando)  respecto a los lineamientos archivísticos vigentes y su aplicabilidad.</t>
  </si>
  <si>
    <t>Garantizar el Manejo integral de los Residuos que se generan en las dependencias de la UAECOB en cumplimiento a los Programas del PIGA</t>
  </si>
  <si>
    <t xml:space="preserve"> 100% de los residuos generados con manejo integral</t>
  </si>
  <si>
    <t>Coordinador Sistema de Gestión ambiental - Jesús Rojas</t>
  </si>
  <si>
    <t>Firmar el acuerdo de Corresponsabilidad con una organización de Recicladores debidamente constituida e inscrita en el RUOR.</t>
  </si>
  <si>
    <t>Coordinador Sistema de Gestión ambiental - Jesus Rojas</t>
  </si>
  <si>
    <t>Realizar seguimiento al contratista del Mantenimiento de Parque automotor de la Entidad.</t>
  </si>
  <si>
    <t>Garantizar la disposición de Residuos peligrosos y especiales, con un Gestor autorizado.</t>
  </si>
  <si>
    <t>Realizar la compra de los contenedores para la separación de los residuos generados en todas las dependencias de la UAECOB</t>
  </si>
  <si>
    <t>Dar estricto cumplimiento a los objetivos y programas del Plan Institucional de Gestión Ambiental PIGA.</t>
  </si>
  <si>
    <t>Disminuir en un 2% el consumo de los servicios públicos (agua, energía y Gas) en las 17 Estaciones y el Edificio Comando de la UAECOB</t>
  </si>
  <si>
    <t>Solicitar la Instalación de sistemas ahorradores de Agua y Luz en las dependencias de la UAECOB.</t>
  </si>
  <si>
    <t>Fortalecer las campañas ambientales de Ahorro de los  servicios públicos (agua, energía y Gas) en las dependencias de la UAECOB.</t>
  </si>
  <si>
    <t>Disminuir en un 20 % el consumo de papel en las 17 Estaciones y el Edificio Comando de la UAECOB</t>
  </si>
  <si>
    <t>Fortalecer las campañas de Ahorro de Papel en las dependencias de la UAECOB.</t>
  </si>
  <si>
    <t>Involucrar a la Alta Dirección en la formulación de estrategias de Ahorro de papel, incentivando la utilización de medios magnéticos y electrónicos para la revisión de documentos.</t>
  </si>
  <si>
    <t>Socializar a los funcionarios de la Línea 195, sobre la información de los trámites y servicios con los que cuenta la UAECOB.</t>
  </si>
  <si>
    <t>socializaciones</t>
  </si>
  <si>
    <t>Fortalecimiento el Chat Distrital de la Línea 195, teniendo en cuenta que la Entidad genera información a la ciudadanía a través de este medio</t>
  </si>
  <si>
    <t xml:space="preserve">Coordinador Área de Servicio a la Ciudadanía - José William Arrubla </t>
  </si>
  <si>
    <t>Coordinador Área de Servicio a la Ciudadanía - José William Arrubla.</t>
  </si>
  <si>
    <t>Talleres</t>
  </si>
  <si>
    <t>Asegurar la inclusión de la población diferencial en los puntos de atención de la UAECOB en el Distrito.</t>
  </si>
  <si>
    <t xml:space="preserve">Coordinador Área de Servicio a la Ciudadanía </t>
  </si>
  <si>
    <t>Radicación de documento - estudios previos en la Oficina Asesora Jurídica.</t>
  </si>
  <si>
    <t>Capacitaciones</t>
  </si>
  <si>
    <t>20 Capacitaciones según programación</t>
  </si>
  <si>
    <t>Coordinador Oficina de Control Disciplinario Interno - Blanca Irene Delgadillo</t>
  </si>
  <si>
    <t>Realizar 20 capacitaciones sobre diversos aspectos del ámbito disciplinario dirigidos al personal administrativo y operativo de la UAE Cuerpo Oficial de Bomberos</t>
  </si>
  <si>
    <t>Realizar conversatorios con los funcionarios de la Unidad, referentes a la aplicación de las nuevas políticas disciplinarias que se expidan.</t>
  </si>
  <si>
    <t>Capacitar en  el marco normativo contable para entidades de Gobierno (NMNCEG) aplicables a la UAE Cuerpo Oficial de Bomberos.</t>
  </si>
  <si>
    <t>Realizar 4 capacitaciones según programación</t>
  </si>
  <si>
    <t>Jefe de la Oficina Financiera - Hernando Ibagué</t>
  </si>
  <si>
    <t>Elaborar el  plan de trabajo para las capacitaciones</t>
  </si>
  <si>
    <t>Jefe de la Oficina Financiera- Hernando Ibagué R.</t>
  </si>
  <si>
    <t>Preparar del material para las Capacitaciones</t>
  </si>
  <si>
    <t>Registrar la asistencias a las Capacitaciones</t>
  </si>
  <si>
    <t xml:space="preserve">Auditores internos en normas actualizadas, con formación certificada por organismos externos </t>
  </si>
  <si>
    <t>Documento</t>
  </si>
  <si>
    <t xml:space="preserve">
Formular el proyecto de instrucción para auditores internos en normas actualizadas por entidades certificadoras.</t>
  </si>
  <si>
    <t>Coordinador de Sistema Integrado de Gestión - Adriana Y. Huérfano Ardila</t>
  </si>
  <si>
    <t>Elaboración de estudios previos  con las necesidades requeridas por la Unidad para formar auditores internos certificados en normas actualizadas.</t>
  </si>
  <si>
    <t>Charlas, conversatorios, exposiciones con entidades del Distrito que sean referentes del Sistema Integrado de Gestión</t>
  </si>
  <si>
    <t xml:space="preserve">Elaboración de documento proyecto justificando la necesidad de capacitar, entrenar, formar y/o instruir al personal de la Unidad en conceptos y experiencias relacionados con el sistema integrado de gestión. </t>
  </si>
  <si>
    <t>Remitir documento proyecto a Comisión de Personal para su respectiva aprobación.</t>
  </si>
  <si>
    <t>Gestionar la adquisición de un predio para la elaboración de estudios, diseños y construcción de una (1) Escuela de Formación Bomberil y una (1) estación de Bomberos.</t>
  </si>
  <si>
    <t>Gestionar la compra del predio donde será ubicada la escuela de formación bomberil y una estación de bomberos.</t>
  </si>
  <si>
    <t>Coordinador de Infraestructura 
Daniel Vera Ruiz</t>
  </si>
  <si>
    <t xml:space="preserve">* Elaborar y gestionar ante la dirección y subdirecciones la revisión del Informe Técnico Preliminar.                      
</t>
  </si>
  <si>
    <t>Ing. Daniel Vera Ruiz</t>
  </si>
  <si>
    <t xml:space="preserve">* Realizar las modificaciones pertinentes para tener como resultado el Informe Técnico Final. </t>
  </si>
  <si>
    <t>Arq. Leidy Díaz Borrero</t>
  </si>
  <si>
    <t xml:space="preserve">* Elaborar los Estudios Previos para la compra del predio. </t>
  </si>
  <si>
    <t>Dr. José Luis Torres</t>
  </si>
  <si>
    <t>* Adquisición del predio.</t>
  </si>
  <si>
    <t>Aprobación de Estudios, Diseños y Estudios Previos para la adecuación y ampliación de la Estación de Bomberos de Marichuela - B10.</t>
  </si>
  <si>
    <t>Elaborar los estudios, diseños y estudios previos para la adecuación y ampliación de la Estación de Bomberos de Marichuela.</t>
  </si>
  <si>
    <t xml:space="preserve">* Supervisar el avance del 50% de ejecución de los estudios y diseños. </t>
  </si>
  <si>
    <t>Ing. Sandra Saldarriaga</t>
  </si>
  <si>
    <t xml:space="preserve">*Supervisar y entregar el 100% de la elaboración de los estudios y diseños. </t>
  </si>
  <si>
    <t>* Elaborar los estudios previos para la obra y la interventoría de la adecuación y ampliación de la estación de Bomberos de Marichuela.</t>
  </si>
  <si>
    <t>Gestionar la adquisición de un (1) predio para la implementación de una (1) estación de Bomberos</t>
  </si>
  <si>
    <t>* Solicitud al DADEP sobre posibles  predios  disponibles.</t>
  </si>
  <si>
    <t>* Consulta con las demás Entidades Distritales o  de la  Nación sobre  posibles  predios  disponibles.</t>
  </si>
  <si>
    <t>* Recibo y visitas de predios ofertados.</t>
  </si>
  <si>
    <t>*  Elaboración del informe técnico preliminar.</t>
  </si>
  <si>
    <t>Implementación de (1) estación satélite forestal de bomberos sujeta al proyecto del sendero ambiental en los cerros orientales)</t>
  </si>
  <si>
    <t>* Gestionar el tramite de licencia de construcción en modalidad de Obra Nueva ante curaduría.</t>
  </si>
  <si>
    <t>* Elaborar los estudios previos para la obra y la interventoría de la construcción de la Estación de Bellavista.</t>
  </si>
  <si>
    <t>* Gestionar el proceso contractual.</t>
  </si>
  <si>
    <t>* Adjudicar el proceso de obra y de interventoría.</t>
  </si>
  <si>
    <t>Elaboración de los estudios y diseños para la adecuación de la Estación de Bomberos de Ferias - B7.</t>
  </si>
  <si>
    <t>Elaborar los estudios previos, la adjudicación del proceso contractual e inicio de la elaboración de estudios y diseños del reforzamiento estructural de la estación de bomberos de Ferias.</t>
  </si>
  <si>
    <t xml:space="preserve">* Elaboración y aprobación de estudios previos para los estudios y diseños del reforzamiento estructural de la estación de Bomberos de Ferias.  </t>
  </si>
  <si>
    <t>* Adjudicación proceso para la elaboración de estudios y diseños en la adecuación de la estación.</t>
  </si>
  <si>
    <t>* Entrega del 30% de avance en el diseño propuesto dentro de los diseños y reforzamiento de la estación</t>
  </si>
  <si>
    <t>9. Subdirección de Gestión Humana</t>
  </si>
  <si>
    <t>Desarrollo e Implementación de un programa orientado a promover la práctica de actividad física en el personal de la UAECOB</t>
  </si>
  <si>
    <t>Desarrollar e implementar  programa para promover la práctica de actividad física</t>
  </si>
  <si>
    <t xml:space="preserve">Estructuración definición del programa </t>
  </si>
  <si>
    <t xml:space="preserve">Creación y divulgación Campaña de expectativa  </t>
  </si>
  <si>
    <t xml:space="preserve">Implementación del programa en los centros de trabajo </t>
  </si>
  <si>
    <t xml:space="preserve">Evaluación del programa </t>
  </si>
  <si>
    <t xml:space="preserve"> Desarrollar e implementar un programa para la prevención de Desórdenes Musculoesqueléticos</t>
  </si>
  <si>
    <t>Desarrollar e implementar un programa de prevención de Desórdenes Musculoesqueléticos</t>
  </si>
  <si>
    <t xml:space="preserve"> Estructuración definición del programa </t>
  </si>
  <si>
    <t>Implementar un plan de reentrenamiento de tres días para servidores de los cargos bombero y cabo</t>
  </si>
  <si>
    <t>Personas reentrenadas</t>
  </si>
  <si>
    <t>selección de personal para el curso</t>
  </si>
  <si>
    <t>porcentaje</t>
  </si>
  <si>
    <t>100% de actividades propuestas ejecutadas</t>
  </si>
  <si>
    <t xml:space="preserve">Realizar la solicitud de la licencia de  SST de la Escuela ante la Secretaria Distrital de salud. </t>
  </si>
  <si>
    <t>Suscribir convenios interadministrativos para asegurar los escenarios de la Escuela de Formación Bomberil</t>
  </si>
  <si>
    <t>Realizar mesas de trabajo con las diferentes áreas con el fin de identificar los contenidos que se deben digitalizar.</t>
  </si>
  <si>
    <t>30/06/2018</t>
  </si>
  <si>
    <t xml:space="preserve">Identificar el material virtual que ofrecen los proveedores con el fin de verificar los contenidos que pueden ser implementados en la plataforma virtual                                                   </t>
  </si>
  <si>
    <t>30/09/2018</t>
  </si>
  <si>
    <t>31/12/2018</t>
  </si>
  <si>
    <t>Líder Área de Tecnología OAP - Mariano Garrido</t>
  </si>
  <si>
    <t>Una aplicación móvil para la gestión de los incidentes atendidos por el personal operativo del UEACOP.</t>
  </si>
  <si>
    <t>Presentación de los estudios previos para la contratación del desarrollo del aplicativo móvil.</t>
  </si>
  <si>
    <t>Implementación de las dotaciones tecnológicas a la Estación Bosa B-8</t>
  </si>
  <si>
    <t>Fabián Orjuela</t>
  </si>
  <si>
    <t>Feria Expo académica para la articulación de oferta educativa en la ciudad con los funcionarios de la entidad</t>
  </si>
  <si>
    <t xml:space="preserve">Realizar 2 ferias Expo académica  con el fin de socializar las alianzas con las instituciones académicas y promover espacios de acceso a la oferta de servicios educativos </t>
  </si>
  <si>
    <t>Ejecución de la   Primera jornada, Versión 4 de la feria</t>
  </si>
  <si>
    <t>Coordinación y ejecución del III Congreso Internacional del Cuerpo Oficial Bomberos de Bogotá</t>
  </si>
  <si>
    <t>Realización de Informe del III Congreso Internacional del Cuerpo Oficial Bomberos de Bogotá</t>
  </si>
  <si>
    <t>Implementación de los procesos de contratación en línea SECOP II</t>
  </si>
  <si>
    <t>Creación Procedimientos de Acuerdo Marco de Precios, Otros Instrumentos de agregación de Demanda y Grandes Superficies</t>
  </si>
  <si>
    <t xml:space="preserve">Publicar los procedimientos de Colombia Compra Eficiente (Acuerdo Marco de Precios, Otros Instrumentos de agregación de Demanda y Grandes Superficies) en la ruta de la calidad  de la UAECOB </t>
  </si>
  <si>
    <t>Sensibilizar el 100% de las estaciones de bomberos en temas  normativos relacionados con revisiones técnicas y aglomeración de publico.</t>
  </si>
  <si>
    <t>Identificación de nuevos requerimientos en el Sistema de Información Misional - Sub-módulo Revisiones Técnicas y Auto revisiones</t>
  </si>
  <si>
    <t>Realizar 1 proceso de mantenimiento evolutivo del Sistema de Información Misional sub-módulo de Revisiones Técnicas y auto revisiones</t>
  </si>
  <si>
    <t>Formulación y/o Actualización de la Guía Técnica de Pirotecnia y efectos especiales.</t>
  </si>
  <si>
    <t>Formulación y/o Actualización del 100% la Guía Técnica de Pirotecnia y efectos especiales.</t>
  </si>
  <si>
    <t>1. Revisión de la guía  (45%)</t>
  </si>
  <si>
    <t>2. Actualización de la guía de acuerdo a la normatividad vigente . (45%)</t>
  </si>
  <si>
    <t>3. Publicación de la guía en la ruta de la calidad. (10%)</t>
  </si>
  <si>
    <t>Realizar una actividad de conocimiento  y/o Reducción en riesgos en incendios, búsqueda y rescate y materiales peligrosos incluida en el plan de acción de  los CLGR-CC (Consejos locales de gestión del riesgo y cambio climático).</t>
  </si>
  <si>
    <t>Actividades ejecutadas en el 100% las localidades</t>
  </si>
  <si>
    <t>1. Definición de criterios de inclusión en los planes mediante mesas de trabajo en conjunto con el personal de la Subdirección Operativa (Comandantes y Jefes de Estación) 20%</t>
  </si>
  <si>
    <t>3. Ejecución de las actividades programadas en los planes de acción de   los CLGR-CC (Consejos locales de gestión del riesgo y cambio climático). 50%</t>
  </si>
  <si>
    <t xml:space="preserve">Socialización de tramites y servicios  de la entidad en las 20 localidades.
</t>
  </si>
  <si>
    <t>1. Definición de lineamientos para actividades de socialización de tramites. 10%</t>
  </si>
  <si>
    <t>2. Ejecución de las actividades de socialización. 90%</t>
  </si>
  <si>
    <t>Socialización de la estrategia de Cambio Climático UAECOB</t>
  </si>
  <si>
    <t>Socialización de la estrategia de Cambio Climático al 100% de las áreas de la UEACOB</t>
  </si>
  <si>
    <t>1. Definición de lineamientos para actividades de socialización de la estrategia de CC. 10%</t>
  </si>
  <si>
    <t>2. Elaboración del material de apoyo audio-visual para la socialización de l estrategia de cambio climático de la UAECOB. 20%</t>
  </si>
  <si>
    <t>2. Ejecución de la socialización de la estrategia de cambio climático. 70%</t>
  </si>
  <si>
    <t>Implementación proyecto de prevención y autoprotección  comunitaria ante incendios forestales.</t>
  </si>
  <si>
    <t>Desarrollar el 100% del proyecto de prevención y autoprotección  comunitaria ante incendios forestales.</t>
  </si>
  <si>
    <t>1. Planificación de la implementación del proyecto (20%)</t>
  </si>
  <si>
    <t xml:space="preserve">Sociólogo Juan Carlos Prieto
Ing. Maria Angelica Arenas
</t>
  </si>
  <si>
    <t>2. Ejecución de actividades del proyecto (50%)</t>
  </si>
  <si>
    <t>Sistematización del procedimiento de capacitación a brigadas contra incendio empresarial</t>
  </si>
  <si>
    <t>Realizar 1 proceso de Levantamiento de requerimientos para  un sistema de Información Misional sub-módulo de Capacitación empresarial</t>
  </si>
  <si>
    <t>1. Planificación de la actividad de prevención (día del niño)25%</t>
  </si>
  <si>
    <t>3. Ejecución de la actividad de prevención (Día del Niño). 50%</t>
  </si>
  <si>
    <t>Revisión y ajuste de la Estrategia de  Sensibilización Y Educación En Prevención De Incendios Y Emergencias Conexas- Club Bomberitos</t>
  </si>
  <si>
    <t>1. Diagnostico de los documentos de la estrategia 10%</t>
  </si>
  <si>
    <t xml:space="preserve">2. Plan de trabajo (Cronograma) de la implementación del ajuste de la estrategia.20% </t>
  </si>
  <si>
    <t>Actualización del material de referencia para  los curso de investigación  de Incendio Básico e Intermedio</t>
  </si>
  <si>
    <t>Realizar la actualización del material de  referencia para los cursos de investigación básico e intermedio</t>
  </si>
  <si>
    <t>1. Revisión del proceso de formalización y estandarización (Material de referencia) para los cursos de investigación básico e intermedio  20%</t>
  </si>
  <si>
    <t>2. Actualización del material de referencia  50%.</t>
  </si>
  <si>
    <t>3. Aprobación del material de referencia 10%</t>
  </si>
  <si>
    <t>4. Presentación del  material de referencia actualizado  por parte de la SGR al proceso de Gestión del talento Humano área de capacitación y entrenamiento. 20%</t>
  </si>
  <si>
    <t>Sensibilización del equipo de investigación de incendios  en las 17 estaciones de la UAECOB.</t>
  </si>
  <si>
    <t>100% de las estaciones de bomberos de la UAECOB sensibilizadas por el equipo de investigación de Incendios.</t>
  </si>
  <si>
    <t>Gestionar la realización de un curso para la investigación de incendios forestales para la entidad con entidades externas</t>
  </si>
  <si>
    <t>1. Realizar un diagnostico de la necesidad del curso de investigación de Incendios Forestales 50%.</t>
  </si>
  <si>
    <t xml:space="preserve">2. Realizar la Gestión de solicitud con la entidad externa correspondiente. 50% </t>
  </si>
  <si>
    <t xml:space="preserve">Definición y formulación de los insumos necesarios para establecer un sistema de información Logístico </t>
  </si>
  <si>
    <t>Generar una (1) herramienta la cual se alimente con tres 3 bases de datos (Parque Automotor, Equipo Menor y Suministros) como insumo  para la conformación de un sistema de información y/o software que permita controlar, realizar seguimiento y gestionar las actividades de  la Subdirección.</t>
  </si>
  <si>
    <t>Líder Grupo de Parque Automotor
Líder Grupo Equipo Menor
Líder Grupo Suministros</t>
  </si>
  <si>
    <t xml:space="preserve">Establecer los criterios que aspiramos  sean controlados a través de la conformación de un sistema de información logístico para Parque Automotor, Heas y Suministros </t>
  </si>
  <si>
    <t>Levantamiento de la información ( bases de datos)  como insumo  que serán controlados a través de la  conformación de un sistema de información logístico.</t>
  </si>
  <si>
    <t>Desarrollar la secuencia lógica ( Paso a Paso ) que debe tener la herramienta para que pueda generar la información requerida.</t>
  </si>
  <si>
    <t>Gestionar documento a Planeación con necesidades y justificación  con el fin de que se aprueben los recursos  para la inclusión en el PAA 2019, y de esta forma contratar el desarrollo del software.</t>
  </si>
  <si>
    <t>Formular Estructura Funcional para la Subdirección Logística</t>
  </si>
  <si>
    <t>Generar una Propuesta de la Estructura Funcional  de la Subdirección Logística</t>
  </si>
  <si>
    <t xml:space="preserve">Definir Procesos de la Subdirección Logística </t>
  </si>
  <si>
    <t xml:space="preserve">Definir procedimientos de la Subdirección Logística </t>
  </si>
  <si>
    <t>Elaborar Estructura Funcional  de la Subdirección Logística</t>
  </si>
  <si>
    <t>Documento con el contenido de la ficha técnica del sistema de información requerido para la administración del proceso de Inventarios.</t>
  </si>
  <si>
    <t>Llevar a cabo las mesas de trabajo para identificar necesidades de los usuarios en inventarios, seguros y  almacén</t>
  </si>
  <si>
    <t>Dar cumplimiento a la Política de Cero Papel en la Entidad, de conformidad con la Resolución 730 de 2013.</t>
  </si>
  <si>
    <t>Generar estadísticas por dependencias sobre el consumo del papel y generar compromisos con las áreas para la disminución en el consumo de papel.</t>
  </si>
  <si>
    <t> Desarrollo académico de socialización y prevención disciplinaria a través del proceso de inducción y reinducción Coordinado por la OCDI</t>
  </si>
  <si>
    <t>Formular el proyecto para consecución de charlas, conversatorios y/o exposiciones con  entidades del Distrito que tengan relación con el SIG</t>
  </si>
  <si>
    <t>* Radicar los documentos ante Curaduría para la aprobación de la Licencia de construcción en modalidad de adecuación y ampliación de la Estación de Bomberos de Marichuela.</t>
  </si>
  <si>
    <t>Ing. Eduard Rodríguez
Arq. Cesar Granados 
(Contratistas consultoría)
Ing. Sandra Saldarriaga</t>
  </si>
  <si>
    <t>Desarrollar un programa que garantice el 100% del mantenimiento de la infraestructura física de las Estaciones de Bomberos y el Edificio Comando</t>
  </si>
  <si>
    <t>Ejecutar el plan de mantenimiento de la infraestructura física de 9 estaciones de bomberos.</t>
  </si>
  <si>
    <t>*Ejecutar el mantenimiento de la infraestructura física de dos (2) estaciones de Bomberos.</t>
  </si>
  <si>
    <t>*Ejecutar el mantenimiento de la infraestructura física de tres (3) estaciones de Bomberos.</t>
  </si>
  <si>
    <t xml:space="preserve">Elaborar el informe técnico preliminar junto con los anexos, que harán parte integral del proceso para la adquisición del predio para la implementación de una (1) estación de bomberos. </t>
  </si>
  <si>
    <t>Culminar el proceso de adjudicación para la construcción de la Estación de Bomberos de Bellavista - B9.</t>
  </si>
  <si>
    <t>Líder Grupo Seguridad y Salud en el Trabajo - Ing. William Cabrejo</t>
  </si>
  <si>
    <t>ejecución del plan de reentrenamiento para 192 servidores para los cargos bombero y cabo</t>
  </si>
  <si>
    <t>Líder de Grupo - Eduardo Cruz</t>
  </si>
  <si>
    <t>definir los temas y consolidar  el material de formación.</t>
  </si>
  <si>
    <t xml:space="preserve">asegurar la logística para los cursos y concertar la programación con los comandantes </t>
  </si>
  <si>
    <t>desarrollo de los cursos de reentrenamiento</t>
  </si>
  <si>
    <t xml:space="preserve">realizar las acciones necesarias para la aprobación del PEI de la escuela de Formación Bomberil de la UAECOB ante las autoridades competentes </t>
  </si>
  <si>
    <t xml:space="preserve">Realizar la solicitud de la licencia de  funcionamiento de la Escuela ante la Secretaria Distrital de Educación. </t>
  </si>
  <si>
    <t xml:space="preserve">Tramitar ante la Dirección Nacional de Bomberos la acreditación de instructores activos. </t>
  </si>
  <si>
    <t>proyectar las acciones necesarias para la  implementación de  una Biblioteca Virtual para la UAE Cuerpo Oficial de Bomberos Bogotá.</t>
  </si>
  <si>
    <t xml:space="preserve">Elaborar un informe donde con la propuesta para la implementación de la biblioteca virtual de la UAECOB                                         </t>
  </si>
  <si>
    <t>Pilar o Eje Transversal</t>
  </si>
  <si>
    <t>Meta Plan de Desarrollo o de Producto</t>
  </si>
  <si>
    <t>7. Gobierno Legítimo, fortalecimiento Local y eficiencia</t>
  </si>
  <si>
    <t>71. Incrementar a un 90% la sostenibilidad del SIG en el Gobierno Distrital</t>
  </si>
  <si>
    <t>92.  Optimizar sistemas de información para optimizar la gestión (hardware y software)</t>
  </si>
  <si>
    <t>3.  Construcción de comunidad y cultura ciudadana</t>
  </si>
  <si>
    <t>103. Adelantar el 100% de acciones para la prevención y mitigación del riesgo de incidentes forestales (connatos, quemas e incendios)</t>
  </si>
  <si>
    <t>118. Aumentar en 2 las estaciones de bomberos en Bogotá</t>
  </si>
  <si>
    <t>119. Implementar (1) estación satélite forestal de bomberos sujeta al proyecto del sendero ambiental en los
cerros orientales</t>
  </si>
  <si>
    <t>117. Construcción y puesta en marcha una (1) Academia bomberil de Bogotá.
118. Aumentar en 2 las estaciones de bomberos en Bogotá</t>
  </si>
  <si>
    <t>115. Crear (1) Escuela de Formación y Capacitación de Bomberos</t>
  </si>
  <si>
    <t>Cumplimiento% (T8/S8)</t>
  </si>
  <si>
    <t>Estado del Producto</t>
  </si>
  <si>
    <t>Evidencia</t>
  </si>
  <si>
    <t>EJECUTADO</t>
  </si>
  <si>
    <t>Tipo de resultado</t>
  </si>
  <si>
    <t>BUENO</t>
  </si>
  <si>
    <t>CUMPLIMIENTO</t>
  </si>
  <si>
    <t>AVANCE PONDERADO</t>
  </si>
  <si>
    <t>AVENCE PONDERADO</t>
  </si>
  <si>
    <t>PROYECTO 1133</t>
  </si>
  <si>
    <t>AVANCES Y LOGROS</t>
  </si>
  <si>
    <t>BENEFICIOS PARA LA POBLACIÓN</t>
  </si>
  <si>
    <t>EVIDENCIAS</t>
  </si>
  <si>
    <t>PILAR - EJE</t>
  </si>
  <si>
    <t>PROGRAMA</t>
  </si>
  <si>
    <t>PROYECTO ESTRATÉGICO</t>
  </si>
  <si>
    <t>META PRODUCTO</t>
  </si>
  <si>
    <t>Código Proyecto Inversión</t>
  </si>
  <si>
    <t xml:space="preserve">META PROYECTO INVERSIÓN </t>
  </si>
  <si>
    <t>RESPONSABLE</t>
  </si>
  <si>
    <t>META PROGRAMADA</t>
  </si>
  <si>
    <t>META EJECUTADA</t>
  </si>
  <si>
    <t>RECURSOS PROGRAMADOS</t>
  </si>
  <si>
    <t>RECURSOS EJECUTADOS</t>
  </si>
  <si>
    <t>% EJEC. RECURSOS</t>
  </si>
  <si>
    <t>RETRASOS</t>
  </si>
  <si>
    <t xml:space="preserve"> SOLUCIONES</t>
  </si>
  <si>
    <t>1. S2  Adecuar 3 Estaciones de Bomberos</t>
  </si>
  <si>
    <t>SUB. GESTIÓN CORPORATIVA</t>
  </si>
  <si>
    <t>2. K3 Dotar 100 % del equipamiento de bienes programados para el Cuerpo Oficial de Bomberos</t>
  </si>
  <si>
    <t>SUB. OPERATIVA
SUB. GESTIÓN RIESGO
SUB. LOGÍSTICA</t>
  </si>
  <si>
    <t>3. K4 Garantizar 100 % la operación y sostenibilidad del Cuerpo Oficial de Bomberos</t>
  </si>
  <si>
    <t>SUB. LOGÍSTICA
SUB. GESTIÓN HUMANA</t>
  </si>
  <si>
    <t>4. K5 Desarrollar 1 Programa que garantice el 100% del mantenimiento de la infraestructura física de las 17 estaciones de bomberos y el comando</t>
  </si>
  <si>
    <t>SUB. OPERATIVA
SUB. GESTIÓN CORPORATIVA</t>
  </si>
  <si>
    <t>5. K6 Implementar 1 Programa para el fortalecimiento de la gestión del riesgo contraincendio, preparativos, atención de incidentes con materiales peligrosos y rescates</t>
  </si>
  <si>
    <t>SUB. OPERATIVA
SUB. GESTIÓN RIESGO
SUB. LOGÍSTICA
DIRECCIÓN
COMUNICACIONES</t>
  </si>
  <si>
    <t>6. K7 Implementar 1 Plan Institucional de Capacitación (PIC) para el Cuerpo Oficial de Bomberos.</t>
  </si>
  <si>
    <t>SUB. GESTIÓN RIESGO
SUB. GESTIÓN HUMANA</t>
  </si>
  <si>
    <t>8. S8 Crear 1 Escuela de Formación y Capacitación de Bomberos</t>
  </si>
  <si>
    <t>SUB. GESTIÓN HUMANA</t>
  </si>
  <si>
    <t>9. S1 Construir 4 Unidades de Bomberos para el fortalecimiento de la atención de
Emergencias</t>
  </si>
  <si>
    <t>TOTAL</t>
  </si>
  <si>
    <t>PROYECTO 908</t>
  </si>
  <si>
    <t>Eje 07 Gobierno legítimo, fortalecimiento local y eficiencia</t>
  </si>
  <si>
    <t>Programa 42    Transparencia, gestión pública y servicio a la ciudadanía</t>
  </si>
  <si>
    <t>1. K2  Mantener el 100 % de las actividades programadas para la sostenibilidad del Sistema Integrado de Gestión de la UAECOB</t>
  </si>
  <si>
    <t>SUB. GESTIÓN HUMANA
SUB. GESTIÓN CORPORATIVA
OFICINA PLANEACIÓN
OFICINA JURÍDICA
OFICINA CONTROL INTERNO
DIRECCIÓN
COMUNICACIONES</t>
  </si>
  <si>
    <t>PROYECTO 1135</t>
  </si>
  <si>
    <t>Programa 44    Gobierno 
y Ciudadanía digital</t>
  </si>
  <si>
    <t>1. S1 Implementar en 4 fases la infraestructura de tecnología informática y de comunicaciones de la UAECOB</t>
  </si>
  <si>
    <t>OFICINA ASESORA DE PLANEACIÓN</t>
  </si>
  <si>
    <t>2. S2 Implementar en 4 fases la estrategia Gobierno en Línea GEL alineado a la normatividad existente</t>
  </si>
  <si>
    <r>
      <rPr>
        <b/>
        <u/>
        <sz val="14"/>
        <color theme="8" tint="-0.499984740745262"/>
        <rFont val="Calibri"/>
        <family val="2"/>
        <scheme val="minor"/>
      </rPr>
      <t>1.Meta Prod. 103</t>
    </r>
    <r>
      <rPr>
        <b/>
        <sz val="14"/>
        <color theme="8" tint="-0.499984740745262"/>
        <rFont val="Calibri"/>
        <family val="2"/>
        <scheme val="minor"/>
      </rPr>
      <t xml:space="preserve">  Adelantar el 100% de acciones para la prevención y mitigación del riesgo de incidentes forestales</t>
    </r>
  </si>
  <si>
    <r>
      <rPr>
        <b/>
        <u/>
        <sz val="14"/>
        <color theme="8" tint="-0.499984740745262"/>
        <rFont val="Calibri"/>
        <family val="2"/>
        <scheme val="minor"/>
      </rPr>
      <t>2.Meta Prod. 115</t>
    </r>
    <r>
      <rPr>
        <b/>
        <sz val="14"/>
        <color theme="8" tint="-0.499984740745262"/>
        <rFont val="Calibri"/>
        <family val="2"/>
        <scheme val="minor"/>
      </rPr>
      <t xml:space="preserve"> Crear (1) Escuela de Formación y Capacitación de Bomberos</t>
    </r>
  </si>
  <si>
    <r>
      <rPr>
        <b/>
        <u/>
        <sz val="14"/>
        <color theme="8" tint="-0.499984740745262"/>
        <rFont val="Calibri"/>
        <family val="2"/>
        <scheme val="minor"/>
      </rPr>
      <t xml:space="preserve">3.Meta Prod. 116 </t>
    </r>
    <r>
      <rPr>
        <b/>
        <sz val="14"/>
        <color theme="8" tint="-0.499984740745262"/>
        <rFont val="Calibri"/>
        <family val="2"/>
        <scheme val="minor"/>
      </rPr>
      <t xml:space="preserve"> Renovar en un 50% la dotación de Equipos de Protección Personal del Cuerpo de Bomberos de Bogotá</t>
    </r>
  </si>
  <si>
    <r>
      <rPr>
        <b/>
        <u/>
        <sz val="14"/>
        <color theme="8" tint="-0.499984740745262"/>
        <rFont val="Calibri"/>
        <family val="2"/>
        <scheme val="minor"/>
      </rPr>
      <t>4.Meta Prod. 117</t>
    </r>
    <r>
      <rPr>
        <b/>
        <sz val="14"/>
        <color theme="8" tint="-0.499984740745262"/>
        <rFont val="Calibri"/>
        <family val="2"/>
        <scheme val="minor"/>
      </rPr>
      <t xml:space="preserve"> Construcción y puesta en marcha una (1) Academia bomberil de Bogotá</t>
    </r>
  </si>
  <si>
    <r>
      <rPr>
        <b/>
        <u/>
        <sz val="14"/>
        <color theme="8" tint="-0.499984740745262"/>
        <rFont val="Calibri"/>
        <family val="2"/>
        <scheme val="minor"/>
      </rPr>
      <t xml:space="preserve">5.Meta Prod. 118 </t>
    </r>
    <r>
      <rPr>
        <b/>
        <sz val="14"/>
        <color theme="8" tint="-0.499984740745262"/>
        <rFont val="Calibri"/>
        <family val="2"/>
        <scheme val="minor"/>
      </rPr>
      <t>Aumentar en 2 las estaciones de bomberos en Bogotá</t>
    </r>
  </si>
  <si>
    <r>
      <rPr>
        <b/>
        <u/>
        <sz val="14"/>
        <color theme="8" tint="-0.499984740745262"/>
        <rFont val="Calibri"/>
        <family val="2"/>
        <scheme val="minor"/>
      </rPr>
      <t>6.Meta Prod. 119</t>
    </r>
    <r>
      <rPr>
        <b/>
        <sz val="14"/>
        <color theme="8" tint="-0.499984740745262"/>
        <rFont val="Calibri"/>
        <family val="2"/>
        <scheme val="minor"/>
      </rPr>
      <t xml:space="preserve"> Implementar (1) estación satélite forestal de bomberos sujeta al proyecto del sendero ambiental en los
cerros orientales</t>
    </r>
  </si>
  <si>
    <r>
      <rPr>
        <b/>
        <u/>
        <sz val="14"/>
        <color theme="8" tint="-0.499984740745262"/>
        <rFont val="Calibri"/>
        <family val="2"/>
        <scheme val="minor"/>
      </rPr>
      <t>1. Meta Prod. 71</t>
    </r>
    <r>
      <rPr>
        <b/>
        <sz val="14"/>
        <color theme="8" tint="-0.499984740745262"/>
        <rFont val="Calibri"/>
        <family val="2"/>
        <scheme val="minor"/>
      </rPr>
      <t xml:space="preserve">  Incrementar a un 90% la sostenibilidad del SIG en el Gobierno Distrital. </t>
    </r>
  </si>
  <si>
    <r>
      <rPr>
        <b/>
        <u/>
        <sz val="14"/>
        <color theme="8" tint="-0.499984740745262"/>
        <rFont val="Calibri"/>
        <family val="2"/>
        <scheme val="minor"/>
      </rPr>
      <t>Meta Prod. 92</t>
    </r>
    <r>
      <rPr>
        <b/>
        <sz val="14"/>
        <color theme="8" tint="-0.499984740745262"/>
        <rFont val="Calibri"/>
        <family val="2"/>
        <scheme val="minor"/>
      </rPr>
      <t xml:space="preserve">  Optimizar sistemas de información para optimizar la gestión (hardware y software)</t>
    </r>
  </si>
  <si>
    <t>PROYECTO - PLAN DE DESARROLLO</t>
  </si>
  <si>
    <r>
      <rPr>
        <b/>
        <u/>
        <sz val="14"/>
        <rFont val="Calibri"/>
        <family val="2"/>
        <scheme val="minor"/>
      </rPr>
      <t>Pilar 03</t>
    </r>
    <r>
      <rPr>
        <b/>
        <sz val="14"/>
        <rFont val="Calibri"/>
        <family val="2"/>
        <scheme val="minor"/>
      </rPr>
      <t xml:space="preserve">
Construcción de comunidad y cultura ciudadana</t>
    </r>
  </si>
  <si>
    <r>
      <rPr>
        <b/>
        <u/>
        <sz val="14"/>
        <rFont val="Calibri"/>
        <family val="2"/>
        <scheme val="minor"/>
      </rPr>
      <t>Programa 19</t>
    </r>
    <r>
      <rPr>
        <b/>
        <sz val="14"/>
        <rFont val="Calibri"/>
        <family val="2"/>
        <scheme val="minor"/>
      </rPr>
      <t xml:space="preserve">    Seguridad y convivencia para todos</t>
    </r>
  </si>
  <si>
    <r>
      <rPr>
        <b/>
        <u/>
        <sz val="14"/>
        <rFont val="Calibri"/>
        <family val="2"/>
        <scheme val="minor"/>
      </rPr>
      <t>Proyecto Estratégico 148</t>
    </r>
    <r>
      <rPr>
        <b/>
        <sz val="14"/>
        <rFont val="Calibri"/>
        <family val="2"/>
        <scheme val="minor"/>
      </rPr>
      <t xml:space="preserve"> Seguridad y Convivencia para Bogotà</t>
    </r>
  </si>
  <si>
    <r>
      <rPr>
        <b/>
        <u/>
        <sz val="14"/>
        <rFont val="Calibri"/>
        <family val="2"/>
        <scheme val="minor"/>
      </rPr>
      <t xml:space="preserve">Proyecto Estratégico 185 </t>
    </r>
    <r>
      <rPr>
        <b/>
        <sz val="14"/>
        <rFont val="Calibri"/>
        <family val="2"/>
        <scheme val="minor"/>
      </rPr>
      <t>Fortalecimiento a la gestión pública efectiva y eficiente</t>
    </r>
  </si>
  <si>
    <r>
      <rPr>
        <b/>
        <u/>
        <sz val="14"/>
        <rFont val="Calibri"/>
        <family val="2"/>
        <scheme val="minor"/>
      </rPr>
      <t xml:space="preserve">Proyecto Estratégico 192 </t>
    </r>
    <r>
      <rPr>
        <b/>
        <sz val="14"/>
        <rFont val="Calibri"/>
        <family val="2"/>
        <scheme val="minor"/>
      </rPr>
      <t>Fortalecimiento institucional a través del uso de TIC</t>
    </r>
  </si>
  <si>
    <t>Descripción Avance y/o justificación del incumplimiento</t>
  </si>
  <si>
    <r>
      <t xml:space="preserve">Acción de mejora 
</t>
    </r>
    <r>
      <rPr>
        <b/>
        <i/>
        <sz val="10"/>
        <rFont val="Calibri"/>
        <family val="2"/>
        <scheme val="minor"/>
      </rPr>
      <t>*aplica si no se presentó avance</t>
    </r>
  </si>
  <si>
    <t>AVANCE 1° TRIM</t>
  </si>
  <si>
    <t>SEGUIMIENTO ACTIVIDADES</t>
  </si>
  <si>
    <r>
      <t xml:space="preserve">Avance % 
</t>
    </r>
    <r>
      <rPr>
        <b/>
        <i/>
        <sz val="11"/>
        <color theme="0"/>
        <rFont val="Calibri"/>
        <family val="2"/>
        <scheme val="minor"/>
      </rPr>
      <t>*En escala de 1 a 100%</t>
    </r>
  </si>
  <si>
    <t>SEGUIMIENTO PRODUCTOS</t>
  </si>
  <si>
    <t>Descripción avance y/o justificación del incumplimiento</t>
  </si>
  <si>
    <t>Ejecución de 34 jornadas de sensibilización.</t>
  </si>
  <si>
    <t>estaciones</t>
  </si>
  <si>
    <t>Actualizar y socializar el  árbol de servicios  en las diecisiete  (17) estaciones de la Subdirección Operativa  (al 50% del personal operativo).</t>
  </si>
  <si>
    <t>Lider de la Central de Coordinación y Comuniaciones</t>
  </si>
  <si>
    <t>Cronograma.</t>
  </si>
  <si>
    <t xml:space="preserve">Material de socialización  para las 17 estaciones. </t>
  </si>
  <si>
    <t>Socialización y  registro de asistencia y registros fotográficos de la socialización en las 17 estaciones.</t>
  </si>
  <si>
    <t xml:space="preserve">Presentar informe finall ante la Subdirección Operativa.                                                                                                                                                                                                                                                                                                                                                                                                                                                                                                                                                                                                                                                                                                                                                                                                                                                                                          </t>
  </si>
  <si>
    <t>1512/2018</t>
  </si>
  <si>
    <t>Ejercicio de aseguramiento de agua en edificios de gran altura.</t>
  </si>
  <si>
    <t>Porciento</t>
  </si>
  <si>
    <t>Realizar un (1) ejercicio   de aseguramiento de agua en edificios de gran altura, con la participación minima de 6 funcionarios de la Subdirección Operativa (mín.6 por compañía).</t>
  </si>
  <si>
    <t>CTE. CIA. 5</t>
  </si>
  <si>
    <t>Planeación.</t>
  </si>
  <si>
    <t>Ejecución.</t>
  </si>
  <si>
    <t xml:space="preserve"> Presentar informe finall ante la Subdirección Operativa.                                                                                                                                                                                                                                                                                                                                                                                                                                                                                                                                                                                                                                                                                                                                                                                                                                                                                          </t>
  </si>
  <si>
    <t>Coordinar y participar en el ejercicio para la clasificación y acreditación de  INSARAG IEC</t>
  </si>
  <si>
    <t>SUBCTE. CIA.3 y
 Lider del proceso USAR</t>
  </si>
  <si>
    <t>Coordinación del ejercicio para clasificación y acreditación.</t>
  </si>
  <si>
    <t>Participación en el ejercicio para clasificación y acreditación.</t>
  </si>
  <si>
    <t>Simulacro de rescate vertical</t>
  </si>
  <si>
    <t>Realizar un (1) simulacro de rescate vertical  con la participación de 15 funcionarios de la Subdirección Operativa, (3 por CIA).</t>
  </si>
  <si>
    <t>Lider del grupo de rescate técnico</t>
  </si>
  <si>
    <t>Realizar un (1)  simulacro de rescate por extensión con la participación minima de 17  funcionarios de la Subdirección Operativa, (1 por estación).</t>
  </si>
  <si>
    <t>CTE.CIA 1 y 
Lider del grupo de rescate y salvamento acuatico</t>
  </si>
  <si>
    <t>Realizar un (1) simulacro de rescate vehicular (electrico o hibrido o combustible) con la participación de 30 funcionarios de la Subdirección Operativa, (6 por CIA).</t>
  </si>
  <si>
    <t>SUBCTE. CIA 1 y 
Lider del Grupo de rescate técnico</t>
  </si>
  <si>
    <t>Pociento</t>
  </si>
  <si>
    <t>Ejecutar un (1) simulacro de rescate con caninos en media montaña con la participación de 17 funcionarios de la Subdirección Operativa, (1 por estación).</t>
  </si>
  <si>
    <t>Lider del grupo BRAE</t>
  </si>
  <si>
    <t>Realización de Plan Específico de Respuesta (PER) por incendio en entidades públicas distritales o Grandes Superficies o empresas industriales y/o comerciales</t>
  </si>
  <si>
    <t>Realizar un (1) Plan Especifico de Respuesta con la participación de 34 funcionarios de la Subdirección Operativa, (2 por estación).</t>
  </si>
  <si>
    <t>CTE.CIA 1</t>
  </si>
  <si>
    <t>Cumplir  los  factores de evaluación de la lista de chequeo de la estrategia de búsqueda y rescate de la DNBC en las 17 estaciones.</t>
  </si>
  <si>
    <t>CTES. de las  CINCO COMPAÑIAS y JEFES DE ESTACION</t>
  </si>
  <si>
    <t xml:space="preserve">Socialización </t>
  </si>
  <si>
    <t xml:space="preserve">Implementación </t>
  </si>
  <si>
    <t>Presentación de los requisitos ante la DNBC y ante la Subdirección Operativa</t>
  </si>
  <si>
    <t>Implementación del  proyecto de prevención y autoprotección  comunitaria ante incedios forestales.</t>
  </si>
  <si>
    <t>Ejecutar las  tres (3) actividades del proyecto de prevención y autoprotección  comunitaria ante incedios forestales en veinte (20) comunidades objeto del proyecto.</t>
  </si>
  <si>
    <t>CTES. de las  CIA 3, 4 Y 5 y 
JEFES DE ESTACION</t>
  </si>
  <si>
    <t>Ejecución de las tres (03) actividades del proyecto  
(a.georeferenciación de zonas con afluencia de público; 
b.taller 1, capacitación y
c.taller 2, simulacro de evacuación) 
definidas para  cuatro (4) estaciones en la fase I 
(B9; B10; B11; B17).</t>
  </si>
  <si>
    <t>Informe de la ejecución del proyecto por estación, presentado a la Subdirección Operativa, según formato establecido.</t>
  </si>
  <si>
    <t>Ejecución de las inspecciones técnicas  de seguridad humana y sistemas de protección contra incendios, solicitadas por los establecimientos, clasificados como riesgo moderado y alto.</t>
  </si>
  <si>
    <t>Ejecutar el 98% de las inspecciones técnicas  de seguridad humana y sistemas de protección contra incendios, asignadas  mediante el SIM, de los establecimientos clasificados como riesgo moderado y alto</t>
  </si>
  <si>
    <t>Programación de las inspecciones en cada una de las 17 estaciones.</t>
  </si>
  <si>
    <t>Realización de las inspecciones.</t>
  </si>
  <si>
    <t>Ingreso de información al SIM  y envio de los formularios de inspección a la SGR.</t>
  </si>
  <si>
    <t>Curso Bomberitos "Nicolas Quevedo Rizo"</t>
  </si>
  <si>
    <t>Realizar un curso de Bomberitos semestral  "Nicolas Quevedo Rizo"   en 13 estaciones de la UAECOB (B1, B2,B3,B4, B5, B6,B7,B8, B12, B13, B14, B15 Y B16),  en el marco de los programas de la estrategia de sensibilización y Educación en Prevención de incendios y emergencias conexas- Club Bomberitos, de conformidad con lo planificado y acordado con la S.G.R.</t>
  </si>
  <si>
    <t>Convocatoria.</t>
  </si>
  <si>
    <t>Presentación de informe ante la Subdirección Operativa, según formato establecido.</t>
  </si>
  <si>
    <t xml:space="preserve"> Presentar informe final ante la Subdirección Operativa.                                                                                                                                                                                                                                                                                                                                                                                                                                                                                                                                                                                                                                                                                                                                                                                                                                                                                          </t>
  </si>
  <si>
    <t>Ejecución del simulacro de rescate vertical.</t>
  </si>
  <si>
    <t>Ejecución simulacro de búsqueda y rescate con caninos en media montaña</t>
  </si>
  <si>
    <t>Acompañamiento y soporte en la implementación de la herramienta tecnológica que soporte  la gestión documental en la UAECOB</t>
  </si>
  <si>
    <t>Caracterización de cada uno de los de los activos de información (inventario de activos de Información de Software, hardware y servicios)</t>
  </si>
  <si>
    <t>SUB. LOGISTICA
SUB. OPERATIVA</t>
  </si>
  <si>
    <t>116  Renovar en un 50% la dotación de Equipos de Protección Personal del Cuerpo de Bomberos de Bogotá</t>
  </si>
  <si>
    <t>Adquirir herramientas, equipos y accesorios para la tención de emergencias.</t>
  </si>
  <si>
    <t>Subdirección Logística -
Subdirección Operativa</t>
  </si>
  <si>
    <t>Gestión de las Comunicaciones Internas y Externas</t>
  </si>
  <si>
    <t>Evaluación Independiente</t>
  </si>
  <si>
    <t>Gestión Tecnológica</t>
  </si>
  <si>
    <t>Gestión Estratégica</t>
  </si>
  <si>
    <t>Gestión de Asuntos Jurídicos</t>
  </si>
  <si>
    <t>Conocimiento del Riesgo</t>
  </si>
  <si>
    <t>Reducción del Riesgo</t>
  </si>
  <si>
    <t>Gestión Integral de Incendios</t>
  </si>
  <si>
    <t>Gestión para la Búsqueda y Rescate</t>
  </si>
  <si>
    <t>Gestión Logística en Emergencias</t>
  </si>
  <si>
    <t>Gestión Administrativa</t>
  </si>
  <si>
    <t>Gestión Integrada</t>
  </si>
  <si>
    <t>Gestión de PQRS</t>
  </si>
  <si>
    <t>Gestión Financiera</t>
  </si>
  <si>
    <t>Gestión de Infraestructura</t>
  </si>
  <si>
    <t>Gestión del Talento Humano</t>
  </si>
  <si>
    <t xml:space="preserve">Gestión Logística en Emergencias
Gestión Integral de Incendios
</t>
  </si>
  <si>
    <t>META 1° TRIM
(celda N)</t>
  </si>
  <si>
    <t>META PROD.</t>
  </si>
  <si>
    <t>ACTIVIDADES DEL PROYECTO TOTAL</t>
  </si>
  <si>
    <t>SUB. GESTION RIESGO</t>
  </si>
  <si>
    <t xml:space="preserve">Realizar una actividad de conocimiento  y/o Reducción en riesgos en incendios, búsqueda y rescate y materiales peligrosos </t>
  </si>
  <si>
    <t>Socialización de la estrategia de cambio climático UAECOB</t>
  </si>
  <si>
    <t>Revisión de la Estrategia de  sensibilización  educación en prevención de incendios y emergencias conexas- Club Bomberitos</t>
  </si>
  <si>
    <t>Ejecución de 17 jornadas de sensibilización del equipo de investigación de incendios  en las 17 estaciones de la UAECOB</t>
  </si>
  <si>
    <t>SUB. OPERATIVA</t>
  </si>
  <si>
    <t>Ejecutar el plan de mantenimiento de la infraestructura física de 9 Estaciones de Bomberos.</t>
  </si>
  <si>
    <t>SUB. GESTION CORPORATIVA</t>
  </si>
  <si>
    <t xml:space="preserve">Realizar la solicitud de la licencia de  funcionamiento de la Escuela de Formación Bomberil ante la Secretaria Distrital de Educación. </t>
  </si>
  <si>
    <t>SUB. GESTION HUMANA</t>
  </si>
  <si>
    <t xml:space="preserve">Realizar la solicitud de la licencia de  SST de la Escuela de Formación Bomberil ante la Secretaria Distrital de salud. </t>
  </si>
  <si>
    <t>Tramitar ante la Dirección Nacional de Bomberos la acreditación de instructores activos de Formación Bomberil.</t>
  </si>
  <si>
    <t xml:space="preserve">Elaborar y gestionar ante la dirección y subdirecciones de la UAECOB la revisión del Informe Técnico Preliminar para la adquisición del predio para una Academia Bomberil.              
</t>
  </si>
  <si>
    <t>Realizar las modificaciones pertinentes para tener como resultado el Informe Técnico Final de la adquisición del predio</t>
  </si>
  <si>
    <t xml:space="preserve">Elaborar los Estudios Previos para la adquisición del predio. </t>
  </si>
  <si>
    <t>Realizar la adquisición del predio.</t>
  </si>
  <si>
    <t>Gestionar la adquisición de un predio para la  implementación de una Estación de Bomberos</t>
  </si>
  <si>
    <t>Gestionar el trámite de licencia de construcción en modalidad de Obra Nueva ante curaduría  para la Estación Satélite Forestal de Bomberos</t>
  </si>
  <si>
    <t>* Adjudicar el proceso de obra y de interventoría de la construcción de la Estación de Bellavista.</t>
  </si>
  <si>
    <t xml:space="preserve">ACTIVIDADES DEL PROYECTO TOTAL
</t>
  </si>
  <si>
    <t>Finalizar el desarrollo de la implementación  de un servicios y/o trámite en la ventanilla única de atención al ciudadano</t>
  </si>
  <si>
    <t>OF. ASESORA PLANEACIÓN</t>
  </si>
  <si>
    <t>Levantamiento de la información con bases de datos de Parque Automotor, Equipo Menor y Suministros,  como insumo  que serán controlados a través de la  conformación de un sistema de información logístico.</t>
  </si>
  <si>
    <t>Implementar estrategias para incentivar el ahorro de papel y servicios públicos</t>
  </si>
  <si>
    <t>Productos y Actividades que aplican al Plan de Desarrollo 2018</t>
  </si>
  <si>
    <t>Ejecución de 34 jornadas de sensibilización en las 17 estaciones de los cambios normativos en  revisiones técnicas y aglomeración de publico</t>
  </si>
  <si>
    <r>
      <t xml:space="preserve">ACTIVIDAD TRANSVERSAL 
</t>
    </r>
    <r>
      <rPr>
        <b/>
        <i/>
        <sz val="12"/>
        <color theme="1"/>
        <rFont val="Calibri"/>
        <family val="2"/>
        <scheme val="minor"/>
      </rPr>
      <t>(*No se encuentra en la matriz del Plan de Acción, Actividad que se gestiona para el Plan de Desarrollo 2018)</t>
    </r>
  </si>
  <si>
    <t>Preparación del material para realización de las socializaciones</t>
  </si>
  <si>
    <t>Verificación asistencia de los participantes</t>
  </si>
  <si>
    <t>Resultados de la evaluación de la socialización</t>
  </si>
  <si>
    <t>Capacitar en lenguaje de señas a los servidores que ejecuten acciones directas de atención a la ciudadanía</t>
  </si>
  <si>
    <t> Elaboración de estudios previos justificando las necesidades de la Unidad frente a la  realización de 7 talleres de Lengua de Señas para el fortalecimiento de la capacidad institucional en atención a la ciudadanía diferencial, teniendo en cuenta la necesidad inclusión de los servidores que adelantan actividades de atención y contacto directo con la ciudadanía, con el fin de mejorar la atención presencial en el ámbito misional de la Entidad</t>
  </si>
  <si>
    <t>Proceso de gestión contractual firmado éntrelas partes UAECOB y proveedor de servicios</t>
  </si>
  <si>
    <t>Desarrollo de los siete (7) talleres realizados</t>
  </si>
  <si>
    <t>Flujo de procesos con la integración de los estándares de Gestión de Calidad, Ambiental y Seguridad y Salud en el Trabajo en los Procesos.</t>
  </si>
  <si>
    <t>Modificación de la ruta de la calidad</t>
  </si>
  <si>
    <t>Se realizará la modificación en los procesos - objeto de estudio - con el fin de evaluar su desempeño una vez se integren los requisitos de los estándares mencionados en el nombre del producto.
Los procesos que intervenirán serán: Atención de Incendios, Búsqueda y Rescate, Matpel, Infraestructura, Mantenimiento preventivo y Correctivo, Gestión Integrada.</t>
  </si>
  <si>
    <t>Realizar las mesas de trabajo para llevar a cabo la integración de los estándares.</t>
  </si>
  <si>
    <t>Realizar una evaluación del desempeño de los procesos a partir de la incorporación de los estándares.</t>
  </si>
  <si>
    <t>La modificación de la ruta de la calidad consiste en adecuar la estructura de las carpetas a la nueva configuración del mapa de procesos. En este sentido se organizarán las 17 carpetas correspondientes a cada uno de los procesos de la entidad.</t>
  </si>
  <si>
    <t>Organizar las carpetas de los procesos misionales en la ruta de la calidad</t>
  </si>
  <si>
    <t>Organizar las carpetas de los procesos estratégicos y de apoyo en la ruta de la calidad</t>
  </si>
  <si>
    <t>Modificación de la ruta de la calidad de la estructura de las carpetas a la nueva configuración del mapa de procesos de la UAECOB</t>
  </si>
  <si>
    <t>Realizar las mesas de trabajo para llevar a cabo la integración de los estándares de Gestión de Calidad, Ambiental y Seguridad y Salud en el Trabajo.</t>
  </si>
  <si>
    <t>Realizar una evaluación del desempeño de los procesos a partir de la incorporación de los estándares los estándares de Gestión de Calidad, Ambiental y Seguridad y Salud en el Trabajo.</t>
  </si>
  <si>
    <t xml:space="preserve">Durante el trimestre se realizaron 3 Ediciones de la Revista Bomberos. </t>
  </si>
  <si>
    <t>Edición 3: https://mail.google.com/mail/u/0/?tab=wm#search/revista+bomberos/162868856b74361c                                  Edición 2: https://mail.google.com/mail/u/0/?tab=wm#search/revista+bomberos/161e20307d4a6699                                  Edición 1: https://mail.google.com/mail/u/0/?tab=wm#search/revista+bomberos/161537ec184a1567</t>
  </si>
  <si>
    <t>Durante el trimestre se realizaron 12 noticieros.</t>
  </si>
  <si>
    <t xml:space="preserve">Noticiero,  Bomberos Hoy,  12 de enero 2018.
https://www.youtube.com/watch?v=dJVMwDCiWgg
19 de enero 2018.
https://www.youtube.com/watch?v=epwTpxyR94U
26 de enero 2018.
https://www.youtube.com/watch?v=_nk1HsTr_aI
2 de febrero  2018.
https://www.youtube.com/watch?v=uT65_eP3iJM
9 de febrero  2018.
https://www.youtube.com/watch?v=B7bTI76BE4E
16 de febrero  2018.
https://www.youtube.com/watch?v=nL_-baB05-I
23 de febrero  2018.
https://www.youtube.com/watch?v=U386vfOsoEc
2 de marzo  2018.
https://www.youtube.com/watch?v=449PFCluDfs&amp;t=542s
10 de marzo  2018.
https://www.youtube.com/watch?v=CY2CNCIdvLA&amp;t=358s
16 de marzo  2018.
https://www.youtube.com/watch?v=aI591FO9hNs
23 de marzo  2018.
https://www.youtube.com/watch?v=LUhMC631uRk
30 de marzo  2018.
https://www.youtube.com/watch?v=0a4dEEoZYwM
</t>
  </si>
  <si>
    <t>Durante el trimestre se realizaron 6 Crónicas Bomberos de Corazón.</t>
  </si>
  <si>
    <r>
      <rPr>
        <b/>
        <sz val="12"/>
        <color theme="1"/>
        <rFont val="Calibri"/>
        <family val="2"/>
        <scheme val="minor"/>
      </rPr>
      <t xml:space="preserve">12 de Marzo, Clasificación ISARG: </t>
    </r>
    <r>
      <rPr>
        <sz val="12"/>
        <color theme="1"/>
        <rFont val="Calibri"/>
        <family val="2"/>
        <scheme val="minor"/>
      </rPr>
      <t xml:space="preserve">https://twitter.com/BomberosBogota/status/973185358652469249?s=20                      </t>
    </r>
    <r>
      <rPr>
        <b/>
        <sz val="12"/>
        <color theme="1"/>
        <rFont val="Calibri"/>
        <family val="2"/>
        <scheme val="minor"/>
      </rPr>
      <t xml:space="preserve">8 de marzo Homenaje a la Mujer Bombero: </t>
    </r>
    <r>
      <rPr>
        <sz val="12"/>
        <color theme="1"/>
        <rFont val="Calibri"/>
        <family val="2"/>
        <scheme val="minor"/>
      </rPr>
      <t xml:space="preserve">https://twitter.com/BomberosBogota/status/971883562831097856?s=20  </t>
    </r>
    <r>
      <rPr>
        <b/>
        <sz val="12"/>
        <color theme="1"/>
        <rFont val="Calibri"/>
        <family val="2"/>
        <scheme val="minor"/>
      </rPr>
      <t xml:space="preserve">                  14 de Febrero Padre e Hijo: Bomberos de Corazón </t>
    </r>
    <r>
      <rPr>
        <sz val="12"/>
        <color theme="1"/>
        <rFont val="Calibri"/>
        <family val="2"/>
        <scheme val="minor"/>
      </rPr>
      <t xml:space="preserve">https://twitter.com/BomberosBogota/status/963824120910831617?s=20                      </t>
    </r>
    <r>
      <rPr>
        <b/>
        <sz val="12"/>
        <color theme="1"/>
        <rFont val="Calibri"/>
        <family val="2"/>
        <scheme val="minor"/>
      </rPr>
      <t xml:space="preserve">1 de Febrero Bomberos en Bicicleta:    </t>
    </r>
    <r>
      <rPr>
        <sz val="12"/>
        <color theme="1"/>
        <rFont val="Calibri"/>
        <family val="2"/>
        <scheme val="minor"/>
      </rPr>
      <t xml:space="preserve">    </t>
    </r>
    <r>
      <rPr>
        <b/>
        <sz val="12"/>
        <color theme="1"/>
        <rFont val="Calibri"/>
        <family val="2"/>
        <scheme val="minor"/>
      </rPr>
      <t xml:space="preserve">https://twitter.com/BomberosBogota/status/959209218631979009?s=20              24 de enero Entrega de Máquinas: </t>
    </r>
    <r>
      <rPr>
        <sz val="12"/>
        <color theme="1"/>
        <rFont val="Calibri"/>
        <family val="2"/>
        <scheme val="minor"/>
      </rPr>
      <t xml:space="preserve">https://twitter.com/BomberosBogota/status/956172787873435648?s=20                   </t>
    </r>
    <r>
      <rPr>
        <b/>
        <sz val="12"/>
        <color theme="1"/>
        <rFont val="Calibri"/>
        <family val="2"/>
        <scheme val="minor"/>
      </rPr>
      <t xml:space="preserve">11 de Enero: Conmemoración Bomberos Centro Historico por la labor cumplida: </t>
    </r>
    <r>
      <rPr>
        <sz val="12"/>
        <color theme="1"/>
        <rFont val="Calibri"/>
        <family val="2"/>
        <scheme val="minor"/>
      </rPr>
      <t>https://twitter.com/BomberosBogota/status/951408381599809536?s=20</t>
    </r>
  </si>
  <si>
    <t>Durante el trimestre se realizaron 6 Crónicas Acciones Bomberiles.</t>
  </si>
  <si>
    <r>
      <rPr>
        <b/>
        <sz val="12"/>
        <color theme="1"/>
        <rFont val="Calibri"/>
        <family val="2"/>
        <scheme val="minor"/>
      </rPr>
      <t xml:space="preserve">21 de marzo </t>
    </r>
    <r>
      <rPr>
        <sz val="12"/>
        <color theme="1"/>
        <rFont val="Calibri"/>
        <family val="2"/>
        <scheme val="minor"/>
      </rPr>
      <t xml:space="preserve">https://twitter.com/Citytv/status/976516911688232967?s=20  </t>
    </r>
    <r>
      <rPr>
        <b/>
        <sz val="12"/>
        <color theme="1"/>
        <rFont val="Calibri"/>
        <family val="2"/>
        <scheme val="minor"/>
      </rPr>
      <t xml:space="preserve">                                           2 de Marzo: </t>
    </r>
    <r>
      <rPr>
        <sz val="12"/>
        <color theme="1"/>
        <rFont val="Calibri"/>
        <family val="2"/>
        <scheme val="minor"/>
      </rPr>
      <t xml:space="preserve">https://twitter.com/BomberosBogota/status/969703506767687681?s=20                   </t>
    </r>
    <r>
      <rPr>
        <b/>
        <sz val="12"/>
        <color theme="1"/>
        <rFont val="Calibri"/>
        <family val="2"/>
        <scheme val="minor"/>
      </rPr>
      <t xml:space="preserve">16 de Febrero: </t>
    </r>
    <r>
      <rPr>
        <sz val="12"/>
        <color theme="1"/>
        <rFont val="Calibri"/>
        <family val="2"/>
        <scheme val="minor"/>
      </rPr>
      <t xml:space="preserve">https://twitter.com/BomberosBogota/status/964547571724234752?s=20   </t>
    </r>
    <r>
      <rPr>
        <b/>
        <sz val="12"/>
        <color theme="1"/>
        <rFont val="Calibri"/>
        <family val="2"/>
        <scheme val="minor"/>
      </rPr>
      <t xml:space="preserve">                 13 de Febrero:</t>
    </r>
    <r>
      <rPr>
        <sz val="12"/>
        <color theme="1"/>
        <rFont val="Calibri"/>
        <family val="2"/>
        <scheme val="minor"/>
      </rPr>
      <t xml:space="preserve"> https://twitter.com/BomberosBogota/status/963544804201259009?s=20</t>
    </r>
    <r>
      <rPr>
        <b/>
        <sz val="12"/>
        <color theme="1"/>
        <rFont val="Calibri"/>
        <family val="2"/>
        <scheme val="minor"/>
      </rPr>
      <t xml:space="preserve">                   31 de enero: </t>
    </r>
    <r>
      <rPr>
        <sz val="12"/>
        <color theme="1"/>
        <rFont val="Calibri"/>
        <family val="2"/>
        <scheme val="minor"/>
      </rPr>
      <t xml:space="preserve">https://twitter.com/Pedromanosalvar/status/958689494529708033?s=20                      </t>
    </r>
    <r>
      <rPr>
        <b/>
        <sz val="12"/>
        <color theme="1"/>
        <rFont val="Calibri"/>
        <family val="2"/>
        <scheme val="minor"/>
      </rPr>
      <t xml:space="preserve">5 de enero: </t>
    </r>
    <r>
      <rPr>
        <sz val="12"/>
        <color theme="1"/>
        <rFont val="Calibri"/>
        <family val="2"/>
        <scheme val="minor"/>
      </rPr>
      <t>https://twitter.com/BomberosBogota/status/949274636054876160?s=20</t>
    </r>
  </si>
  <si>
    <t>Durante el trimestre se realizaron 11 publicaciones  de la Foto de la Semana.</t>
  </si>
  <si>
    <r>
      <rPr>
        <b/>
        <sz val="12"/>
        <color theme="1"/>
        <rFont val="Calibri"/>
        <family val="2"/>
        <scheme val="minor"/>
      </rPr>
      <t xml:space="preserve">Viernes 23 de marzo: </t>
    </r>
    <r>
      <rPr>
        <sz val="12"/>
        <color theme="1"/>
        <rFont val="Calibri"/>
        <family val="2"/>
        <scheme val="minor"/>
      </rPr>
      <t xml:space="preserve">https://twitter.com/BomberosBogota/status/977320900201713666?s=20                </t>
    </r>
    <r>
      <rPr>
        <b/>
        <sz val="12"/>
        <color theme="1"/>
        <rFont val="Calibri"/>
        <family val="2"/>
        <scheme val="minor"/>
      </rPr>
      <t>Viernes 16 de marzo:</t>
    </r>
    <r>
      <rPr>
        <sz val="12"/>
        <color theme="1"/>
        <rFont val="Calibri"/>
        <family val="2"/>
        <scheme val="minor"/>
      </rPr>
      <t xml:space="preserve"> https://twitter.com/BomberosBogota/status/974790153066737664?s=20          </t>
    </r>
    <r>
      <rPr>
        <b/>
        <sz val="12"/>
        <color theme="1"/>
        <rFont val="Calibri"/>
        <family val="2"/>
        <scheme val="minor"/>
      </rPr>
      <t>Viernes 10 de marzo:</t>
    </r>
    <r>
      <rPr>
        <sz val="12"/>
        <color theme="1"/>
        <rFont val="Calibri"/>
        <family val="2"/>
        <scheme val="minor"/>
      </rPr>
      <t xml:space="preserve"> https://twitter.com/BomberosBogota/status/972484032880627713?s=20           </t>
    </r>
    <r>
      <rPr>
        <b/>
        <sz val="12"/>
        <color theme="1"/>
        <rFont val="Calibri"/>
        <family val="2"/>
        <scheme val="minor"/>
      </rPr>
      <t xml:space="preserve">Viernes 2 de marzo: </t>
    </r>
    <r>
      <rPr>
        <sz val="12"/>
        <color theme="1"/>
        <rFont val="Calibri"/>
        <family val="2"/>
        <scheme val="minor"/>
      </rPr>
      <t xml:space="preserve">https://twitter.com/BomberosBogota/status/969694151196512258?s=20          </t>
    </r>
    <r>
      <rPr>
        <b/>
        <sz val="12"/>
        <color theme="1"/>
        <rFont val="Calibri"/>
        <family val="2"/>
        <scheme val="minor"/>
      </rPr>
      <t xml:space="preserve">Viernes 23 de febrero: </t>
    </r>
    <r>
      <rPr>
        <sz val="12"/>
        <color theme="1"/>
        <rFont val="Calibri"/>
        <family val="2"/>
        <scheme val="minor"/>
      </rPr>
      <t xml:space="preserve">https://twitter.com/BomberosBogota/status/967159629821169665?s=20          </t>
    </r>
    <r>
      <rPr>
        <b/>
        <sz val="12"/>
        <color theme="1"/>
        <rFont val="Calibri"/>
        <family val="2"/>
        <scheme val="minor"/>
      </rPr>
      <t>Viernes 16 de febrero:</t>
    </r>
    <r>
      <rPr>
        <sz val="12"/>
        <color theme="1"/>
        <rFont val="Calibri"/>
        <family val="2"/>
        <scheme val="minor"/>
      </rPr>
      <t xml:space="preserve"> https://twitter.com/BomberosBogota/status/964657664146968580?s=20          </t>
    </r>
    <r>
      <rPr>
        <b/>
        <sz val="12"/>
        <color theme="1"/>
        <rFont val="Calibri"/>
        <family val="2"/>
        <scheme val="minor"/>
      </rPr>
      <t xml:space="preserve">Viernes 9 de febrero: </t>
    </r>
    <r>
      <rPr>
        <sz val="12"/>
        <color theme="1"/>
        <rFont val="Calibri"/>
        <family val="2"/>
        <scheme val="minor"/>
      </rPr>
      <t xml:space="preserve">https://twitter.com/BomberosBogota/status/962114920564305920?s=20          </t>
    </r>
    <r>
      <rPr>
        <b/>
        <sz val="12"/>
        <color theme="1"/>
        <rFont val="Calibri"/>
        <family val="2"/>
        <scheme val="minor"/>
      </rPr>
      <t xml:space="preserve">Viernes 2 de febrero: </t>
    </r>
    <r>
      <rPr>
        <sz val="12"/>
        <color theme="1"/>
        <rFont val="Calibri"/>
        <family val="2"/>
        <scheme val="minor"/>
      </rPr>
      <t xml:space="preserve">https://twitter.com/BomberosBogota/status/959562087788896257?s=20          </t>
    </r>
    <r>
      <rPr>
        <b/>
        <sz val="12"/>
        <color theme="1"/>
        <rFont val="Calibri"/>
        <family val="2"/>
        <scheme val="minor"/>
      </rPr>
      <t>Viernes 26 de enero:</t>
    </r>
    <r>
      <rPr>
        <sz val="12"/>
        <color theme="1"/>
        <rFont val="Calibri"/>
        <family val="2"/>
        <scheme val="minor"/>
      </rPr>
      <t xml:space="preserve"> https://twitter.com/BomberosBogota/status/957026635882131466?s=20           </t>
    </r>
    <r>
      <rPr>
        <b/>
        <sz val="12"/>
        <color theme="1"/>
        <rFont val="Calibri"/>
        <family val="2"/>
        <scheme val="minor"/>
      </rPr>
      <t xml:space="preserve">Viernes 19 de enero: </t>
    </r>
    <r>
      <rPr>
        <sz val="12"/>
        <color theme="1"/>
        <rFont val="Calibri"/>
        <family val="2"/>
        <scheme val="minor"/>
      </rPr>
      <t xml:space="preserve">https://twitter.com/BomberosBogota/status/954504759423225856?s=20           </t>
    </r>
    <r>
      <rPr>
        <b/>
        <sz val="12"/>
        <color theme="1"/>
        <rFont val="Calibri"/>
        <family val="2"/>
        <scheme val="minor"/>
      </rPr>
      <t xml:space="preserve">Viernes 12 de enero: </t>
    </r>
    <r>
      <rPr>
        <sz val="12"/>
        <color theme="1"/>
        <rFont val="Calibri"/>
        <family val="2"/>
        <scheme val="minor"/>
      </rPr>
      <t>https://twitter.com/BomberosBogota/status/951952011125252096?s=20</t>
    </r>
  </si>
  <si>
    <t>NA</t>
  </si>
  <si>
    <t>Se cumplio en su totalidad el objetivo.</t>
  </si>
  <si>
    <t>Acta de reunion</t>
  </si>
  <si>
    <t>Acta de Reunion</t>
  </si>
  <si>
    <t>acta de reunion</t>
  </si>
  <si>
    <t>N/A</t>
  </si>
  <si>
    <t>Etiquetas de fila</t>
  </si>
  <si>
    <t>Suma de AVENCE PONDERADO</t>
  </si>
  <si>
    <t>CUMPLIMIENTO ACTIVIDADES</t>
  </si>
  <si>
    <t>AVANCE PONDERADO ACUMULADO PA</t>
  </si>
  <si>
    <t>AVANCE PONDERADO PERIODO EVALUADO PA</t>
  </si>
  <si>
    <t>Reponderación actividad calculo en el periodo</t>
  </si>
  <si>
    <t>Suma de AVANCE PONDERADO ACUMULADO PA</t>
  </si>
  <si>
    <t>Avance acumulado en la gestión de las actividades del Plan de Acción Institucional.</t>
  </si>
  <si>
    <t>INDICADORES</t>
  </si>
  <si>
    <t>EN EJECUCIÓN</t>
  </si>
  <si>
    <t>SIN EJECUTAR</t>
  </si>
  <si>
    <t>Cuenta de Estado del Producto</t>
  </si>
  <si>
    <t>Total general</t>
  </si>
  <si>
    <t>Etiquetas de columna</t>
  </si>
  <si>
    <t>Cultura de Servicio</t>
  </si>
  <si>
    <t>PORCENTAJE</t>
  </si>
  <si>
    <t>ESCALA</t>
  </si>
  <si>
    <t>Avance</t>
  </si>
  <si>
    <t>grado</t>
  </si>
  <si>
    <t>Puntos</t>
  </si>
  <si>
    <t>x</t>
  </si>
  <si>
    <t>y</t>
  </si>
  <si>
    <t>Inicio</t>
  </si>
  <si>
    <t>Fin</t>
  </si>
  <si>
    <t>Dependencia</t>
  </si>
  <si>
    <t>MALO</t>
  </si>
  <si>
    <t>EXCELENTE</t>
  </si>
  <si>
    <t>Promedio de AVENCE PONDERADO</t>
  </si>
  <si>
    <t>Gestionar tres ediciones revista virtual. correspondientes al 1er trimestre, realizando la recopilación de la información, diseño y  publicación.</t>
  </si>
  <si>
    <t>Gestionar tres ediciones revista virtual. correspondientes al 2do trimestre, realizando la recopilación de la información, diseño y  publicación.</t>
  </si>
  <si>
    <t>Gestionar tres ediciones revista virtual. correspondientes al 3er trimestre, realizando la recopilación de la información, diseño y  publicación.</t>
  </si>
  <si>
    <t>Gestionar tres ediciones revista virtual. correspondientes al 4to trimestre, realizando la recopilación de la información, diseño y  publicación.</t>
  </si>
  <si>
    <t>Avance ponderado de las metas de los productos del Plan de acción Institucional.</t>
  </si>
  <si>
    <t>Cumplimiento de los productos del Plan de Acción Institucional en el periodo evaluado.</t>
  </si>
  <si>
    <t>Productos</t>
  </si>
  <si>
    <t>Actividades</t>
  </si>
  <si>
    <t>Titullo grafico</t>
  </si>
  <si>
    <t>Mostrar Productos</t>
  </si>
  <si>
    <t>Mostrar Actividades</t>
  </si>
  <si>
    <t>% alcanzado</t>
  </si>
  <si>
    <t>total</t>
  </si>
  <si>
    <t>AVANCE 2° TRIM</t>
  </si>
  <si>
    <t>META 2° TRIM
(celda O)</t>
  </si>
  <si>
    <t>Programado 2do trimestre</t>
  </si>
  <si>
    <t>Avance Ponderado 2do tri.</t>
  </si>
  <si>
    <t>Cumplimiento Producto 2do tri.</t>
  </si>
  <si>
    <t>ESTADO</t>
  </si>
  <si>
    <t>No. De Producto</t>
  </si>
  <si>
    <t>Programado 2do tri.</t>
  </si>
  <si>
    <t>META 2° TRIM</t>
  </si>
  <si>
    <t>AVANCE 2° TRI</t>
  </si>
  <si>
    <t>PDF enviado por correo electrónico</t>
  </si>
  <si>
    <t>Noticiero "Bomberos Hoy"</t>
  </si>
  <si>
    <t>Noticiero en video subido a la plataforma de YouTube de la entidad</t>
  </si>
  <si>
    <t>En el año se realizarán 50 publicaciones, en las cuales se destacará la información de los eventos, actividades y emergencias más relevantes desarrolladas durante la semana en curso en que se emita el noticiero</t>
  </si>
  <si>
    <t>Periódico virtual "El Hidrante!</t>
  </si>
  <si>
    <t>Imagen enviada a través de correo electrónico a las cuentas de la UAECOB</t>
  </si>
  <si>
    <t>En el año se realizarán 50 publicaciones, en las cuales se destacará la información de comunicación interna, para de esta forma mantener actualizado al personal de la UAECOB.</t>
  </si>
  <si>
    <t>Reportaje: Bomberos en acción</t>
  </si>
  <si>
    <t>Video enviado a través de Redes Sociales y publicado en los noticieros de cada semana de la UAECOB</t>
  </si>
  <si>
    <t>50 Videos enviado a través de Redes Sociales y publicado en los noticieros de cada semana de la UAECOB. De esta forma se mostrará a la comunidad la labor que realizan los Bomberos en materia de atención de incidentes</t>
  </si>
  <si>
    <t>La foto de la semana</t>
  </si>
  <si>
    <t>Foto diagramada publicada en redes sociales</t>
  </si>
  <si>
    <t>50 Fotos diagramada publicada en redes sociales. A través de una fotografía mostrar el incidente o hecho que haya sido relevante durante la semana y que por sí misma genere impacto visual</t>
  </si>
  <si>
    <t>Crónica: Historias en Bomberos Bogotá</t>
  </si>
  <si>
    <t>50 Video. Contar a través de videos las historias que suceden en las estaciones o a los bomberos y que son dignas de contar</t>
  </si>
  <si>
    <t>Durante el trimestre se realizaron 3 Ediciones de la Revista Bomberos, del mes de Enero, Febrero y Marzo, los cuales fueron emitidos en el mes siguiente a su finalización.</t>
  </si>
  <si>
    <t>Durante el trimestre se realizaron 13 Ediciones del Noticiero "Bomberos Hoy"</t>
  </si>
  <si>
    <t>Durante el trimestre se realizaron 12 Ediciones de El Hidrante periódico digital, el cual fue enviado a través de correo electrónico a la entidad.</t>
  </si>
  <si>
    <t>Durante el trimestre se realizaron 13 ediciones de la Foto de la Semana, la cual fue enviada a través de redes sociales los días viernes.</t>
  </si>
  <si>
    <t>Plan anual de auditoria vigencia 2019</t>
  </si>
  <si>
    <t>Cumplir el 100% de las actividades programadas en el Plan Anual de Auditorías para la vigencia</t>
  </si>
  <si>
    <t>Plan de adecuación del Modelo Integrado de Planeación y Gestión - MIPG - y el Sistema Integrado de Gestión.</t>
  </si>
  <si>
    <t>100% Actividades cumplidas del plan de adecuación. En los estándares definidos en el Sistema Integrado de Gestión a los requerimientos del MIPG</t>
  </si>
  <si>
    <t>Responsable del Sistema de Gestión de Calidad</t>
  </si>
  <si>
    <t>Integracion de los procesos de SIG-MIPG</t>
  </si>
  <si>
    <t>Caracterizaciones de proceso publicadas</t>
  </si>
  <si>
    <t>Actualizar el 100% de las caracterizaciones de proceso de la UAECOB</t>
  </si>
  <si>
    <t>Diagramas de flujo de proceso</t>
  </si>
  <si>
    <t>Diagrama de flujo de procesos publicados</t>
  </si>
  <si>
    <t>Documentar los diagramas de flujo de proceso de acuerdo con las actualizaciones realizadas al mapa de proceso</t>
  </si>
  <si>
    <t>92. Optimizar sistemas de información implementados y optimizados</t>
  </si>
  <si>
    <t xml:space="preserve">Ventanilla única de atención ciudadano. </t>
  </si>
  <si>
    <t>Diseño, desarrollo e implementación de la nueva intranet para la UAECOB</t>
  </si>
  <si>
    <t>Realizar el diseño, desarrollo de la nueva Intranet para la UAECOB</t>
  </si>
  <si>
    <t xml:space="preserve">Transición de la Estrategia de Gobierno en linea a la implementacion de la Política de Gobierno Digital </t>
  </si>
  <si>
    <t xml:space="preserve">Diseño, Revision, estructutacion e implementacion  de la Politica de Gobierno Digital al interior de la UAECOB   </t>
  </si>
  <si>
    <t>Aplicación móvil para el sistema de información Misional Implementada</t>
  </si>
  <si>
    <t>Herramienta tecnológica para la creación y administración de cursos virtuales en la UEA implementada</t>
  </si>
  <si>
    <t>Herramienta tecnológica para la administración y gestión documental de la UAECOB Implementada.</t>
  </si>
  <si>
    <t>Levantamiento de inventario de activos de Información de Software, hardware y servicios, cuadro de caracterización documental actualizados</t>
  </si>
  <si>
    <t>Diseño, desarrollo e implementación del nuevo Sistema de Información Misional para la UAECOB</t>
  </si>
  <si>
    <t>Realizar la contratación de un proveedor para el diseño y desarrollo del Nuevo Sistema de Información Misional para la Entidad</t>
  </si>
  <si>
    <t>Guía de Buenas Prácticas UAECOB 2019</t>
  </si>
  <si>
    <t>Se actualizará la guía de Buenas Prácticas UAECOB con la datos e información de resultados de 2018, así como se identificarán nuevas buenas prácticas</t>
  </si>
  <si>
    <t>Grupo Cooperación Internacional y Alianzas Estratégicas</t>
  </si>
  <si>
    <t>Portafolio de Servicios UAECOB 2019</t>
  </si>
  <si>
    <t>Se actualizará el Portafolio de Servicios de la UAECOB con la información de 2018, así como se identificarán las nuevas líneas de servicios brindadas por la entidad</t>
  </si>
  <si>
    <t>Jornadas de articulación con la Academia</t>
  </si>
  <si>
    <t>Und</t>
  </si>
  <si>
    <t>Se realizarán en el año 4 actividades de articulación con la Academia, donde se promueve la interlocución con universidades e instituciones de educación superior y técnica sobre temas de interés relacionados con las actividades bomberiles</t>
  </si>
  <si>
    <t>Modelo de caracterización del relacionamiento de la UAECOB con sus grupos de interés</t>
  </si>
  <si>
    <t>Se entregará un modelo que describa los elementos fundamentales bajo los cuales se desarrolla la articulación de la UAECOB con sus aliados estratégicos</t>
  </si>
  <si>
    <t>Seguimiento y control de los Planes e Indicadores que Gestiona la Entidad</t>
  </si>
  <si>
    <t xml:space="preserve">Generar los Informes trimestrales con los resultados de los planes e indicadores que gestiona la Entidad </t>
  </si>
  <si>
    <t>Area de Planeación y Gestión Estrategica - OAP</t>
  </si>
  <si>
    <t>Se han realizado las mesas de trabajo con los procesos para documentar las respectivos diagramas de flujo</t>
  </si>
  <si>
    <t>Se realizara seguimiento y control al area de gestion documental con el fin de concatenar la informacion restante mediante memorando</t>
  </si>
  <si>
    <t>Construcción de bases de datos de contratos</t>
  </si>
  <si>
    <t>Base de datos estructurada y revisada</t>
  </si>
  <si>
    <t>Creación de matriz de control y seguimiento de aprobación garantías</t>
  </si>
  <si>
    <t>Matriz control y seguimiento de aprobación de garantías</t>
  </si>
  <si>
    <t xml:space="preserve">Revisión de formatos y procedimientos de contratación </t>
  </si>
  <si>
    <t xml:space="preserve">Actas de reunión de la Jefe de la OAJ con el grupo de contratación </t>
  </si>
  <si>
    <t>Creación de protocolo para la puesta en marcha de medios alternativos de solución de conflictos</t>
  </si>
  <si>
    <t xml:space="preserve">Aplicación de protocolo para la puesta en marcha de medios alternativos de solución de conflictos. </t>
  </si>
  <si>
    <t>Se elaboró y se actualizó Matriz de contratación de la vigencia 2019 con datos como: objeto, valor, plazo, fecha de suscripción, adiciones, prorrogas, terminaciones anticipadas, Cesiones, con el fin de llevar un control y seguimiento adecuado de la UAECOB</t>
  </si>
  <si>
    <t>Matriz ubicada en carpeta digital 2019 Base de contratación</t>
  </si>
  <si>
    <t xml:space="preserve">Se elaboró  Matriz control y seguimiento de aprobación de garantías con el fin de realizar un seguimiento oportuno y efectivo a la constitución de las mismas por parte de los contratistas </t>
  </si>
  <si>
    <t>Matriz ubicada en el PC de Profesional Especializado</t>
  </si>
  <si>
    <t xml:space="preserve">Protocolo  ubicado en el PC de la Jefe de la Oficina Asesora Jurídica </t>
  </si>
  <si>
    <t>103. Adelantar el 100% de acciones parala prevención y mitigación del riesgo de incidentes forestales (connatos, quemas e incendios)</t>
  </si>
  <si>
    <t>Documento diagnostico frente a escenarios de aglomeraciones de público permanentes (Teatros y Cinemas)</t>
  </si>
  <si>
    <t>Porcentual</t>
  </si>
  <si>
    <t>Realizar el documento diagnostico del cumplimiento técnico normativo de escenarios de aglomeración permanente de Bogotá  (Teatros y Cinemas)</t>
  </si>
  <si>
    <t>Jorge Alberto Pardo Torres</t>
  </si>
  <si>
    <t>Proyecto virtualización capacitación normativa aplicada a revisiones técnicas</t>
  </si>
  <si>
    <t>Documento "Proyecto virtualización capacitación normativa aplicada a revisiones técnicas"</t>
  </si>
  <si>
    <t>Guía de riesgos comunes y asociados a incendios</t>
  </si>
  <si>
    <t>Documento "Guía de riesgos comunes y asociados a incendios"</t>
  </si>
  <si>
    <t xml:space="preserve">Número de mesas de trabajo </t>
  </si>
  <si>
    <t>Realizar el seguimiento del avance del proceso de sistematización del capacitación a brigadas contra incendio empresarial</t>
  </si>
  <si>
    <t>-</t>
  </si>
  <si>
    <t>Actualización de Módulos de Capacitación Comunitaria</t>
  </si>
  <si>
    <t xml:space="preserve">Realizar la actualización de los módulos de capacitación comunitaria </t>
  </si>
  <si>
    <t>Proyecto de virtualización de capacitación a brigadas contra incendio empresarial</t>
  </si>
  <si>
    <t>Elaboración del documento "Virtualización de capacitación a brigadas empresariales"</t>
  </si>
  <si>
    <t>Actualizar la estrategia "campañas de reducción del riesgo relacionadas con la prevención y mitigación de riesgos de incendio, matpel y otras  emergencias competencia de la UAECOB" - IMER</t>
  </si>
  <si>
    <t>Actualizar el documento de la estrategia de las campañas de reducción del riesgo relacionadas con la prevención y mitigación de riesgos de incendio, matpel y otras  emergencias competencia de la UAECOB</t>
  </si>
  <si>
    <t xml:space="preserve">Desarrollar jornadas de capacitación en las estaciones en pedagogía para las actividades del Club Bomberitos </t>
  </si>
  <si>
    <t xml:space="preserve">17 estaciones con personal capacitado en pedagogía para desarrollo de las actividades del club Bomberitos </t>
  </si>
  <si>
    <t>Desarrollar Actividades de la estrategia del Club Bomberitos en el marco del mes de la prevención (Caravanas de la Prevención)</t>
  </si>
  <si>
    <t>Desarrollar 4 Actividades de la estrategia del Club Bomberitos en el marco del mes de la prevención (Caravanas de la Prevención)</t>
  </si>
  <si>
    <t>Implementación proyecto de prevención y autoprotección  comunitaria ante incendios forestales (fase 2).</t>
  </si>
  <si>
    <t>Desarrollar el 100% del proyecto de prevención y autoprotección  comunitaria ante incendios forestales. (fase 2)</t>
  </si>
  <si>
    <t>Actualizar, publicar y seguimiento a la estrategia de cambio climático de la UAECOB</t>
  </si>
  <si>
    <t>Actualizar el 100% de la estrategia de cambio climático de la UAECOB</t>
  </si>
  <si>
    <t>cartografía social en localidad de puente Aranda para materiales peligrosos</t>
  </si>
  <si>
    <t>Desarrollar 1 piloto en la localidad de puente Aranda de cartografía social  para materiales peligrosos</t>
  </si>
  <si>
    <t xml:space="preserve">Divulgación de una campaña de gestión del riesgo en las 20 localidades </t>
  </si>
  <si>
    <t>Divulgar en las 20 localidades una campaña de Gestión del Riesgo</t>
  </si>
  <si>
    <t>Diseñar y Gestionar una estrategia para la gestión del riesgo por incendios forestales en la localidad de Sumapaz</t>
  </si>
  <si>
    <t>Gestionar  una estrategia para la gestión del riesgo por incendios forestales en la localidad de Sumapaz</t>
  </si>
  <si>
    <t xml:space="preserve">Insumo para Campaña de Prevención por incendios en el hogar </t>
  </si>
  <si>
    <t xml:space="preserve">Realizar un Insumo para una Campaña de Prevención por incendios en el hogar. Con la información Interna del equipo de Investigación de incendios </t>
  </si>
  <si>
    <t>correo electronico y documento anexo</t>
  </si>
  <si>
    <t xml:space="preserve">Documento word, Documento Excel </t>
  </si>
  <si>
    <t>actas de reunion y material estructurado de los progamas</t>
  </si>
  <si>
    <t xml:space="preserve">Acta de reunión </t>
  </si>
  <si>
    <t>Actas  de reunion y etsadisticas</t>
  </si>
  <si>
    <t>Curso Bomberitos 
"Nicolas Quevedo Rizo"</t>
  </si>
  <si>
    <t>Realización de un curso de Bomberitos semestral  "Nicolas Quevedo Rizo"   en 17 estaciones de la UAECOB (B1, B2,B3,B4, B5, B6,B7,B8, B9, B10, B11, B12, B13, B14, B15, B16 y B17),  en el marco de los programas de la estrategia de sensibilización y educación en Prevención de incendios y emergencias conexas -Club Bomberitos, de conformidad con lo acordado con la S.G.R.</t>
  </si>
  <si>
    <t>Comandantes de la cinco compañías y jefes de estaciones.</t>
  </si>
  <si>
    <t>Actualización del árbol de servicios</t>
  </si>
  <si>
    <t>Revisión, ajuste y/o actualización del  árbol de servicios y socialización a personal de las diecisiete  (17) estaciones de la Subdirección Operativa.
(el 100% de la meta equivale una actualización del árbol de servicios realizado durante durante la vigencia)</t>
  </si>
  <si>
    <t>Líder de la Central de Coordinación y Comunicaciones</t>
  </si>
  <si>
    <t>Información  estadística de las emergencias atendidas por la UAECOB.</t>
  </si>
  <si>
    <t xml:space="preserve">Publicaciones </t>
  </si>
  <si>
    <t>Publicación trimestral de la información estadística de emergencias atendidas por la  UAECOB, en la página web de la entidad. (trimestre vencido).</t>
  </si>
  <si>
    <t>Profesional de Subdirección Operativa a cargo de la información estadística</t>
  </si>
  <si>
    <t>Simulacro de comunicaciones en emergencias</t>
  </si>
  <si>
    <t>Realización un simulacro de comunicaciones en emergencias para validar la capacidad de respuesta ante un fallo en la infraestructura de comunicaciones troncalizadas.</t>
  </si>
  <si>
    <t>Revisión de hidrantes en Bogotá</t>
  </si>
  <si>
    <t>Revisión del 10%  de hidrantes de Bogotá según las jurisdicciones de cada una de las 17 estaciones.
(el 10% de la meta equivale al 100% de la gestión durante la vigencia)</t>
  </si>
  <si>
    <t>Gestión Integral de Vehículos y Equipos</t>
  </si>
  <si>
    <t>Plan para el Fortalecimiento de la Gestión Integral de los Servicios Logísticos</t>
  </si>
  <si>
    <t xml:space="preserve">Formalizar y Actualizar el Plan  para el fortalecimiento de  la Gestion Integral de los servicios Logisticos 
</t>
  </si>
  <si>
    <t>Subdireccion Logistica</t>
  </si>
  <si>
    <t xml:space="preserve">
Plan de Mantenimiento Preventivo y Correctivo de Parque Automotor 
</t>
  </si>
  <si>
    <t xml:space="preserve">Documentar  Plan de Mantenimiento Preventivo y Correctivo de Parque Automotor 
</t>
  </si>
  <si>
    <t xml:space="preserve">
Plan de Mantenimiento Preventivo y Correctivo de  Equipo Menor
</t>
  </si>
  <si>
    <t xml:space="preserve">
Documentar Plan de Mantenimiento Preventivo y Correctivo de Equipo Menor 
</t>
  </si>
  <si>
    <t>Diagnostico Integral de Archivos</t>
  </si>
  <si>
    <t>El Diagnostico Integral de Archivo es el instrumento que permite identificar la problemática, fortalezas y necesidades de la gestión documental de la Entidad.</t>
  </si>
  <si>
    <t>Coordinador Sistema de Gestión Documental- Francisco Rubiano</t>
  </si>
  <si>
    <t>Sensibilización en el  consumo de papel responsable en las 17 Estaciones y el Edificio Comando de la UAECOB</t>
  </si>
  <si>
    <t>Realizar Seguimiento a la implementación del PIGA</t>
  </si>
  <si>
    <t>Visitas</t>
  </si>
  <si>
    <t>Se realizará una visita trimestral a cada estación, para hacer seguimiento a la implementación del PIGA</t>
  </si>
  <si>
    <t>Realizar charlas comunicativas a los servidores públicos y/o contratistas del Edificio comando, en lo relacionado a las funciones del Defensor de la Ciudadanía de la UAECOB, para generar importancia frente a la oportunidad y coherencia de los requerimientos ciudadanos</t>
  </si>
  <si>
    <t>Fortalecer la figura del Defensor del Ciudadano al interior de la entidad, divulgando  las funciones y responsabilidades ente los usurios que solicitan trámites o servicios en realizando 4 charlas durante el año</t>
  </si>
  <si>
    <t>Servicio a la Ciudadanía - Cesar Augusto Zea Arévalo</t>
  </si>
  <si>
    <t>Realizar durante la vigencia 2019, cinco (05) capacitaciones dirigidas a los funcionarios de la UAECOB, las cuales se adelantaran por compañías.</t>
  </si>
  <si>
    <t xml:space="preserve">
Efectuar cuatro (4) capacitaciones en medición posterior bajo el nuevo marco normativo contable, en el año 2019.</t>
  </si>
  <si>
    <t>Auditores internos entrenados</t>
  </si>
  <si>
    <t>100% de los auditores formados en la Entidad, tengan entrenamiento de mínimo cuatro (4) horas de auditorias SIG</t>
  </si>
  <si>
    <t>Coordinador de Sistema Integrado de Gestión - Jenny Alexandra Peña Padilla</t>
  </si>
  <si>
    <t>Cambio de la Cultura del Sistema Integrado de Gestión- MIPG</t>
  </si>
  <si>
    <t>Conseguir una eficacia de capacitación del 80 % del personal administrativo y operativo</t>
  </si>
  <si>
    <t>Certificación ISO 9001-2015</t>
  </si>
  <si>
    <t>Cumplir al 100% del cronograma del Proyecto</t>
  </si>
  <si>
    <t xml:space="preserve">117. Construcción y puesta en marcha una (1) academia bomberil de Bogotá </t>
  </si>
  <si>
    <t>Elaboración de los Estudios y diseños para la obtención de la Licencia de Construcción en modalidad de Ampliación y Adecuación de la Estación de Bomberos de Marichuela - B10.</t>
  </si>
  <si>
    <t>Ejecutar el Plan de Mantenimiento de la infraestructura física de las 17 estaciones de bomberos.</t>
  </si>
  <si>
    <t>118. Aumentar en 2 las estaciones de Bomberos en Bogotá</t>
  </si>
  <si>
    <t>Gestionar ante el DADEP la entrega de un predio para la implementación de una (1) estación de bomberos</t>
  </si>
  <si>
    <t>119. Implementar (1) estación satélite forestal de bomberos sujeta al proyecto del sendero ambiental en los cerros orientales</t>
  </si>
  <si>
    <t>Realizar la supervisión del 80% de avance de obra para la Construcción de la Estación de Bomberos de Bellavista - B9.</t>
  </si>
  <si>
    <t>Implementar una Biblioteca virtual para la Unidad administrativa especial cuerpo oficial de bomberos Bogotá.</t>
  </si>
  <si>
    <t>Desarrollar e implementar una biblioteca virtual para la entidad</t>
  </si>
  <si>
    <t>Líder de Grupo - ACE-SGH</t>
  </si>
  <si>
    <t xml:space="preserve">Diseñar un programa de capacitación para ascenso de oficiales y suboficiales adaptado a la misionalidad de la entidad </t>
  </si>
  <si>
    <t xml:space="preserve">Desarrollar un programa de capacitación para ascenso de oficiales y suboficiales adaptado a nacionalidad de la entidad </t>
  </si>
  <si>
    <t xml:space="preserve">Realizar un programa de capacitación y reentrenamiento a mínimo dos grupos especializados durante dos jornadas </t>
  </si>
  <si>
    <t xml:space="preserve">Desarrollar e implementar  un programa de capacitación y entrenamiento a mínimo dos grupos especializados durante dos jornadas </t>
  </si>
  <si>
    <t>115. Crear (1) escuela de formación y capacitación de bomberos</t>
  </si>
  <si>
    <t>Realizar seguimiento a la implementación del subsistema de Seguridad y Salud en el Trabajo</t>
  </si>
  <si>
    <t>Implementar el Subsistema de Gestión en Seguridad y Salud en el Trabajo, cumpliendo la normatividad vigente</t>
  </si>
  <si>
    <t>Realizar las acciones necesarias para la Formalización de la Escuela de Formación Bomberil de la UAECOB ante las autoridades competentes</t>
  </si>
  <si>
    <t xml:space="preserve">Formalización de la Escuela de Formación Bomberil </t>
  </si>
  <si>
    <t>No fue posible establecer mesas de trabajo con comandantes y subcomandantes para evaluar el alcance normativo y demás componentes del programa.</t>
  </si>
  <si>
    <t>Subdirección Operativa</t>
  </si>
  <si>
    <t>Adquirir elementos de protección personal (E.P.P.) para la atención de incendios y operaciones de búsqueda y rescate</t>
  </si>
  <si>
    <t>Adquirir elementos de protección personal (E.P.P.) para la atención de incendios y operaciones de búsqueda y rescate.</t>
  </si>
  <si>
    <t>CONTROL DE CAMBIO: (Versión No. 11)</t>
  </si>
  <si>
    <t>1. Se realizó la actualización del formato, el cual se divide en tres (3) libros de Excel; Plan de Acción 2019 Producto, Plan de Acción 2019 Actividades, y Plan de Desarrollo 2019 Matriz</t>
  </si>
  <si>
    <t>2. Cada uno de los libros contiene una nueva estructura para su formulación y Seguimiento.</t>
  </si>
  <si>
    <t>3. El Instructivo contiene la metodología para la formulación, seguimiento y evaluación al Plan de Acción y a la Matriz Plan de Desarrollo.</t>
  </si>
  <si>
    <t>Durante el segundo  trimestre se realizaron 3 Ediciones de la Revista Bomberos Hoy, del mes de Abril, Mayo y Junio, los cuales fueron emitidos en el mes siguiente a su finalización.</t>
  </si>
  <si>
    <t>1, https://www.youtube.com/watch?v=7Bee-fWb45g&amp;t=648s
2, https://www.youtube.com/watch?v=SSaKGSSs7rI&amp;t=147s
3, https://www.youtube.com/watch?v=IEViGIJfLqg&amp;t=3s
4. https://www.youtube.com/watch?v=WR3j1E3VLYc&amp;t=1s
5, https://www.youtube.com/watch?v=MtTbRK9uB9Y&amp;t=24s
6. https://www.youtube.com/watch?v=kOWjB9TLZP0&amp;t=40s
7, https://www.youtube.com/watch?v=T1u7Qo5nKMY&amp;t=23s
8, https://www.youtube.com/watch?v=GovgrdRQPso&amp;t=62s
9, https://www.youtube.com/watch?v=dH-uRJXkiR0&amp;t=4s
10, https://www.youtube.com/watch?v=_6-F04HsnCI
11, https://www.youtube.com/watch?v=Vru1GUfGE9E
12. https://www.youtube.com/watch?v=CnZcnqbzqzk&amp;t=564s
13, https://www.youtube.com/watch?v=dH-uRJXkiR0&amp;t=4s</t>
  </si>
  <si>
    <t>Durante el trimestre se realizaron 13 Ediciones de El Hidrante periódico digital, el cual fue enviado a través de correo electrónico a la entidad.</t>
  </si>
  <si>
    <t>1. https://mail.google.com/mail/u/0/?tab=rm&amp;ogbl#search/HIDRANTE/FMfcgxwBWTHnkBFfQHpnjPVznstBVFlb
2. https://mail.google.com/mail/u/0/?tab=rm&amp;ogbl#search/HIDRANTE/FMfcgxwCgCRVbjLPVJWRmMvVPVWLgqKh
3. https://mail.google.com/mail/u/0/?tab=rm&amp;ogbl#search/HIDRANTE/FMfcgxwCgLlfSQXJFhVncjCTqwTTxjvW
4. https://mail.google.com/mail/u/0/?tab=rm&amp;ogbl#search/HIDRANTE/FMfcgxwCgLzJlXCxdMkzlQzggRFJzNfp
5. https://mail.google.com/mail/u/0/?tab=rm&amp;ogbl#search/HIDRANTE/FMfcgxwCgLzJlXCxdMkzlQzggRFJzNfp
6. https://mail.google.com/mail/u/0/?tab=rm&amp;ogbl#search/HIDRANTE/FMfcgxwCgfrCkhsXtkbWSDSFXWBVmvSL
7. https://mail.google.com/mail/u/0/?tab=rm&amp;ogbl#search/HIDRANTE/FMfcgxwCgfwmrqGcgjdCPFWkqlldBrpp
8, https://mail.google.com/mail/u/0/?tab=rm&amp;ogbl#search/HIDRANTE/FMfcgxwCggCQWjDVcQgqgcxQgxmxZqCQ
9. https://mail.google.com/mail/u/0/?tab=rm&amp;ogbl#search/HIDRANTE/FMfcgxwCgpXqDfkGnPKQzwrdCLlfNBKh
10. https://mail.google.com/mail/u/0/?tab=rm&amp;ogbl#search/HIDRANTE/FMfcgxwCgzHmPnLDGnjkXmCJGlNWwBrS
11. https://mail.google.com/mail/u/0/?tab=rm&amp;ogbl#search/HIDRANTE/FMfcgxwChJdFSTbCBJcZTFwfXsVVcmQW
12. https://mail.google.com/mail/u/0/?tab=rm&amp;ogbl#search/HIDRANTE/FMfcgxwChJmKWZqXGRJSkpRdbmbNFkML
13. https://mail.google.com/mail/u/0/?tab=rm&amp;ogbl#search/HIDRANTE/FMfcgxwChSKrcxGnrnvbqcrNWzQxPGCR</t>
  </si>
  <si>
    <t>Durante el trimestre se realizaron 13 ediciones de Bomberos en Acción, los cuales fueron publicados en las Redes Sociales de la Entidad</t>
  </si>
  <si>
    <t>1. https://twitter.com/BomberosBogota/status/1113491296684060672
2.https://twitter.com/BomberosBogota/status/1113949728629231617
3. https://twitter.com/Pedromanosalvar/status/1121022224125825024
4. https://twitter.com/BomberosBogota/status/1122949093620363265
5. https://twitter.com/BomberosBogota/status/1123989057913139200
6. https://twitter.com/BomberosBogota/status/1124306989796950016
7. https://twitter.com/BomberosBogota/status/1133412943868121089
8. https://twitter.com/BomberosBogota/status/1136469040694796291
9. https://twitter.com/BomberosBogota/status/1137083409996636160
10. https://twitter.com/BomberosBogota/status/1137153571928064005
11. https://twitter.com/BomberosBogota/status/1137359082510331907
12. https://twitter.com/BomberosBogota/status/1138867000372080640
13. https://twitter.com/BomberosBogota/status/1138916905304100865</t>
  </si>
  <si>
    <t>1. https://twitter.com/BomberosBogota/status/1114294161287598087
2. https://twitter.com/BomberosBogota/status/1116887015176507398
3. https://twitter.com/BomberosBogota/status/1119377330764419072
4. https://twitter.com/BomberosBogota/status/1121932533573324800
5. https://twitter.com/BomberosBogota/status/1124441017367842816
6. https://twitter.com/BomberosBogota/status/1127011305439801344
7. https://twitter.com/BomberosBogota/status/1129514431346597889
8. https://twitter.com/BomberosBogota/status/1132072400970047488
9. https://twitter.com/BomberosBogota/status/1134587860844195841
10. https://twitter.com/BomberosBogota/status/1137124576024879105
11. https://twitter.com/BomberosBogota/status/1139661290559795200
12. https://twitter.com/BomberosBogota/status/1142198257814298631
13. https://twitter.com/BomberosBogota/status/1144720230565986304</t>
  </si>
  <si>
    <t>Durante el trimestre se realizaron 13 ediciones de videos de historias de Bomberos, entre visitas, entregas y cosas que pasan al interior de cada una de las estaciones de Bomberos.</t>
  </si>
  <si>
    <t>6. https://twitter.com/BomberosBogota/status/1126466750927835142
7. https://twitter.com/BomberosBogota/status/1133817348018835462
8. https://twitter.com/BomberosBogota/status/1133860019852795906
9. https://twitter.com/BomberosBogota/status/1134167974590525440
10. https://twitter.com/BomberosBogota/status/1134218594169102337
11. https://twitter.com/BomberosBogota/status/1136342315163893760
12.https://twitter.com/BomberosBogota/status/1138922795063304192
13.https://twitter.com/BomberosBogota/status/1144586081813356544</t>
  </si>
  <si>
    <t xml:space="preserve">Las actividades se iniciaron pero no se entregaron los informes a tiempo, no obstante se están realizando las reuniones de validación de hallasgoz  y los seguimientos correspondientes con el fin de cumplir con las actividades programda en el  PAA </t>
  </si>
  <si>
    <t>Informes, actas de reunión, carteles, correos, entre otros</t>
  </si>
  <si>
    <t xml:space="preserve">De las 9 actividades previstas dentro de este producto se cumplio 4 actividades al 100% y se avanzó en las otras.  </t>
  </si>
  <si>
    <t>Resolución 306 de 2019
Matriz responsables y participantes politicas MIPG
Evaluaciones y listados de asistencia 3 sesiones de socialización SIG-MIPG</t>
  </si>
  <si>
    <t xml:space="preserve">Se cumplio con la actualizacion de las 12 caracterizaciones en el segundo trimestre. </t>
  </si>
  <si>
    <t xml:space="preserve">Ruta de la Calidad </t>
  </si>
  <si>
    <t xml:space="preserve">No se cumplio debido a diferentes compromisos de los contratistas debido a atrasos en el coronograma de actividades. </t>
  </si>
  <si>
    <t xml:space="preserve">Los profesionales encargados estan realizando las mesas de trabajo para realizar a mas tardar el 30 de Agosto el producto. </t>
  </si>
  <si>
    <t>Se llevó a cabo la reunión para hacer entrega de los  sistemas de administración y liquidador de servicios de conceptos de revisiones técnicas del SIM. Estas aplicaciones son adyacentes al sistema de información misional (SIM) actual, que actúan como apoyo al proceso de pago del servicio de concepto de revisiones técnicas.
1. Sistema Administrador Liquidador Misional (SALM): Sistema que permite administrar los usuarios que se le asignan a las empresas para que puedan generar e imprimir y el recibo de liquidación por conceptos de revisiones técnicas.
2. Sistema Liquidador Misional (SLM): Sistema que le permite a las empresas generar e imprimir el recibo de liquidación por conceptos de revisiones técnicas.
3. Manuales de Usuarios (SALM) y (SLM).
Los sistemas actualmente se encuentran instalados en producción y entrarán en funcionamiento cuando se termine el proceso de depuración los registros de la base de datos de &lt;EMPRESAS&gt; del sistema SIM y la resolución que da soporte a la formulación implementada en la aplicación (SLM).</t>
  </si>
  <si>
    <t>1, Acta de Reunión de Entrega de los aplicativos SALM y SLM se encuentran en la siguiente url: https://drive.google.com/drive/folders/1vMOfELK7UUCVNa6C5DsM84ozwH2VXdoS
Los manuales del usuario se encuentran el la siguiente url:https://drive.google.com/drive/folders/1XdFzB4U-Fy3CQEGnihzKdnaTsRGIXuiq</t>
  </si>
  <si>
    <t>Se realizo la instalacion de los componnetes del CMS para la nueva intranet de la UAECOB y se empiza estructurar el desarrllo del sitio</t>
  </si>
  <si>
    <t xml:space="preserve">puede verificar en: http://172.16.92.27/intranet </t>
  </si>
  <si>
    <t>Se entregan las tablet y se evidencia en memorando del 30 de mayo del 2019 con numero radicado 2019I008626 donde se da inicio a unas modific aciones y mejoras a las mismas</t>
  </si>
  <si>
    <t>1, Memorando 2019I008626.
2,correo del 28 de mayo del 2019
3, Tablet Et1</t>
  </si>
  <si>
    <t>1, Se adjunta parcial de las tablas de valoración como modelo a seguir de ahora en adelante</t>
  </si>
  <si>
    <t>Según memorando 2019I009375 se radicaron los estudios previos, estudios de mercado, estudiuos del sector, matriz de riesgo y documentos soporte</t>
  </si>
  <si>
    <t>1, Acta operativa
2, bActa de reunion funcionalidad SGC
3, Acta SGR</t>
  </si>
  <si>
    <t xml:space="preserve">Se actualizó la guía de Buenas Prácticas UAECOB con la datos e información de resultados de 2018, así como se identificaron 2 nuevas buenas prácticas: Prevención en Incendios forestales con la comunidad y Grupo de Investigación de incendios 
</t>
  </si>
  <si>
    <t>Documento en word con la Guía de Buenas Practicas actualizada</t>
  </si>
  <si>
    <t>Se actualizó el Portafolio de Servicios  UAECOB con la datos e información de resultados de 2018.</t>
  </si>
  <si>
    <t>Documento en word con el Portafolio de Servicios actualizado</t>
  </si>
  <si>
    <t>Se realizó la jornada de articulación  sobre el manejo de abejas urbanas y las emergencias el día 20 de mayo de 2019</t>
  </si>
  <si>
    <t xml:space="preserve">Agenda del conversatorio 
Registro fotografico 
Invitación 
Lista de asistencia 
Memorias del conversatorio </t>
  </si>
  <si>
    <t xml:space="preserve">Modelo Canvas adaptado en documento en word y anexo de mapa de grupo de interes en documento word </t>
  </si>
  <si>
    <t>Informes trimestrales generados</t>
  </si>
  <si>
    <t>Publicacion en la web</t>
  </si>
  <si>
    <t>Actas de reunión de los meses de Abril. Mayo y Junio de 2019</t>
  </si>
  <si>
    <t>Actas Mesa de Trabajo</t>
  </si>
  <si>
    <t>Protocolo para revisión con un avance del 50%, teniendo en cuenta la normatividad vigente, basados en las indicaciones  impartidas por la Alcaldía Mayor de Bogotá</t>
  </si>
  <si>
    <t>Se Actualizo el documento en el cual se identifican los puntos críticos en los  teatros y cinemas frente a los temas de seguridad humana y sistemas de protección contra incendio.</t>
  </si>
  <si>
    <t>documento anexo</t>
  </si>
  <si>
    <t>Se Realiza informe diagnostico donde se analizan los principales aspectos a evaluar en los establecimiento de comercio clasificados como riesgo bajo y el porcentaje de establecimiento que se van para la clasificación virtual.</t>
  </si>
  <si>
    <t>Se realizo reunión del 20 de mayo en la cual se establecieron el  fortalecimiento de características y funciones del SIM .</t>
  </si>
  <si>
    <t>Se establece continuación de la estructura y desarrollo del contenido del documento frente a los componentes electrico y riesgos comunes asociados a incendios.</t>
  </si>
  <si>
    <t xml:space="preserve">1. Identificación de todas las actividades inherentes al procedimiento con personal de OA Planeación, vinculación de la sistematización de las etapas administrativas en torno a la plataforma DOSEBO, validando con la Ing. Diana Poveda y personal referente de la plataforma el punto de partida de la plataforma. Se Concluye que se requiere desarrollar el trámite de pago a través del liquidador dados las situaciones encontradas con el misional. Se delega al Ing. Luis Carmona para el desarrollo del liquidador. Soporte. Actas de reunión 27 de mayo de 2019  
2 Se analizan las entradas y salidas del sistemas de liquidador. Control y definición de pagos para la liquidación. Necesidad de diseñar el recibo de pago en coordinación con OA al Ciudadano, Nombre del Sistema de liquidación, etc. Soporte. Acta de reunión del 13 de Junio de 2019.
</t>
  </si>
  <si>
    <t>Esta actividad no se encuentra en tiempos de ejecuccion.</t>
  </si>
  <si>
    <t xml:space="preserve">Se realizó reunión el día 27 de mayo del año 2019, soportado en acta, con el objetivo de realizar
seguimiento a los productos según responsables, de acuerdo con el cronograma de trabajo, en
donde se establecieron los siguientes compromisos:
Actualizar la información con estadísticas del año 2018 y remitir plazo a Luis Bernal con plazo 7 de
junio de 2019, como responsables Oscar Cuevas, Nelson Sanchez y Sgto German Aldana.
Actualizar contenidos de acuerdo a la estadística referencia con plazo 7 de junio de 2019,
responsable Nelson Sanchez.
Entregables consolidados al 14 de junio de 2019 a través de correo electrónico, responsables Cabo
Luis Bernal y Sgto German Aldana.
Seguimiento a prensa por parte de la SGR de los productos entregados.
El día 30 de mayo del año 2019, soportado en acta, se realiza reunión con el objetivo de revisar los
productos de capacitación en comunitaria, meta plan de acción y articulación con prensa, en
donde se establecieron los siguientes compromisos:
Por prensa la entrega de 8 videos que integra Gente que ayuda, así como 2 videos de material de
riesgo bajo para el 14 de Junio de 2019.
Revisión de prensa de los módulos de capacitación comunitaria.
El día 14 de Junio y de acuerdo a los compromisos, se hace entrega a la referente de la SGR de los
8 videos, por el área de prensa, cumpliendo con los tiempos establecidos en las actas anteriores.
De igual manera de hace entrega vía correo electrónico por parte del Cabo Luis Bernal de los
módulos de capacitación comunitaria para su revisión a los referentes de la SGR, al Teniente
Triana y a la profesional del área de capacitación comunitaria de la SGR para revisión
metodológica.
Se realiza revisión por el Teniente Triana, quien realiza observaciones frente al contenido y se
envía vía correo electrónico a los profesionales encargados de su respectiva corrección, así como
se hace revisión por parte de la profesional encargada de capacitación comunitaria en cuanto a la
parte metodológica. Posteriormente se realiza informe con las observaciones generales frente a la
estructura metodológica para su respectivo ajuste. </t>
  </si>
  <si>
    <t>acta de reunion , c</t>
  </si>
  <si>
    <t>Se realizó cronograma para la programación de las capacitaciones en pedagogía infantil para las 17 estaciones de Bogotá. 
Las jornadas de capacitación inicia el 19 de Julio de 2019. Se anexa cronograma de visitas a las 17 Estaciones de Bogotá y finalizan antes de los plazos establecidos.</t>
  </si>
  <si>
    <t xml:space="preserve">Se realizó articulación institucional mediante la socialización del proyecto en cada uno de los tres turnos de las estaciones Chapinero y Caobos Salazar para el trabajo en las localidades de Chapinero y Usaquén. Seguido a esto se realizó la articulación interinstitucional con los Consejos Locales de Gestión del Riesgo y Cambio Climático.  Los barrios para la implementación del proyecto  se tienen propuestos y por medio de la metodología de selección de barrios se escogerán 5 por cada localidad. </t>
  </si>
  <si>
    <t>Se está desarrollando el documento con los lineamientos y fases de la recolección de la información para la cartografía.</t>
  </si>
  <si>
    <t>Se inicio con la divulgación en los centros comerciales de la campaña de hogar seguro y la casa inflable. Igualmente se realizo el día 8 de junio una jornada de sensibilización y prevención de incendios forestales y causas del cabio climático en compañía del área  de gestión ambiental en la localidad de USME barrio nuevo porvenir.</t>
  </si>
  <si>
    <t>Se realizo reunión con la localidad de sumapaz y la actividad se realiza en el mes de la prevención (Octubre) y como actividad de plan de acción de la localidad.</t>
  </si>
  <si>
    <t>Se evidencia acta de reunión del 19 de marzo de 2019 en la cual se presenta avance de la recolección de los datos que sirven como insumo para presentar una campaña de prevención.
Se define el tema del insumo para la campaña es gasodomesticos.
Se evidencia reunión 11 de abril de 2019 en la cual se establece el tema de funcionamiento de gasodomesticos
Se evidencia reunión del 29 de mayo en el cual se trata el tema de mantenimiento de gasodomesticos 
Se evidencia reunión del 6 de junio en la cual se trata el tema de calentadores de paso a gas 
Se evidencia reunión del 26 de junio de 2019 y el tema tratado fue normatividad de calentadores a gas</t>
  </si>
  <si>
    <t>Cumplimiento</t>
  </si>
  <si>
    <t>La ejecución del curso Bomberitos "Nicolás Quevedo Rizo" en las 17 estaciones fue entre el 18 y el 29 de junio  de 2019 como fechas de inicio y finalización, dentro de las actividades se tuvo contemplado: salidas pedagogicas, entrega de uniformes, refrigerios, material didáctico, transporte y clausura.</t>
  </si>
  <si>
    <t>Acta de reunión
Cronograma
Listados de asistencia
Bomberos Hoy</t>
  </si>
  <si>
    <t>Se encuentra en proceso e avance</t>
  </si>
  <si>
    <t>Completar las actividades del producto antes de terminar el tercer trimestre del año.</t>
  </si>
  <si>
    <t>Se preparo la informaciòn estadistica del primer trimestre con la información enviada por el Centro de Comando y Comunicaciones (C.C.C.) de la Subdirección Operativa.</t>
  </si>
  <si>
    <t>Archivos de Excel de los meses abril a junio de 2019</t>
  </si>
  <si>
    <t>Completar la información del trimestre</t>
  </si>
  <si>
    <t>El equipo de la Central de Comunicaciones de la Subdirección Operativa, realizó reuniones en el cual se evidencia que la fecha de ejecución del Simulacro será el 13 de julio de 2019, en las instalaciones de la Cámara de Comercio, Sede del Salitre.</t>
  </si>
  <si>
    <t>Actas de reunión abril y mayo de 2019 y Instructivo y Guión del Simulacro.</t>
  </si>
  <si>
    <t>Ejecutar la actividad para dar cumplimiento al P.A. de la vigencia.</t>
  </si>
  <si>
    <t>Archivo de Google Drive y actas de reunión</t>
  </si>
  <si>
    <t xml:space="preserve">Se revisan las fichas tecnicas de las maquinas Mercedes, International y Ferrara; con el fin de identificar  que parametros sugiere el fabricante para   el proceso  del plan de mantenimiento preventivo para cada vehiculo.
se inicia a revisar las hojas de vida del parque automotor con el check list establecido, para evidenciar los pendientes de cada una de las hojas de vida para lograr al 100% de los parametros dados por  Gestion Documental
Se inicia la elaboracion  del Plan de  mantenimiento preventivo para el parque Automotor  de la UAECOB donde se toman en cuenta los parametros por kilometrajes para el cambio de aceite motor,  estado de frenos, alineacion y balanceo de los vehiculos, estado de  luces, sistema electrico. se continuara   el plan de mantenimiento con las fichas tecnicas de los vehiculos para los sistemas de Bomba de extincion, sistema de suspension, compartimientos, chapas, y demas componentes de las maquinas extintoras de la UAECOB. </t>
  </si>
  <si>
    <t>En cada carpeta de las hojas de vida, estan su respectiva ficha tecnica ubicada en el archivo del parque automotor
Check list de las hojas de vida con los parametros establecidos por gestion documental.
Base   para generar un plan de mantenimiento preventivo del parque automotor,
ubicada en la PC de auxiliar David Landinez Vivas  C:\Documents and Settings\Dlandinez\Mis documentos\Base del mantenimiento Preventivo del P.A</t>
  </si>
  <si>
    <t>Se efectuaron mesas de trabajo con los integrantes de equipo menor de la Subdirección logística para mostrar las fichas teécnicas del equipo menor y analizar su información con las siguientes conlusiones:
1 - Se encontró que la mejor manera de efectuar la verificación de las fichas para la construcción del plan es por marcas, es decir, no hacer el analisis por tipo de equipo, ya que puede generar traumatismos en la construcción del plan 
2- Se debe involucrar al personal uniformado y administrativo en la verificación del plan de calibración de la Entidad.  Este trabajo ya se efectúo por parte del personal administrativo, ya que se buscó analizar el plan ya existente, mirando los equipos que allí señalados para calibración 
3- Se efectuo el levantamiento de la información de inventario de las hojas de vida que se encuentran fisicamente en el archivos de equipo menor, además se incluyó la información de las hojas que se encuentran digitales.
1. Se efectuaron mesas de trabajo para efectuar el análisis de las fichas técnicas de equipo menor, se efectuo aleatoreamente la revisión de tres fichas técnicas, arrojando como resultado la unificación por marcas.
2.  Se realizó mesa de trabajo con el personal de equipo menor para analizar el plan de calibración.
3. Se encuentra pendiente la revisión de fichas tecnicas de motosierrras.
Se realizó la verificación de inventario de las hojas de vida que se encuentran en B-3, analizando incialmente las que se encuentran fisicas en esta estación que son alrededor de 250 y las que se encuentran pendientes por archivar y que se encuentran de manera digital que son alrededor de 1000 hojas de vida.
Se encuentra pendiente capacitación por parte de gestión documental pàra el personal de apoyo en Equipo Menor B-3</t>
  </si>
  <si>
    <t>Fichas tecnicas de equipo menor, actas de reunión de verificación de fichas técnicas y fotografias de archivo de B-3 con carpetas ubicada en el PC del Profesional Juan Pablo Cardenas 
Archivo con Hojas  Hojas de vida de Equipo menor por estaciones ubicada en PC
del Profesional Juan Pablo Cardenas
Evidencias ubicadas en la ruta:
C:\Users/Jcardenas/Escritorio/Hojas de vida equipo menor
C:\Users\Ldiaz\Documents\INSTITUCIONAL\PLAN DE ACCION\PLAN DE ACCION 2019\AVANCES PLAN DE ACCION 2019\3. PLAN MTO EM</t>
  </si>
  <si>
    <t>Buscar mecanismos para la recolección de la información.</t>
  </si>
  <si>
    <t xml:space="preserve">Se realizarón jornadas de sensibilización  y capacitación en cada una de las  17 Estaciones y el Edificio Comando de la UAECOB en el mes de Mayo de 2019 de los temas de ahorro de papel en cumplimiento de la politica cero papel.
</t>
  </si>
  <si>
    <t>Actas de reunión y capacitación de cada una de las Estaciones y Edificio Comando.</t>
  </si>
  <si>
    <t>Presentación Institucional
Actas de reunión
correo institucional UAECOB</t>
  </si>
  <si>
    <t>Se realizó socialización a la Linea 195, el día   20 de junio con un total de 92 participantes, sobre los trámites y servicios de la Entidad</t>
  </si>
  <si>
    <t xml:space="preserve">Actas de asistencia 
Presentación </t>
  </si>
  <si>
    <t>Para el segundo trimestre se realizó una capacitación referente a las faltas Diciplinarias el día 05/04/2019 a las 9: 00 am en las instalaciones del edificio Comando. NOTA ACLARATORIA: Esta actividad tiene inicio el segundo trimestre, sin embargo en el primer trimestre se realizaron Dos (2) capacitaciones, en este sentido, a la fecha se han realizado 3 capacitaciones.</t>
  </si>
  <si>
    <t xml:space="preserve">Se presenta el Acta de capacitación realizada en el edificio Comando  al personal Operativo sobre faltas Disciplinarias. </t>
  </si>
  <si>
    <t>Se realizó Una (1) capacitación el día 30 de abril/2019, donde se trato el tema de Manejo de elementos propiedad planta y equipo Nuevo Marco Normativo Contable.</t>
  </si>
  <si>
    <t>Se presenta acta de la capacitación del día 30/04/2019 y el material de la misma.</t>
  </si>
  <si>
    <t xml:space="preserve">Producto: 1 estrategia de socialización al interior de la UAECOB: Desde la Subdirección de Gestión Corporativa se lideraron tres (3) capacitaciones SIG - MIPG al interior de la UAECOB para funcionarios y contratistas; donde participaron como expositores la Subdirección de Gestión Corporativa,  la Oficina de Control interno, la Subdirección de Gestión Humana, Oficina de  Planeación  y los Subprocesos de Gestión Ambiental, Gestión Documental, Seguridad y Salud en el Trabajo, Gestión de Calidad y Seguridad de la Información.  
como evidencia se cuenta con el registro de asistencia de los dias 23 y 31 de mayo y el día 06 de junio del presente año.
Producto 1 Documento que describe la integración de los procesos de la UAECOB, las políticas del MIPG y los subsistemas de gestión: Desde la Subdirección de Gestión Corporativa se lideraron tres (3) capacitaciones SIG - MIPG al interior de la UAECOB para funcionarios y contratistas; donde participaron como expositores la Subdirección de Gestión Corporativa,  la Oficina de Control interno, la Subdirección de Gestión Humana, Oficina de  Planeación  y los Subprocesos de Gestión Ambiental, Gestión Documental, Seguridad y Salud en el Trabajo, Gestión de Calidad y Seguridad de la Información.  
como evidencia se cuenta con el registro de asistencia de los dias 23 y 31 de mayo y el día 06 de junio del presente año.
Producto 1 Documento que describe la integración de los procesos de la UAECOB, las políticas del MIPG y los subsistemas de gestión: Se cuenta con una Matriz que describe la integración de los procesos, subprocesos   y responsables de la UAECOB para liderar su articulación, versus las dimensiones y políticas MIPG .
 Así mismo se llevo a cabo la capacitación con la ESAP, en los temas relacionados con la integración de MIPG, en los días 9, 21 y 28 de mayo del año en curso.
</t>
  </si>
  <si>
    <t>Se presenta Listas de asistencias de capacitación de los días 23 y 31 de mayo, 6 de junio de 2019.</t>
  </si>
  <si>
    <t>Se realizó el plan estratégico para la certificación ISO 9001-2015</t>
  </si>
  <si>
    <t>Presentación del plan estratégico.</t>
  </si>
  <si>
    <t>El día 26 de Junio de 2019 se firma el Contrato Interadministrativo No. 363 de 2019 cuyo objeto es "CONTRATO INTERADMINISTRATIVO ENTRE LA UAE CUERPO OFICIAL DE BOMBEROS DE BOGOTÁ Y UAE-CATASTRO DISTRITAL PARA REALIZAR AVALÚO COMERCIAL A UN PREDIO DENTRO DEL PROYECTO ESCUELA DE FORMACIÓN (ACADEMIA) DE BOMBEROS DE BOGOTÁ Y ESTACIÓN DE BOMBEROS.</t>
  </si>
  <si>
    <t>Contrato Interadministrativo No. 363 de 2019</t>
  </si>
  <si>
    <t>El 20 de Mayo de 2019, el interventor del contrato No. 401 de 2018 cuyo objeto es "Estudios, diseños y demás trámites para la obtención de la Licencia de Construcción para la ampliación y reforzamiento estructural de la Estación de Bomberos Marichuela" certifica el cumplimiento del 50% de Avance de ejecución.
El día 17 de Junio de 2019 mediante radicado No. 2019-400-013107-2 se solicita Anuencia ante el DADEP.</t>
  </si>
  <si>
    <t>* Certificación de Cumplimiento de Avance de ejecución del 50%.
* Oficio de radicado No. 2019-400-013107-2 - Solicitud de Anuencia ante el DADEP.</t>
  </si>
  <si>
    <t>* Estación de Bomberos de Kennedy: Instalación de calentadores solares con capacidad de 300 litros c/u, suministro baños alojamientos bomberos, renovación  de los acabados del primer piso, incluye estucado, lijado y pintura general, 10% de ejecución de obra en el manteniemitno del área de la piscina.
* Estación de Bomberos de Suba: construcción de estructura metálica y montaje de cubierta en láminade policarbonato, incluye tratamiento anticorrosivo y pintura, instalación eléctrica, montaje de reflectores.
* Estación de Bomberos de Bosa: Se adelanta la ejecución del contrato No. 168 de 2018 con un avance de ejecución de obra civil del 80% e instalaciones eléctricas del 40%.
* Edificio Comando: desmonte de Caniles, relleno y compactación de base y se funde placa de contratpiso en concreto y armado de caniles. Mantenimiento de los Ascensores.</t>
  </si>
  <si>
    <t>Se pueden verificar los trabajos ejecutados en las estaciones de Bomberos mencionadas.</t>
  </si>
  <si>
    <t xml:space="preserve">Se solicita concepto de Uso del Suelos ante la Curaduría Urbana. De igual forma se expide una Certificación del Bien del patrimonio inmobiliario distrital donde se especifica que el uso de este predio es Zonas de Equipamiento Comunal. </t>
  </si>
  <si>
    <t>* Certificación del Bien del patrimonio inmobiliario distrital</t>
  </si>
  <si>
    <t>el día 28 de Mayo de 2019 se adjudica el Contrato de consultoría No. 331 de 2019 cuyo objeto es "Interventoría Técnica, Administrativa, Financiera, contable, Jurídica y ambiental a: i - Construcción de la Estación de Bomberos de Bellavista. ii- Realizar el mantenimiento predictivo, preventivo, correctivo, adecuaciones y mejoras a las instalaciones de las dependencias de la UNIDAD ADMINISTRATIVA ESPECIAL CUERPO OFICIAL DE BOMBEROS D.C. iii - Estudios, diseños y obras de la estación de Bomberos las Ferias".
El día 19 de Junio de 2019 se firma el ACTA DE INICIO.</t>
  </si>
  <si>
    <t xml:space="preserve">* Contrato de consultoría No. 331 de 2019.
</t>
  </si>
  <si>
    <t>El día 28 de Mayo de 2019 se adjudica el Contrato de consultoría No. 331 de 2019 cuyo objeto es "Interventoría Técnica, Administrativa, Financiera, contable, Jurídica y ambiental a: i - Construcción de la Estación de Bomberos de Bellavista. ii- Realizar el mantenimiento predictivo, preventivo, correctivo, adecuaciones y mejoras a las instalaciones de las dependencias de la UNIDAD ADMINISTRATIVA ESPECIAL CUERPO OFICIAL DE BOMBEROS D.C. iii - Estudios, diseños y obras de la estación de Bomberos las Ferias".
Se inicia proceso de contratación para la elaboración de los Estudios, diseños y obras de la Estación de Bomberos de Ferias, cuyo proceso es UAECOB-LP-007-2019.</t>
  </si>
  <si>
    <t>* Contrato de consultoría No. 331 de 2019.
* Proceso de Licitación Pública No. UAECOB-LP-007-2019</t>
  </si>
  <si>
    <t xml:space="preserve">* Se realizó mesa de trabajo con el area de tecnologia, con el fin de dar a conocer las necesidades que tiene la UAECOB correspondiente a la creacion de la Biblioteca Virtual para la entidad.                                 * Reunion con el sena a fin de dar inicio a la creacion del nodulo que sea aplicable a la plataforma LMS </t>
  </si>
  <si>
    <t xml:space="preserve">* Actas de reunion </t>
  </si>
  <si>
    <t>No fue posible establecer mesas de trabajo con comandantes y subcomandantes para evaluar el alcance normativo y demás componentes del programa, dado que se encuentra incapacitado el Comandante de la compañía 1 y 3, el comandante encargado de las compañia 2, se encuentra en vacaciones. Los operativos asignados a la academia se encuentran desarrollando el proceso de formacion de los cursos 45 y 46.</t>
  </si>
  <si>
    <t>Se realizo una reunion con el personal logistico de la academia el dia 26 de junio con el fin de definir la logistica necesaria para realizar el  plan de reentrenamiento,  y los respectivos compromisos para la ejecucion de los mismos</t>
  </si>
  <si>
    <t xml:space="preserve">Con el fin de dar cumplimiento al Decreto 1072 de 2015 y la Resolución 312 de 2019, se aprobaron por parte de la Dirección los objetivos en SYST para la vigencia 2019; con base en ellos se proyectó documento para la actualización de la Política del SGSYST. Se envió a la representante de la Dirección para el SIG, l os documentos para el trámite de oficialización. </t>
  </si>
  <si>
    <t>Objetivos del SGSYST 2019 firmados por la Dirección
Solicitud de actualización de la Política y Objetivos  del SGSYST y su formalización dentro del SIG. 
En Carpeta digiltal responsable SYST.</t>
  </si>
  <si>
    <t>* Se obtuvo el concepto de desarrollo favorable por parte de la alcaldia, se reclamo personalmente y reposa en el archivo de la ACADEMIA                                             * Se radico en la Direccion Local de Educacion de Fontibon  el PEI ACTUALIZADO y se subsano las observaciones en la cual se debia incluir el concepto de obra favorable</t>
  </si>
  <si>
    <t>* Radicado 2019E002750 solicitu de desarrollo de obra                                                        * El 10 de junio fue entregado el desdarrollo de obra favorable por parte de la alcaldia                                                                            * Radicado en el DILE (E2019100611) radicado interno 2019E004185 14 DE JUNIO</t>
  </si>
  <si>
    <t xml:space="preserve">Se realizo la gestion pertinente para la obtencion de la licencia y radicado de documentos, sin embargo de acuerdo al cronograma del DILE, la verificacion se realizara despues del 2 de Julio pues esta entidad se encuentra en periodo de vacaciones colectivo </t>
  </si>
  <si>
    <t>Se realizarán 12 noticieros con su respectivas notas y presentaciones, recopilando la información en los diferentes eventos que se realicen en la entidad, se escribirán los textos y se editarán; para finalmente ser emitidos</t>
  </si>
  <si>
    <t>Se realizarán 13 noticieros con su respectivas notas y presentaciones, recopilando la información en los diferentes eventos que se realicen en la entidad, se escribirán los textos y se editarán; para finalmente ser emitidos</t>
  </si>
  <si>
    <t>Periódico virtual "El Hidrante"</t>
  </si>
  <si>
    <t>Se buscará la información en las diferentes áreas de la UAECOB, con el fin de diseñar en Illustratos el periódico virtual, el cual después de ser aprobado por el líder de comunicaciones, será emitido vía e-mail a la UAECOB. Para este trimestre se tiene como meta 12 periódicos</t>
  </si>
  <si>
    <t>Se buscará la información en las diferentes áreas de la UAECOB, con el fin de diseñar en Illustratos el periódico virtual, el cual después de ser aprobado por el líder de comunicaciones, será emitido vía e-mail a la UAECOB. Para este trimestre se tiene como meta 13 periódicos</t>
  </si>
  <si>
    <t>Semanalmente se visitarán las estaciones de Bomberos para poder acompañarlos en las emergencias que surjan. Luego se editarán para ser emitidos en el noticiero. Pare este trimestre se tiene una meta de 12 crónicas</t>
  </si>
  <si>
    <t>Semanalmente se visitarán las estaciones de Bomberos para poder acompañarlos en las emergencias que surjan. Luego se editarán para ser emitidos en el noticiero. Pare este trimestre se tiene una meta de 13 crónicas</t>
  </si>
  <si>
    <t>Semanalmente en los acompañamientos a las emergencias que surjan en las visitas a las estaciones, se tomarán fotografías para determinar cual puede ser la más impactante y luego en illustrator se editará, con el fin de ponerle una leyenda del incidente, para finalmente ser emitida en redes sociales. Para este trimestre se tiene como meta 12 publicaciones</t>
  </si>
  <si>
    <t>Semanalmente en los acompañamientos a las emergencias que surjan en las visitas a las estaciones, se tomarán fotografías para determinar cual puede ser la más impactante y luego en illustrator se editará, con el fin de ponerle una leyenda del incidente, para finalmente ser emitida en redes sociales. Para este trimestre se tiene como meta 13 publicaciones</t>
  </si>
  <si>
    <t>Se coordinarán con los distintos bomberos, historias que sean de interés general y que por medio de contarlas se pueda dar a conocer la misionalidad y la parte humana de los bomberos, se grabará en cada estación una crónica, se editará y luego será emitida en redes sociales. Para este trimestre se tiene contemplado hacer 12 crónicas</t>
  </si>
  <si>
    <t>Se coordinarán con los distintos bomberos, historias que sean de interés general y que por medio de contarlas se pueda dar a conocer la misionalidad y la parte humana de los bomberos, se grabará en cada estación una crónica, se editará y luego será emitida en redes sociales. Para este trimestre se tiene contemplado hacer 13 crónicas</t>
  </si>
  <si>
    <t>Realizar las diferentes actividades aprobadas y programadas en el Plan Anual de Auditorías para la vigencia 2019</t>
  </si>
  <si>
    <t xml:space="preserve">La OCI  en cumplimiento del plan anual de auditorias vigencia 2019, planeó  y ejecutó 29 actividades asi:
-16 seguimientos (SIDEAP, PAAC, Plan de mejoramiento, cumplimiento Directivas, entre otros)
- 1 CCCI  (secretaría técnica)
-  7 Informes de Ley ( CI Contable, austeridad, evaluación por dependencias, entre otros)
- 1 reporte Furag
-  3 actividades para fortalecer el autocontrol
- 4 activides respuestas a Entes de Control y requerimientos de partes interesadas
Se encuentran 4 actividades en ejecución dentro de los términos programados en el Plan Anual de Auditorías cuyo vencimiento es en 2 trimestre de la vigencia, estas actividades se encuentran en la análisis de evidencias para la formulñación de hallazgos u observaciones
</t>
  </si>
  <si>
    <t>Gestionar el PAA para el 2do trimestre, cumpliendo con las siguientes actividades:
1. Adelantar la planeación. (Investigación documental, elaboración de plan de auditoría, memorandos, entre otros) 20%
2. Adelantar las actividades (mesas de trabajo, entrevistas, encuestas, recopilación de evidencias). 50% 
3. Análisis de las evidencias y formulación de hallazgos u observaciones, plasmados en los informes. 20%
4. Entrega del informe final, reporte electrónicos, memorandos, a las partes interesadas. 10%</t>
  </si>
  <si>
    <t>Gestionar el PAA para el 3er trimestre, cumpliendo con las siguientes actividades:
1. Adelantar la planeación. (Investigación documental, elaboración de plan de auditoría, memorandos, entre otros) 20%
2. Adelantar las actividades (mesas de trabajo, entrevistas, encuestas, recopilación de evidencias). 50% 
3. Análisis de las evidencias y formulación de hallazgos u observaciones, plasmados en los informes. 20%
4. Entrega del informe final, reporte electrónicos, memorandos, a las partes interesadas. 10%</t>
  </si>
  <si>
    <t>Gestionar el PAA para el 4to trimestre, cumpliendo con las siguientes actividades:
1. Adelantar la planeación. (Investigación documental, elaboración de plan de auditoría, memorandos, entre otros) 20%
2. Adelantar las actividades (mesas de trabajo, entrevistas, encuestas, recopilación de evidencias). 50% 
3. Análisis de las evidencias y formulación de hallazgos u observaciones, plasmados en los informes. 20%
4. Entrega del informe final, reporte electrónicos, memorandos, a las partes interesadas. 10%</t>
  </si>
  <si>
    <t>Realizar estrategia de socialización del MIPG</t>
  </si>
  <si>
    <t>Mejora continua</t>
  </si>
  <si>
    <t>Se gestionó ante la Secretaria General el acompañamiento del Profesional Andrés Lara (par MIPG para el sector seguridad) para socializar ante el Comité Directivo del 14 de enero el Modelo MIPG y su implementación.  Se diseñó en coordinación con el SIG la estrategia de socialización para los servidores de la entidad y se solicitó a prensa el diseño de las piezas comunicacionales.</t>
  </si>
  <si>
    <t>Elaborar el  documento de integración del MIPG y el SIG - UAECOB</t>
  </si>
  <si>
    <t>Se documento la integración de los procesos de la UAECOB con el MIPG en una matriz de excel</t>
  </si>
  <si>
    <t>Proyectar  resolución de creación del Comité Institucional de Gestión y Desempeño de la UAECOB, así como su aprobación.</t>
  </si>
  <si>
    <t>Solicitar a los líderes de cada una de las politicas de MIPG la conformación de los equipos técnicos de gestión y desempeño.</t>
  </si>
  <si>
    <t>Elaborar el documento con lineamientos para los equipos técnicos de gestión y desempeño</t>
  </si>
  <si>
    <t>Convocar 4 Sesiones Comité Institucional de Gestión y Desempeño</t>
  </si>
  <si>
    <t>Consolidar y reportar la información solicitada por el FURAG</t>
  </si>
  <si>
    <t>Se consolida y reporta la información solicitada por el FURAG</t>
  </si>
  <si>
    <t>Coordinar la realización de  los 16 autodiagnósticos para cada una de las políticas  en dos momentos distribuidos en los dos semestres del año</t>
  </si>
  <si>
    <t>Solicitar a los lideres de cada una de las politicas de MIPG la elaboración del Plan de Acción de la política de su competencia</t>
  </si>
  <si>
    <t>Documentar  las Caracterizaciones de los procesos: Gestión Estratégica, Gestión de Comunicaciones y Gestión Integrada. Gestión Administrativa, Gestión Tecnológica, Gestión Financiera.</t>
  </si>
  <si>
    <t>Documentar  las  Caracterización de los procesos: Gestión del Parque Automotor, Gestión de Infraestructura, Gestión Jurídica,  Gestión para la Búsqueda y Rescate, Gestión de Asuntos Disciplinarios, Gestión Logística.</t>
  </si>
  <si>
    <t>Diagramas de Flujo de Proceso</t>
  </si>
  <si>
    <t>Diagramas de flujo de proceso publicados</t>
  </si>
  <si>
    <t>Documentar  los Diagramas de flujo de proceso de: Gestión Estratégica, Gestión Humana, Gestión de las Comunicaciones, Gestión de Infraestructura,  Gestión Administrativa, Gestión Tecnológica, Gestión Financiera.</t>
  </si>
  <si>
    <t>Documentar  los Diagramas de flujo de proceso de: Gestión del Parque Automotor, Asuntos Disciplinarios, Gestión de Asuntos Jurídicos, Gestión para la Búsqueda y Rescate, Gestión MATPEL,  Gestión de Incendios, Reducción del Riesgo</t>
  </si>
  <si>
    <t xml:space="preserve">Entrega por parte del consorcio de los servicios desarrollados </t>
  </si>
  <si>
    <t>Publicacion en la pagina web</t>
  </si>
  <si>
    <t>Diseño de la Intranet</t>
  </si>
  <si>
    <t>Juan Carlos Camacho</t>
  </si>
  <si>
    <t>Desarrollo de la Intranet</t>
  </si>
  <si>
    <t>Implementación y funcionamiento</t>
  </si>
  <si>
    <t>Socializacion al interior de la Entidad</t>
  </si>
  <si>
    <t>Revisión de la actividades de Gobierno En linea</t>
  </si>
  <si>
    <t>Diseño de las nuevas actividades de Gobierno Digital</t>
  </si>
  <si>
    <t>Seguimiento de las actividades de Gobierno Digital</t>
  </si>
  <si>
    <t>Iván Medina</t>
  </si>
  <si>
    <t>Puesta en producción de la solución desarrollada</t>
  </si>
  <si>
    <t>Andrés Veloza Garibello</t>
  </si>
  <si>
    <t>Levantamiento de información de funcionabilidad y características por area</t>
  </si>
  <si>
    <t>Andrea Acosta Madrid - Luis Alberto Carmona</t>
  </si>
  <si>
    <t>Estructuración y presentación y radicación de los estudios previos</t>
  </si>
  <si>
    <t>Seguimiento estapa precontractual</t>
  </si>
  <si>
    <t>Seguimiento etapa contractual</t>
  </si>
  <si>
    <t xml:space="preserve">Cooperacion </t>
  </si>
  <si>
    <t>Identificación Grupos de Interés de la UAECOB</t>
  </si>
  <si>
    <t xml:space="preserve">Recopilación y revisión de la información </t>
  </si>
  <si>
    <t xml:space="preserve">Diseño del modelo </t>
  </si>
  <si>
    <t>Publicación y socialización del modelo</t>
  </si>
  <si>
    <t xml:space="preserve">Construcción de bases de datos de contratos </t>
  </si>
  <si>
    <t>Elaboración de matriz contractual</t>
  </si>
  <si>
    <t>Oficina Asesora Jurídica</t>
  </si>
  <si>
    <t>Actualización de matriz contractual</t>
  </si>
  <si>
    <t>Elaboración de matriz de control y seguimiento de aprobación de garantías</t>
  </si>
  <si>
    <t>Se realizó la primera actividad, elaborando la matriz  de control y seguimiento de aprobación de garantías</t>
  </si>
  <si>
    <t>Actualización de matriz</t>
  </si>
  <si>
    <t>Dos (2) mesas de trabajo  con el grupo de contratación al mes</t>
  </si>
  <si>
    <t>Acta de reunión</t>
  </si>
  <si>
    <t xml:space="preserve">Creación de protocolo para la puesta en marcha de medios alternativos de solución de conflictos. </t>
  </si>
  <si>
    <t xml:space="preserve">Publicar el protocolo para la puesta en marcha de medios alternativos de solución de conflictos. </t>
  </si>
  <si>
    <t>Sensibilizar al personal de planta  y contratistas sobre la utilización del protocolo creado</t>
  </si>
  <si>
    <t>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t>
  </si>
  <si>
    <t>CONOCIMIENTO DEL RIESGO</t>
  </si>
  <si>
    <t>Análisis de causas frente a escenarios de aglomeraciones de público permanentes (Teatros y Cinemas)</t>
  </si>
  <si>
    <t>Identificación de los principales problemas o puntos críticos</t>
  </si>
  <si>
    <t>Formulación del diagnostico rente a escenarios de aglomeraciones de público permanentes (Teatros y Cinemas)</t>
  </si>
  <si>
    <t>Consolidación y entrega al subdirector de Documento final.</t>
  </si>
  <si>
    <t>Identificación  y análisis de la situación actual</t>
  </si>
  <si>
    <t>Formulación del Proyecto virtualización capacitación normativa aplicada a revisiones técnicas</t>
  </si>
  <si>
    <t>Estructura del Documento Guía</t>
  </si>
  <si>
    <t>Formulación de la guía de riesgos comunes y asociados a incendios</t>
  </si>
  <si>
    <t>Publicación de la Guía  de riesgos comunes y asociados a incendios</t>
  </si>
  <si>
    <t>REDUCCION DEL RIESGO</t>
  </si>
  <si>
    <t>Mesas de trabajo con la oficina asesora d planeación</t>
  </si>
  <si>
    <t>Revisión de módulos de capacitación Comunitaria</t>
  </si>
  <si>
    <t>Actualización de los módulos de capacitación comunitaria</t>
  </si>
  <si>
    <t>Aprobación de los módulos de capacitación comunitaria</t>
  </si>
  <si>
    <t>Publicación de los módulos de capacitación comunitaria</t>
  </si>
  <si>
    <t>Revisión del material d capacitación para brigadas contra incendio</t>
  </si>
  <si>
    <t>Elaboracion del documento "Virtualizacion de capacitacion a brigadas empresariales"</t>
  </si>
  <si>
    <t>Elaboración del documento proyecto de "Virtualización de capacitación a brigadas empresariales"</t>
  </si>
  <si>
    <t xml:space="preserve">Presentación del proyecto al Subdirector de Gestión del riesgo </t>
  </si>
  <si>
    <t>Actualizar la estrategia "campañas de reducción del riesgo relacionadas con la prevención y mitigación de riesgos de incendio, matpel y otras  emergencias competencia de la UAECOB"</t>
  </si>
  <si>
    <t xml:space="preserve">Revisión del documento de estrategia </t>
  </si>
  <si>
    <t xml:space="preserve">Formulación del documento de la estrategia de las campañas de reducción del riesgo </t>
  </si>
  <si>
    <t xml:space="preserve">17 estaciones con personal capacitado en pedagogia para desarrollo de las actividades del club Bomberitos </t>
  </si>
  <si>
    <t xml:space="preserve">1. Planificación de las actividades de prevención </t>
  </si>
  <si>
    <t>Desarrollar 4 Actividades de la estrategia del Club Bomberitos en el marco del mes de la prevencion (Caravanas de la Prevencion)</t>
  </si>
  <si>
    <t>2. Convocatoria para las actividades de Prevención. 25%</t>
  </si>
  <si>
    <t>3. Ejecución de las actividades de prevención</t>
  </si>
  <si>
    <t>Mesas de trabajo de diagnostico implementación del proyecto fase 1</t>
  </si>
  <si>
    <t>implementación del proyecto en la fase 2</t>
  </si>
  <si>
    <t>Informe consolidado del desarrollo del proyecto fase 2</t>
  </si>
  <si>
    <t>Levantamiento de información para la cartografía social</t>
  </si>
  <si>
    <t>Identificación y selección de la o las campañas a divulgar</t>
  </si>
  <si>
    <t>Consolidación del material didáctico de apoyo para la divulgación de la estrategia</t>
  </si>
  <si>
    <t>Divulgación de la o las campañas de prevención en las 20 localidades</t>
  </si>
  <si>
    <t>Informe final de la o las campañas divulgadas</t>
  </si>
  <si>
    <t>Mesas de Trabajo con el personal uniformado para diseñar la estrategia</t>
  </si>
  <si>
    <t>Presentación de Documento Del a estrategia</t>
  </si>
  <si>
    <t>Gestión con la alcaldía Local de Sumapaz y entidades Distritales</t>
  </si>
  <si>
    <t>1. Definir Tema para el insumo basados en la revisión de la estadística de investigación de incendios..</t>
  </si>
  <si>
    <t>2. Recolectar los datos basándose en la información existente en el equipo de investigación de incendios para generar el documento.</t>
  </si>
  <si>
    <t>3. Realizar un documento con la información necesaria para generar una campaña de prevención por incendios en el hogar.</t>
  </si>
  <si>
    <t>4. Radicar el documento al subdirector de gestión del riesgo.</t>
  </si>
  <si>
    <t>cursos</t>
  </si>
  <si>
    <t>Presentación de informe por compañía, ante la Subdirección Operativa.</t>
  </si>
  <si>
    <t>Revisión, ajuste y/o actualización del árbol de servicios</t>
  </si>
  <si>
    <t xml:space="preserve">Revisión, ajuste y/o actualización del  árbol de servicios y socialización a personal de las diecisiete  (17) estaciones de la Subdirección Operativa.
</t>
  </si>
  <si>
    <t>Revisión del árbol actual para ajuste o actualización</t>
  </si>
  <si>
    <t>Ajustes y/o actualización del árbol de servicios</t>
  </si>
  <si>
    <t>Publicación en ruta de calidad</t>
  </si>
  <si>
    <t>Socialización</t>
  </si>
  <si>
    <t>Informe de socialización</t>
  </si>
  <si>
    <t>Publicaciones</t>
  </si>
  <si>
    <t>Publicación trimestral de la información estadística de emergencias atendidas por la  UAECOB, en la página web de la entidad.  
(trimestre vencido)</t>
  </si>
  <si>
    <t>Preparación y análisis de la información enviada por la C.C.C.</t>
  </si>
  <si>
    <t>Presentación de informe al área  encargada 
para la publicación respectiva</t>
  </si>
  <si>
    <t>Revisión y verificación de  la  publicación en la web de la entidad</t>
  </si>
  <si>
    <t>Simulacro</t>
  </si>
  <si>
    <t>Jefe de Central de radio, Subdirección Operativa</t>
  </si>
  <si>
    <t>Actualización del procedimiento COORDINACION Y COMUNICACIONES EN INCIDENTES DE NIVEL III Y IV, en la ruta de la calidad</t>
  </si>
  <si>
    <t>Actualización del instructivo SIMULACRO FALLAS EN LAS COMUNICACIONES EN EMERGENCIAS, en la ruta de la calidad</t>
  </si>
  <si>
    <t>Elaboración de Cronograma y libreto para ejecutar el simulacro.</t>
  </si>
  <si>
    <t>Ejecución del simulacro</t>
  </si>
  <si>
    <t>Entrega de informe de ejecución ante la Subdirección Operativa, según formato establecido.</t>
  </si>
  <si>
    <t>porciento</t>
  </si>
  <si>
    <t xml:space="preserve">Documentar  los antecedentes de hidrantes en la ciudad y socializar la información  con  los jefes de estación de las cinco (5) compañías </t>
  </si>
  <si>
    <t xml:space="preserve">
Resultado estadístico</t>
  </si>
  <si>
    <t>Potcentaje</t>
  </si>
  <si>
    <t xml:space="preserve">Formalizar y Actualizar el Plan  para el fortalecimiento de  la Gestion Integral de los servicios Logisticos </t>
  </si>
  <si>
    <t>Subdirección Logística</t>
  </si>
  <si>
    <t xml:space="preserve">Formalizar  el Plan  para el fortalecimiento de  la Gestion Integral de los servicios Logisticos </t>
  </si>
  <si>
    <t xml:space="preserve">Actualizar el Plan  para el fortalecimiento de  la Gestion Integral de los servicios Logisticos </t>
  </si>
  <si>
    <t xml:space="preserve">Verificacion Fichas Técnicas de Parque Automotor </t>
  </si>
  <si>
    <t>Revisar el  100% y Alinear el 45% de las Hojas de vidas de Parque Automotor de acuerdo al procedimiento de Gestion Documental de la entidad.</t>
  </si>
  <si>
    <t xml:space="preserve">Documentar Plan de Mantenimiento Preventivo y Correctivo de  Parque Automotor </t>
  </si>
  <si>
    <t>Verificacion Fichas Técnicas de Equipo Menor</t>
  </si>
  <si>
    <t>Revisar el 100 % y Alinear el 15% de las Hojas de vidas de Equipo Menor de acuerdo al procedimiento de Gestion Documental de la entidad.</t>
  </si>
  <si>
    <t>Documentar el Plan de Mantenimiento Preventivo y Correctivo de Equipo Menor</t>
  </si>
  <si>
    <t>Elaboración del modelo de encuesta para elaborar el diagnostico integral de archivo.</t>
  </si>
  <si>
    <t>Aplicación de la encuesta en las dependencias del Edificio Comando y en cada una de las Estaciones</t>
  </si>
  <si>
    <t>Tabulación de la información recolectada</t>
  </si>
  <si>
    <t>Análisis y presentación del Diagnostico Integral de Archivo.</t>
  </si>
  <si>
    <t>Realizar Jornadas de sensibilización  y capacitación en cada una de las  17 Estaciones y el Edificio Comando de la UAECOB</t>
  </si>
  <si>
    <t>visitas</t>
  </si>
  <si>
    <t>Desarrollar el contenido de la visita de seguimiento y la planeación de las visitas.</t>
  </si>
  <si>
    <t>Servicio a la Ciudadanía - Cesar Augusto Zea Arevalo</t>
  </si>
  <si>
    <t>Realizar una visita trimestral a cada estación, para hacer seguimiento a la implementación del PIGA</t>
  </si>
  <si>
    <t xml:space="preserve">Realizar charlas comunicativas a los servidores públicos y/o contratistas del Edificio comando, en lo relacionado a las funciones del Defensor de la Ciudadanía de la UAECOB, para generar importancia frente a la oportunidad y coherencia de los requerimientos ciudadanos </t>
  </si>
  <si>
    <t>Gestión de las actividades de planeación y ejecución para las 2 capacitaciones a realizar en el 2do trimestre del año.</t>
  </si>
  <si>
    <t>Gestión de las actividades de planeación y ejecución para las 2 capacitaciones a realizar en el 3er trimestre del año.</t>
  </si>
  <si>
    <t>Gestión de las actividades de planeación y ejecución para la capacitación final a realizar en el 4to trimestre del año.</t>
  </si>
  <si>
    <t>Programar las auditorias del SIG en el plan anual de auditorias de la entidad</t>
  </si>
  <si>
    <t>Realizar la actualización del procedimiento de auditorias internas</t>
  </si>
  <si>
    <t>Se evidencia la publicación del procedimiento en la Ruta de la Calidad</t>
  </si>
  <si>
    <t>Realizar reuniones de preparación y socialización con los auditores internos de la entidad</t>
  </si>
  <si>
    <t>Realizar el plan de auditorias individuales por proceso con los auditores e incluir observadores</t>
  </si>
  <si>
    <t>Cambio de la Cultura del Sistema Integrado de Gestión - MIPG</t>
  </si>
  <si>
    <t>Ejecutar las 3 actividades del plan de adecución de MIPG en la entidad asignadas a la subdirección de gestión corporativa</t>
  </si>
  <si>
    <t>Realizar dos (2) Capacitaciones Sistemas de Gestión - MIPG</t>
  </si>
  <si>
    <t>Identificar el estado del Sistema de Gestión de Calidad</t>
  </si>
  <si>
    <t>Definir el plan estratégico, Identificar riesgos y oportunidades</t>
  </si>
  <si>
    <t>Documentación o reingeniería de  procesos</t>
  </si>
  <si>
    <t>Auditoría interna</t>
  </si>
  <si>
    <t>Realizar la revisión por la dirección</t>
  </si>
  <si>
    <t>Auditoría de certificación</t>
  </si>
  <si>
    <t>Área de Infraestructura</t>
  </si>
  <si>
    <t>* Gestionar el proceso de contratación ante OAJ para la compra del predio</t>
  </si>
  <si>
    <t>* Adquisición del predio</t>
  </si>
  <si>
    <t xml:space="preserve">* Elaboración de Estudios Previos para los Estudios y Diseños de la Escuela de Formación Bomberil y Una Estación de Bomberos </t>
  </si>
  <si>
    <t>Porcentase</t>
  </si>
  <si>
    <t>* Supervisión de avance del 50% de la elaboración de Estudios y Diseños para la Adecuación y Ampliación de la Estación de Bomberos de Marichuela - B10.</t>
  </si>
  <si>
    <t>* Supervisión de avance del 90% de la elaboración de Estudios y Diseños para la Adecuación y Ampliación de la Estación de Bomberos de Marichuela - B10.</t>
  </si>
  <si>
    <t>* Validación y Aprobación de los Estudios y Diseños, Radicación ante Curaduría para la obtención de la Licencia de Construcción.</t>
  </si>
  <si>
    <t>* Gestión y trámite para la obtención de la Licencia de Construcción para la Estación de Bomberos de Marichuela - B10</t>
  </si>
  <si>
    <t>*Ejecutar el mantenimiento de la infraestructura física de cuatro (4) estaciones de Bomberos.</t>
  </si>
  <si>
    <t>*Ejecutar el mantenimiento de la infraestructura física de cinco (5) estaciones de Bomberos.</t>
  </si>
  <si>
    <t>* Solicitud al DADEP sobre la disponibilidad de predios.</t>
  </si>
  <si>
    <t>* Verificación y acompañamiento ante el DADEP la incorporación de los predios producto de planes parciales a su base de datos.</t>
  </si>
  <si>
    <t>* Gestionar la entrega del predio a cargo del DADEP a la UAE Cuerpo Oficial de Bomberos de Bogotá.</t>
  </si>
  <si>
    <t>* Adquisición del predio mediante Acta de Entrega por parte del DADEP.</t>
  </si>
  <si>
    <t xml:space="preserve">* Aprobación de los Estudios Previos e Inicio de proceso contractual para la Interventoría a la Construcción de la Estación de Bomberos de Bellavista - B9.  </t>
  </si>
  <si>
    <t>* Supervisión del 20% de avance a la construcción de la Estación de Bomberos de Bellavista - B9.</t>
  </si>
  <si>
    <t>* Supervisión del 50% de avance a la construcción de la Estación de Bomberos de Bellavista - B9.</t>
  </si>
  <si>
    <t>* Supervisión del 80% de avance a la construcción de la Estación de Bomberos de Bellavista - B9.</t>
  </si>
  <si>
    <t>Realizar mesas de trabajo con la oficina asesora de planeación (área de tecnología)</t>
  </si>
  <si>
    <t>Generar nodo (dentro del servidor) para el almacenamiento de objetos virtuales de aprendizaje</t>
  </si>
  <si>
    <t>Socializar en estaciones y área, el uso de la herramienta virtual</t>
  </si>
  <si>
    <t>Realizar Mesas de trabajo con comandantes y subcomandantes para evaluar el alcance normativo y demás componentes del programa.</t>
  </si>
  <si>
    <t>Diseñar la malla curricular con base al componente normativo revisado y evaluado</t>
  </si>
  <si>
    <t xml:space="preserve">Evaluar la aplicabilidad del programa realizando su implementación en tres oficiales quienes evaluaran la efectividad del mismo, y realizar control de cambios </t>
  </si>
  <si>
    <t>Adoptar a través de un acto administrativo el programa de capacitación para ascenso a suboficiales y oficiales</t>
  </si>
  <si>
    <t>Definir temas y consolidar material de formación</t>
  </si>
  <si>
    <t xml:space="preserve">Asegurar Logística para los cursos y concertar programación con los responsables del equipo especializado </t>
  </si>
  <si>
    <t>Selección de personal para los Curso</t>
  </si>
  <si>
    <t xml:space="preserve">Desarrollar los cursos de acuerdo a los grupos especializados </t>
  </si>
  <si>
    <t>Definir el plan de trabajo en SYST y enviarlo para firma de la Dirección</t>
  </si>
  <si>
    <t>Solicitar la actualización de la política y objetivos del SGSYST</t>
  </si>
  <si>
    <t>Establecer mecanismos para la rendición de cuentas</t>
  </si>
  <si>
    <t>Realizar la autoevaluación según los estándares mínimos</t>
  </si>
  <si>
    <t>Obtener la licencia de  funcionamiento de la Escuela ante la Secretaria Distrital de Educación.</t>
  </si>
  <si>
    <t>Realizar la gestión con el fin de suscribir convenios interadministrativos que permitan asegurar los escenarios de la Escuela de Formacion Bomberil</t>
  </si>
  <si>
    <t>Elaboración de ficha técnica</t>
  </si>
  <si>
    <t xml:space="preserve">Elaboración  y entrega de documentos precontractuales radicados en la Oficina Asesora Jurídica de la entidad. </t>
  </si>
  <si>
    <t>Verificar la expedición del compromiso presupuestal respectivo</t>
  </si>
  <si>
    <t>Se realizó la identificación de los líderes de cada una de las políticas del MIPG</t>
  </si>
  <si>
    <t>Se realizó la primera actividad, elaborando la matriz contractual con corte a 30 de junio de 2019</t>
  </si>
  <si>
    <t>Se realizó la segunda actividad, actualizando matriz contractual con corte a 30 de junio de 2019</t>
  </si>
  <si>
    <t>Se realizó cronograma para la programación de las capacitaciones en pedagogía infantil para las 17 estaciones de Bogotá.</t>
  </si>
  <si>
    <t>Se realizó la convocatoria del curso en todas las estaciones de la UAECOB, invitando a los niños a participar de la acostumbrada actividad.</t>
  </si>
  <si>
    <t>Esta pendiente el simulacro, se realizara el 13 de julio de 2019.</t>
  </si>
  <si>
    <t>Se elaboraron las correspondientes fichas técnicas de los elementos a adquirir en los grupos No.1 y No.2, las cuales hacen parte integral de los documentos del estudio previo del proceso.</t>
  </si>
  <si>
    <t xml:space="preserve">Se solicita concepto de Uso del Suelos ante la Curaduría Urbana. De igual forma se expide una Certificación del Bien del patrimonio inmobiliario distrital donde se especifica que el uso del predio perteneciente a Bomberos y Ubicado en la Carrera 33  con calle 8A es Zonas de Equipamiento Comunal. 
No es posible realizar incorporación de los predios teniendo en cuenta que no ha surtido el trámite de entrega de las áreas de sesión por parte de las constructoras a la Defensoría del Espacio Público. </t>
  </si>
  <si>
    <t>Se realizó mesas de trabajo el 22, el 24 y 28 de enero de 2019, en las cuales se establecieron criterios para el desarrollo del nuevo sistema de información misional.</t>
  </si>
  <si>
    <t>Se realizó reunión el 20 de mayo del presente año en la cual se priorizo las necesidades y se estableció el fortalecimiento de características y funciones del SIM.</t>
  </si>
  <si>
    <t>Se documentaron los antecedentes de hidrantes y se socializó con los jefes de las estaciones el procedimiento de revisión de hidrantes.</t>
  </si>
  <si>
    <t>Según la jurisdicción de las estaciones se ha realizado la revisión fisica y funcional de los hidrantes por parte del personal operativo y el seguimiento respectivo por parte del profesional asignado, conforme se puede evidenciar en el archivo de Google Drive HIDRANTES_COMPAÑIA_I; HIDRANTES_COMPAÑIA_II; HIDRANTES_COMPAÑIA_III; HIDRANTES_COMPAÑIA_IV; e HIDRANTES_COMPAÑIA_V.</t>
  </si>
  <si>
    <t>Revisión física y prueba funcional de los hidrantes para determinar su estado</t>
  </si>
  <si>
    <t xml:space="preserve">Se realizaron jornadas de sensibilización  y capacitación del PIGA en cada una de las  17 Estaciones y el Edificio Comando de la UAECOB en el mes de Mayo de 2019.
</t>
  </si>
  <si>
    <t>Se realizará una visita a partir del segundo trimestre a cada estación, para hacer seguimiento a la implementación del PIGA</t>
  </si>
  <si>
    <t>Fortalecimiento del Chat Distrital de la Línea 195, teniendo en cuenta que la Entidad genera información a la ciudadanía a través de este medio</t>
  </si>
  <si>
    <t>La evaluación del desempeño del funcionario que genero la capacitación estuvo de acuerdo a la satisfacción de los servidores de la Linea 195 fue del 99,63%</t>
  </si>
  <si>
    <r>
      <t xml:space="preserve">Actividad 1:  Se realizó mesa de trabajo con la Subdirector de Gestión Corporativa, en donde se definió la estrategia de socialización al interior de la UAECOB: Se realizó mesa de trabajo donde se acordó crear un Slogan "Todos unidos por un cambio"
como estrategia de socialización del MIPG en la entidad, que se trabajó con la oficina de Prensa Institucional y fue divulgado por el correo institucional. (Acta de reunión 4 abril 2019; Plantilla del Slogan) y se ejecutó el curso con la ESAP, en los temas relacionados con la integración de MIPG con un referente de cada proceso, esta última se llevó a cabo los días 9, 21 y 28 de mayo del presente año.
Actividad 2:  Documento que describe la integración de los procesos de la UAECOB, las políticas del MIPG y los subsistemas de gestión: Se trabajó conjuntamente con la OAP en la Resolución 306/19 y se creó una Matriz que describe la integración de los procesos, subprocesos   y responsables de la UAECOB para liderar su articulación, versus las dimensiones y políticas MIPG.
Actividad 3: Documento que describe la integración de los procesos de la UAECOB, las políticas del MIPG y los subsistemas de gestión: En el Capítulo 5 de la Resolución 306/19, se especifica y se designa a la OAP como responsable de los equipos técnicos, así mismo se encuentran los lineamientos, funciones y deberes de estos equipos técnicos.
</t>
    </r>
    <r>
      <rPr>
        <sz val="11"/>
        <rFont val="Calibri"/>
        <family val="2"/>
        <scheme val="minor"/>
      </rPr>
      <t xml:space="preserve">
 </t>
    </r>
  </si>
  <si>
    <t>Se realizaron tres (3) capacitaciones en el edificio comando, sobre Sistema Integrado de Gestión -MIPG, los días 23 y 31 de mayo, y el 6 de junio del año en curso.</t>
  </si>
  <si>
    <t xml:space="preserve">Se llevó a cabo la verificación de los requisitos ISO 9001 vs las políticas y dimensiones de MIPG, en donde se evaluaron los documentos existentes en la ruta de la calidad y el estado de cumplimiento respecto a las normas.
- Ver anexo Matriz 9001, matriz de responsabilidades ISO 9001, cronograma certificación, Alineación políticas vs procesos
</t>
  </si>
  <si>
    <t xml:space="preserve">Se inicia con la elaboración de los diseños de las Instalaciones Eléctricas, Hidro-sanitárias y de Voz y Datos con el fin de ser verificadas y aprobadas por la Interventoría como por la Supervisión del contrato.
* El 17 de junio de 2019 mediante radicado No. 2019-400-013107-2 al Departamento Administrativo de la defensoría del espacio Público DADEP, se radica el diseño arquitectónico y estructural de la estación, con el fin de solicitar la Anuencia por parte de dicha entidad.  
</t>
  </si>
  <si>
    <t>El 4 de marzo de 2019 se radicó ante la Oficina Asesora Jurídica la solicitud de revisión del proceso de contratación cuyo objeto es: "Interventoría Técnica, Administrativa, Financiera, contable, Jurídica y ambiental a: i - Construcción de la Estación de Bomberos de Bellavista. ii- Realizar el mantenimiento predictivo, preventivo, correctivo, adecuaciones y mejoras a las instalaciones de las dependencias de la UNIDAD ADMINISTRATIVA ESPECIAL CUERPO OFICIAL DE BOMBEROS D.C. iii - Estudios, diseños y obras de la estación de Bomberos las Ferias". Proceso que se encuentra en la plataforma de SECOP II, mediante número UAECOB-CMA-001-2019 desde el 15 de marzo de 2019.</t>
  </si>
  <si>
    <t xml:space="preserve">El 28 de mayo de 2019 se adjudica el Contrato de consultoría No. 331 de 2019 - Interventoría para la Construcción de la Estación de Bomberos de Bellavista
* Se inicia con el trámite de desembolso del Anticipo, para ello se deben surtir actividades tanto del contratista de obra como de la Interventoría.
</t>
  </si>
  <si>
    <t xml:space="preserve">La profesional Adriana Salom quien esta a cargo del Plan para el fortalecimiento de  la Gestion Integral de los servicios Logisticos, socializo, presento  y formailzo el Plan por medio de reunion con el Director Pedro Manosalva, avanzando en  el 10% de la actividad que daba pendiente.
Adriana Salom actualiza el Plan  para el fortalecimiento de  la Gestion Integral de los servicios Logisticos </t>
  </si>
  <si>
    <t xml:space="preserve">Se socializa y formaliza el Plan para el fortalecimiento de la Gestión Integral de los servicios Logísticos con el Director </t>
  </si>
  <si>
    <t>Se actualiza el Plan para el fortalecimiento de la Gestión Integral de los servicios Logísticos</t>
  </si>
  <si>
    <t>Se realizó la revisión del estado actual de las fichas y se realizaron los ajustes pertinentes de la documentación de acuerdo a los lineamientos dados por Gestión Documental. Con base a lo anterior, se inicia el proceso de seguimiento de mantenimientos preventivos y correctivos de acuerdo al diseño de una base de datos para el seguimiento y control de cada proceso. Se consolidó la Matriz histórica de los mantenimientos correctivos y preventivos realizados a cada una de las máquinas de acuerdo con los dos últimos contratos de mantenimientos realizados al Parque Automotor.</t>
  </si>
  <si>
    <t>se inicia la revisión las hojas de vida del parque automotor con un check list establecido, para evidenciar los pendientes de cada una de las hojas de vida para lograr al 100% de los parámetros dados por Gestión Documental</t>
  </si>
  <si>
    <t>Se inicia la elaboración del Plan de mantenimiento preventivo para el parque Automotor de la UAECOB donde se toman en cuenta los parámetros por kilometrajes para el cambio de aceite motor, estado de frenos, alineación y balanceo de los vehículos, estado de luces y sistema eléctrico. Se continuará   el plan de mantenimiento con las fichas técnicas de los vehículos para los sistemas de Bomba de extinción, sistema de suspensión, compartimientos, chapas, y demás componentes de las maquinas extintoras de la UAECOB.</t>
  </si>
  <si>
    <t>Se inició la revisión de las fichas existentes de los elementos de Equipo Menor de mayor rotación en este grupo, se está seleccionando toda la relación de los equipos para así determinar los componentes del Plan. Se desarrolló la base de datos del Equipo menor.</t>
  </si>
  <si>
    <t xml:space="preserve">Se realizó la verificación de inventario de las hojas de vida que se encuentran en B-3, analizando inicialmente las que se encuentran físicas en esta estación que son alrededor de 250 y las que se encuentran pendientes por archivar y que se encuentran de manera digital que son alrededor de 1000 hojas de vida.
Se encuentra pendiente capacitación por parte de gestión documental para el personal de apoyo en Equipo Menor B-3
</t>
  </si>
  <si>
    <t xml:space="preserve">Ing Jhon Jairo palacio </t>
  </si>
  <si>
    <t>Ing Andrea Navarro</t>
  </si>
  <si>
    <t>Cecilia Camacho Alvarado</t>
  </si>
  <si>
    <t>Guillermo Diaz</t>
  </si>
  <si>
    <t>Diana Carolina Suarez</t>
  </si>
  <si>
    <t>Ing Luisa Fernanda Morantes</t>
  </si>
  <si>
    <t>Actualización de la estrategia de cambio climático de la UAECOB</t>
  </si>
  <si>
    <t>Aprobación de la estrategia de cambio climático</t>
  </si>
  <si>
    <t>Publicación de la estrategia de cambio climático</t>
  </si>
  <si>
    <t>Seguimiento a la estrategia de cambio climático</t>
  </si>
  <si>
    <t>Mesas de trabajo para lineamientos del desarrollo del piloto de cartografía</t>
  </si>
  <si>
    <t>Presentación de documento con las fases y lineamientos</t>
  </si>
  <si>
    <t>Consolidación, validación y divulgación de la cartografía social</t>
  </si>
  <si>
    <t>Ing Paola Castañeda</t>
  </si>
  <si>
    <t>Tte. Luis Fernando Caicedo</t>
  </si>
  <si>
    <t>Se Actualizo el documento en el cual se identifican los puntos críticos en los teatros y cinemas frente a los temas de seguridad humana y sistemas de protección contra incendio.</t>
  </si>
  <si>
    <t>Mediante Correo electrónico del 12/02/2019 se envía a la oficina asesora de planeación el informe diagnóstico y necesidades para el desarrollo de plataformas virtuales.</t>
  </si>
  <si>
    <t>Se realizó mesas de trabajo el 22, 24 y 28 de enero de 2019 en las cuales se establecieron criterios para el desarrollo del nuevo sistema de información misional con el área de tecnología.</t>
  </si>
  <si>
    <t xml:space="preserve">Se realizó la estructura del documento correspondiente a la guía de riesgos comunes y asociados de incendios por parte del ingeniero desarrollador y este fue enviado a la coordinación de conocimiento del riesgo para su revisión el día 22 de febrero de 2019. </t>
  </si>
  <si>
    <t>Se establece la estructura y desarrollo del contenido del documento guía frente a los componentes eléctrico y riesgos comunes asociados a incendios.</t>
  </si>
  <si>
    <t xml:space="preserve">1. Identificación de los antecedentes trabajados junto a la Oficina Asesora de Planeación-OAP, con el Ing. Mariano Garrido, a fin de verificar punto de partida y llegada de la Sistematización, de acuerdo al procedimiento de capacitación brigadas contraincendios clase uno. Para lo cual se Soporta con el Acta de reunión del 19 de marzo de 2019.
2. Identificación de todas las actividades inherentes al procedimiento junto con el personal de la OAP, en donde se estableció la vinculación de la sistematización de las etapas administrativas en torno a la plataforma DOSEBO y se validó con la Ing. Diana Poveda y el personal referente de la plataforma, el punto de partida de la plataforma. Por lo cual se concluyó que se requiere desarrollar el trámite de pago a través del liquidador dadas las situaciones encontradas con el misional por lo que se delega al Ing. Luis Carmona para el desarrollo del liquidador. Se soporta con el Acta de reunión 27 de mayo de 2019  
3. Se estableció la caracterización del detalle de las etapas desde que el usuario solicita la información, se agenda, se hace el pago del servicio, se diligencia el formulario, se desarrolla de la capacitación etc., llegando a establecer compromisos de análisis de rangos de participación, definición de conformación de grupos de pequeñas empresas, con grupos máximo de 25 personas. Se soporta con el Acta del 7 de junio de 2019.
4. Se analizan las entradas y salidas del sistema de liquidador, control y definición de pagos para la liquidación. Se estableció la necesidad de diseñar el recibo de pago en coordinación con el área de atención al Ciudadano. Se soporta con el Acta de reunión del 13 de junio de 2019.
5. Se definió el nombre del sistema de liquidación, denominándola:  Sistema de liquidación de capacitación brigadas contraincendios clase uno. Se socializa los campos que debe incluir el recibo de caja, y se acuerdan (empresa, nit, valor a pagar, valores en letra y número, número del comprobante, código de barras etc. Se analiza los contenidos de la carta tipo de preacuerdo. Así mismo se validan los estados del sistema de liquidación, al respecto se definen: programado-pendiente, en proceso, legalizado recibo de caja, cancelado-Legalizado Declinado. Proyección de reuniones con la Ing. Diana Poveda a fin de evaluar la interacción con plataforma DOSEBO, Análisis sobre el orden de los estados y verificar si deben incluirse otros estados. Soporte: acta de reunión 26 de junio de 2019-
</t>
  </si>
  <si>
    <t xml:space="preserve">Se Revisaron los módulos de capacitación comunitaria mediante mesas de trabajo del equipo uniformado de Prevención en las fechas del 19 de febrero de 2019 y el 11 de marzo de 2019, en las cuales se generaron lineamientos para desarrollar el material de referencia a actualizar. </t>
  </si>
  <si>
    <t xml:space="preserve">Se realizó reunión el día 27 de mayo del año 2019, soportado en acta, con el objetivo de realizar
seguimiento a los productos según responsables, de acuerdo con el cronograma de trabajo, en
donde se establecieron los siguientes compromisos:
Actualizar la información con estadísticas del año 2018 y remitir plazo a Luis Bernal con plazo 7 de
junio de 2019, como responsables Oscar Cuevas, Nelson Sánchez y Sgto. German Aldana.
Actualizar contenidos de acuerdo a la estadística referencia con plazo 7 de junio de 2019,
responsable Nelson Sánchez.
Entregables consolidados al 14 de junio de 2019 a través de correo electrónico, responsables Cabo
Luis Bernal y Sgto. German Aldana.
Seguimiento a prensa por parte de la Subdirección de Gestión del Riesgo-SGR de los productos entregados.
El día 30 de mayo del año 2019, soportado en acta, se realiza reunión con el objetivo de revisar los
productos de capacitación en comunitaria, meta plan de acción y articulación con prensa, en
donde se establecieron los siguientes compromisos:
Por prensa la entrega de 8 videos que integra Gente que ayuda, así como 2 videos de material de
riesgo bajo para el 14 de junio de 2019.
Revisión de prensa de los módulos de capacitación comunitaria.
El día 14 de junio y de acuerdo a los compromisos, se hace entrega a la referente de la SGR de los
8 videos, por el área de prensa, cumpliendo con los tiempos establecidos en las actas anteriores.
De igual manera de hace entrega vía correo electrónico por parte del Cabo Luis Bernal de los
módulos de capacitación comunitaria para su revisión a los referentes de la SGR, al Teniente
Triana y a la profesional del área de capacitación comunitaria de la SGR para revisión
metodológica.
Se realiza revisión por el Teniente Triana, quien realiza observaciones frente al contenido y se
envía vía correo electrónico a los profesionales encargados de su respectiva corrección, así como
se hace revisión por parte de la profesional encargada de capacitación comunitaria en cuanto a la
parte metodológica. Posteriormente se realiza informe con las observaciones generales frente a la estructura metodológica para su respectivo ajuste.
</t>
  </si>
  <si>
    <t>Se establecieron compromisos laborales con el equipo uniformado de prevención para desarrollar la virtualización de los módulos de capacitación a brigadas, y como resultado se establece cronograma de trabajo con responsables, así mismo se realiza los entregables de la revisión del material de acuerdo al cronograma establecido por cada uno de los responsables,  se envía mediante correo electrónico del 31 de marzo de 2019 y actas de reunión de los equipos de trabajo de fechas 21 de marzo de 2019, y 16 de marzo de 2019.</t>
  </si>
  <si>
    <t xml:space="preserve">1. Los instructores referentes presentan modelo pedagógico y validan la plantilla para la estructuración de contenidos de los módulos de capacitación brigadas Contra Incendio-CI, avalada por la OAP con el soporte:  Acta de 28 de marzo de 2019.
2. El instructor referente Marco Quiroga presenta los avances de contenidos consolidados en plantilla, como resultado de lo solicitado a instructores referentes por módulo fechas de compromiso.  Soporte. Acta 25 de abril de 2019.
3. Envío de contenidos temáticos a la Ingeniera Diana Poveda – OAP sobre los Módulos de Comportamiento del fuego, Administración de la Emergencia, Gestión del Riesgo, Primer Respondiente, Proyecto de entorno virtual comportamiento del Fuego a través de soporte del Correo electrónico del 23 de mayo de 2019. 
4. La Ing. Diana Poveda de la OAP revisa contenidos enviados el 27 de mayo de 2019 por instructor referente Marcos Quiroga, y concluye que no hay ningún tipo de problema, únicamente un aspecto de forma, por lo cual con Marco Quiroga se trabajaría los contenidos en plantilla PowerPoint para subirla a Plataforma DOSEBO. Por lo tanto, se deberá proyectar cronograma de entregables a la Oficina Asesora de comunicaciones y Prensa.  Se soporta con el Acta de trabajo del 27 de mayo de 2019
5. El instructor Marcos Quiroga, envía requerimiento para entregables en cada uno de los módulos a los instructores referentes. Se soporta con el Correo electrónico del 28 de mayo de 2019.
6. El instructor Marco Quiroga. Envío los 6 módulos incluyendo el introductorio consolidados a Ing. Diana Poveda con el soporte del Correo electrónico del 30 de mayo de 2019.
7.  De acuerdo a requerimientos a través de memorando 2019I008873- ID 7490 del 6 de junio de 2019, enviado a Oficina Asesora de comunicaciones y Prensa, sobre productos a diseñar, se acuerda con la SGR cambiar animaciones por vídeos, fecha de grabación módulo Introductorio -17 de junio de 2019 y mesa de trabajo para diseño módulo 1 para el 21 de junio de 2019. Soporte: acta de trabajo 11 de junio de 2019.
8.  Acuerdos entre a Oficina Asesora de comunicaciones y Prensa, OAP y SGR: establecer los Formatos de vídeos para subir a la plataforma DOSEBO, avanzar en los módulos 0 y 1 para subirlos a la plataforma a fin de dar viabilidad a la capacitación del manejo de herramienta DOSEBO y diseño de plantilla web PowerPoint para estandarizar la presentación de contenidos de módulos de capacitación. Soporte. Acta 13 de junio de 2019. 
9. a Oficina Asesora de comunicaciones y Prensa y SGR realizan vídeo introductorio de acuerdo a compromisos adquiridos en mesa de trabajo del 11 de junio. Fecha de realización del día 17 de junio de 2019. (Video en proceso).
10 a Oficina Asesora de comunicaciones y Prensa y SGR realizan mesa de trabajo para acordar parámetros para la elaboración de vídeo módulo 1, normatividad. Soporte. acta de reunión 27 de junio de 2019.
11.  a Oficina Asesora de comunicaciones y Prensa envía diseño de plantilla en cumplimiento de compromiso de 13 de junio de 2019. Soporte. Correo electrónico 28 de junio de 2019.
12. SGR envía a Marco Quiroga e instructores referentes el diseño de plantilla. Soporte correo electrónico 28 de junio de 2019. 
</t>
  </si>
  <si>
    <t xml:space="preserve">Para la revisión del documento de estrategia, se recopilo información y se realizó nuevas estadísticas de los años 2016 al 2018. </t>
  </si>
  <si>
    <t>Se está consolidando el documento para entrega al director, estableciendo planes de acción en cada localidad.</t>
  </si>
  <si>
    <t xml:space="preserve">El 22 y 25 de enero y el 13, 19 y 27 de febrero de 2019 se llevaron a cabo 5 reuniones en las que se reestructuraron los programas y curso Nicolás Quevedo Rizo creando un manual que le permita al personal de uniformados tener conocimiento de la metodología del Club Bomberitos.  </t>
  </si>
  <si>
    <t>Las jornadas de capacitación iniciaron el 19 de Julio de 2019. Se anexa cronograma de visitas a las 17 Estaciones de Bogotá y finalizan antes de los plazos establecidos.</t>
  </si>
  <si>
    <t>Se Realiza la mesa de trabajo del diagnóstico de la implementación del proyecto en la fase 1, con el personal designado para la ejecución del proyecto en la fase 1  en el mes de enero para lo cual se soporta el Acta de Reunión en donde también se concluyen las mejoras a desarrollar en la implementación de la fase 2</t>
  </si>
  <si>
    <t>Se realizó articulación institucional mediante la socialización del proyecto en cada uno de los tres turnos de las estaciones Chapinero y Caobos Salazar para el trabajo en las localidades de Chapinero y Usaquén. Seguido a esto se realizó la articulación interinstitucional con los Consejos Locales de Gestión del Riesgo y Cambio Climático.  Los barrios para la implementación del proyecto se tienen propuestos y por medio de la metodología de selección de barrios se escogerán 5 por cada localidad.</t>
  </si>
  <si>
    <t>Se actualizo el documento de la estrategia de Cambio Climático y se entregó para revisión a la coordinación del proceso de Reducción del Riesgo mediante entrega de informe.</t>
  </si>
  <si>
    <t>Durante el mes de Julio se llevarán a cabo reuniones con áreas de infraestructura, conocimiento del riesgo, reducción del riesgo y la subdirección operativa para aprobación de las metas e indicadores correspondientes a los componentes de conocimiento, reducción de riesgo, mitigación de cambio climático y manejo de emergencia y desastre.</t>
  </si>
  <si>
    <t xml:space="preserve">Se realizó reunión con el Sargento Jefe del Grupo con el fin de solicitar información a la espera de otra reunión con el fin de recopilar la información sobre el desarrollo piloto de la cartografía. </t>
  </si>
  <si>
    <t xml:space="preserve"> Se solicitó información a los gestores, con el fin de consolidar las diferentes campañas y se divulgo la campaña Gas licuado de Petróleo-GLP por medio de las redes sociales de la entidad. </t>
  </si>
  <si>
    <t>Se elaboró el material didáctico para la campaña de Gas licuado de Petróleo-GLP y se elabora el diseño de los afiches para las campañas de vientos para agosto, pirotecnia, seguridad en diciembre, seguridad en Halloween, ductos de basura en propiedad horizontal, forestales y recomendaciones generales de prevención en centros comerciales</t>
  </si>
  <si>
    <t>Se inicia con la divulgación en los centros comerciales de la campaña de hogar seguro y la casa inflable. Igualmente se realizó el día 8 de junio una jornada de sensibilización y prevención de incendios forestales y causas del cambio climático en compañía del área de gestión ambiental en la localidad de USME barrio nuevo porvenir.</t>
  </si>
  <si>
    <t>Se realizó reunión con la localidad de Sumapaz determinando la actividad que se realizara en el mes de la prevención (octubre) y como actividad de plan de acción de la localidad.</t>
  </si>
  <si>
    <t xml:space="preserve">Se evidencia acta de reunión del 19 de marzo de 2019 en la cual se presenta avance de la recolección de los datos que sirven como insumo para presentar una campaña de prevención.
Se define el tema del insumo para la campaña el cual es gasodomesticos.
Se evidencia reunión 11 de abril de 2019 en la cual se establece el tema de funcionamiento de gasodomesticos
Se evidencia reunión del 29 de mayo en el cual se trata el tema de mantenimiento de gasodomesticos 
Se evidencia reunión del 6 de junio en la cual se trata el tema de calentadores de paso a gas 
Se evidencia reunión del 26 de junio de 2019 y el tema tratado fue normatividad de calentadores a gas
</t>
  </si>
  <si>
    <t>Se preparó la información estadística del primer trimestre con la información enviada por el Centro de Comando y Comunicaciones (C.C.C.) de la Subdirección Operativa.</t>
  </si>
  <si>
    <t xml:space="preserve">Preparación y análisis de la información enviada por la C.C.C.-Centro de Comando y Comunicaciones </t>
  </si>
  <si>
    <t>Se proyectó la resolución con los ajustes propios a la realidad de la entidad y se gestionó la firma de los responsables de cada área.  Esta pendiente la firma de la OAJ y Dirección.</t>
  </si>
  <si>
    <t>Se realizó la identificación de los lideres de las politicas de MIPG</t>
  </si>
  <si>
    <t>Se realizó la identificación de los procesos y subprocesos responsables de las políticas de MIPG en una matriz.  Se encuentra en revisión final para su socialización en el comité institucional de Gestión y Desempeño.</t>
  </si>
  <si>
    <t>Está pendiente la convocatoria al primer comité institucional</t>
  </si>
  <si>
    <t>Se actualizo la base de datos del liquidador con la estructura que va a recibir la información de los impuestos (ICA) consolidado del año anterior.</t>
  </si>
  <si>
    <t>Pruebas y ajustes de los servicios desarrollados</t>
  </si>
  <si>
    <t xml:space="preserve">Se llevó a cabo la reunión para hacer entrega de los sistemas de administración y liquidador de servicios de conceptos de revisiones técnicas del SIM. Estas aplicaciones son adyacentes al sistema de información misional (SIM) actual, que actúan como apoyo al proceso de pago del servicio de concepto de revisiones técnicas.
1. Sistema Administrador Liquidador Misional (SALM): Sistema que permite administrar los usuarios que se les asignan a las empresas para que puedan generar e imprimir y el recibo de liquidación por conceptos de revisiones técnicas.
2. Sistema Liquidador Misional (SLM): Sistema que le permite a las empresas generar e imprimir el recibo de liquidación por conceptos de revisiones técnicas.
3. Manuales de Usuarios (SALM) y (SLM).
Los sistemas actualmente se encuentran instalados en producción y entrarán en funcionamiento cuando se termine el proceso de depuración los registros de la base de datos de &lt;EMPRESAS&gt; del sistema SIM y la resolución que da soporte a la formulación implementada en la aplicación (SLM).
</t>
  </si>
  <si>
    <t>Se hizo las adecuaciones en el servidor http://172.16.92.27, se instala los siguientes componentes: PHP, MYSQL, APACHE y las correspondientes extensiones para el funcionamiento de Drupal como sistema de CMS de la Intranet de UAECOB</t>
  </si>
  <si>
    <t>Se realizó la instalación de los componentes del CMS para la nueva intranet de la UAECOB y se empieza estructurar el desarrollo de sitio en cual se puede verificar en: http://172.16.92.27/intranet</t>
  </si>
  <si>
    <t>Se revisaron las actividades realizadas en Gobierno En línea y con el fin de ajustar a las nuevas actividades para la implementación de Gobierno Digital se realiza la autoevaluación con la herramienta de la Alta Consejería</t>
  </si>
  <si>
    <t xml:space="preserve">Se da sostenibilidad a los componentes de Gobierno Digital y se empieza a estructurar e implementar los primeros trámites en línea de la UAECOB: Tramite en línea SIREP:  http://www.bomberosbogota.gov.co/?q=content/sirep
En desarrollo: Capacitación Comunitaria y Acompañamientos en Simulacros: http://172.16.92.18/WEB/  
</t>
  </si>
  <si>
    <t>Se entregan las Tablet y se evidencia en memorando del 30 de mayo del 2019 con numero radicado 2019I008626 donde se da inicio a unas modificaciones y mejoras a las mismas</t>
  </si>
  <si>
    <t>La herramienta CMS Moodle se encuentra implementada, instalada y configurada en un servidor de la UAECOB su objetivo era incorporar únicamente cursos virtuales del área de SGR, se implementó un curso virtual que cuenta con un avance importante pero no salió a producción debido a que no se entregó por parte de SGR la totalidad de los insumos del curso. Por otro lado, la Entidad adquirió el LMS Docebo en enero del 2019 como herramienta tecnológica para la creación y administración de los cursos virtuales dicha plataforma se encuentra instalada y configurada, en este sentido, se   configuraran y crearan paulatinamente los cursos que propongan y entreguen contenidos de las áreas interesadas de la Entidad y se realizara la migración de lo que se tiene del curso de SGR en Moodle a Docebo.</t>
  </si>
  <si>
    <t>En el marco del Contrato No. 431 de 2017 “IMPLEMENTACIÓN DEL SISTEMA DE GESTIÓN DOCUMENTAL DE LA UAE CUERPO OFICIAL DE BOMBEROS”, se realizó la implementación del Software CONTROLDOC® que permite radicar, producir, tramitar y hacer seguimiento a comunicaciones oficiales de la entidad. Esta herramienta Documental salió a producción el 18 de marzo del 2019 en la Entidad.</t>
  </si>
  <si>
    <t>Caracterización de cada uno de los activos de información (inventario de activos de Información de Software, hardware y servicios)</t>
  </si>
  <si>
    <t>Levantamiento de inventario de activos de Información de Software, hardware y servicios</t>
  </si>
  <si>
    <t xml:space="preserve">Alimentación de la caracterización documental. </t>
  </si>
  <si>
    <t xml:space="preserve">Se realizan reuniones con las diferentes áreas con el fin de fortalecer las funcionalidades y características, se realiza entrega final.
</t>
  </si>
  <si>
    <t>Se realizará seguimiento y control al área de gestión documental con el fin de concatenar la información restante mediante memorando</t>
  </si>
  <si>
    <t>Según memorando 2019I009375 del 17 de junio de 2019 se radicaron en la oficina jurídica los estudios previos, estudios de mercado, estudios del sector, matriz de riesgo y documentos soporte para la contratación del sistema de información misional.</t>
  </si>
  <si>
    <t>Revisar, recopilar y actualizar la información de las buenas prácticas identificadas</t>
  </si>
  <si>
    <t>Se identificó y recopilo una nueva practica para incluir en la guía y se actualizo la información de las buenas practicas 2018</t>
  </si>
  <si>
    <t>Un documento guía de Buenas Prácticas UAECOB actualizada con los datos e información de resultados de 2018, así como la identificación de nuevas buenas prácticas</t>
  </si>
  <si>
    <t>Un documento con el portafolio de servicios UAECOB actualizado con los datos e información de resultados de 2018.</t>
  </si>
  <si>
    <t xml:space="preserve">Revisar, recopilar y actualizar la información del portafolio de servicios </t>
  </si>
  <si>
    <t>Se realizarán en el año 2 actividades de articulación con la Academia, donde se promueve la interlocución con universidades e instituciones de educación superior y técnica sobre temas de interés relacionados con las actividades bomberiles</t>
  </si>
  <si>
    <t>Realizar una actividad de articulación con la academia correspondiente al 1er semestre, gestionando la participación de al menos una institución, seleccionando el tema y realizar convocatoria.</t>
  </si>
  <si>
    <t>Realizar una actividad de articulación con la academia correspondientes al 2do semestre, gestionando la participación de al menos una institución, seleccionando el tema y realizar convocatoria</t>
  </si>
  <si>
    <t>El tema de la jornada de articulación fue sobre el manejo de abejas urbanas y las emergencias; y se realizó el 20 de mayo</t>
  </si>
  <si>
    <t>Se identificó el tema de interés y posibles actores de la jornada de articulación con la academia en incendios forestales</t>
  </si>
  <si>
    <t xml:space="preserve">Se recopiló la información del relacionamiento del grupo de interés y se sistematizó en una estrategia de cooperación internacional y alianzas estratégicas  </t>
  </si>
  <si>
    <t>El diseño del modelo se presentó en un formato de modelo Canvas adaptado</t>
  </si>
  <si>
    <t>Generar los informes que contengan los resultados de (Plan de Acción, Informe Proyectos de Inversión (Metas y Presupuesto), Plan de Participación Ciudadana, y Tablero de Indicadores), correspondiente a la gestión del 1er trimestre.</t>
  </si>
  <si>
    <t>Generar los informes que contengan los resultados de (Plan de Acción, Informe Proyectos de Inversión (Metas y Presupuesto), Plan de Participación Ciudadana, y Tablero de Indicadores), correspondiente a la gestión del 2do trimestre.</t>
  </si>
  <si>
    <t>Generar los informes que contengan los resultados de (Plan de Acción, Informe Proyectos de Inversión (Metas y Presupuesto), Plan de Participación Ciudadana, y Tablero de Indicadores), correspondiente a la gestión del 3er trimestre.</t>
  </si>
  <si>
    <t>Generar los informes que contengan los resultados de (Plan de Acción, Informe Proyectos de Inversión (Metas y Presupuesto), Plan de Participación Ciudadana, y Tablero de Indicadores), correspondiente a la gestión del 4to trimestre.</t>
  </si>
  <si>
    <t>Se realizaron 6 mesas de trabajo con las abogadas de Contratación</t>
  </si>
  <si>
    <t>Se elaboraron seis (6) actas correspondientes a los meses de abril, mayo y junio de 2019</t>
  </si>
  <si>
    <t>Gestionar el PAA para el 1er trimestre, cumpliendo con las siguientes actividades:
1. Adelantar la planeación. (Investigación documental, elaboración de plan de auditoría, memorandos, entre otros) 20%
2. Adelantar las actividades (mesas de trabajo, entrevistas, encuestas, recopilación de evidencias). 50% 
3. Análisis de las evidencias y formulación de hallazgos u observaciones, plasmados en los informes. 20%
4. Entrega del informe final, reportes electrónicos, memorandos, a las partes interesadas. 10%</t>
  </si>
  <si>
    <t>No fue posible establecer mesas de trabajo con comandantes y subcomandantes para evaluar el alcance normativo y demás componentes del programa, dado que se encuentra incapacitado el Comandante de la compañía 1 y 3, el comandante encargado de las compañías 2, se encuentra en vacaciones. Los operativos asignados a la academia se encuentran desarrollando el proceso de formación de los cursos 45 y 46.</t>
  </si>
  <si>
    <t>Se realizó una reunión con el personal administrativo de la academia el día 26 de marzo con el fin de definir quiénes serán los participantes del plan de reentrenamiento, como se realizaría la convocatoria y los respectivos compromisos para la ejecución de los mismos</t>
  </si>
  <si>
    <t>Se realizó una reunión con el personal logístico de la academia el día 26 de junio con el fin de definir la logística necesaria para realizar el plan de reentrenamiento y los respectivos compromisos para la ejecución de los mismos</t>
  </si>
  <si>
    <t>Documento del plan de trabajo en SYST para 2019, aprobado por el COPASST y firmado por el Subdirector de Gestión Humana y el Director de la UAECOB.</t>
  </si>
  <si>
    <t>Teniendo en cuenta que los objetivos del SGSYST están firmados por la Dirección, se presenta la propuesta para actualización de la Política a través solicitud enviada por correo electrónico a la representante de la Dirección del SIG, para formalizar estos documentos.</t>
  </si>
  <si>
    <t xml:space="preserve">Se radico en la alcaldía de Fontibón bajo número 2019EE1885 solicitud de concepto favorable Desarrollo De obra, documento necesario para la expedición de la Licencia de Funcionamiento                                                       Radicado 2019E002750 solicitud de desarrollo de obra.                                                  
El 10 de junio fue entregado el desarrollo de obra favorable por parte de la alcaldía                                                                            Radicado en el DILE (E2019100611) radicado interno 2019E004185 14 DE JUNIO
</t>
  </si>
  <si>
    <t>En coordinación con la Oficina Asesora de Comunicación, se está articulando el fortalecimiento de la campaña de ahorro de papel en la dependencia, para lo cual se estableció la campaña a través de fondos de pantalla y correo institucional.</t>
  </si>
  <si>
    <t>Se realizaron jornadas de sensibilización y capacitación en cada una de las 17 Estaciones y el Edificio Comando de la UAECOB en el mes de mayo de 2019, sobre los temas de ahorro de papel en cumplimiento de la política cero papel.</t>
  </si>
  <si>
    <t>Se desarrolló el cuerpo del formato con el cual se va a verificar el seguimiento a la implementación del PIGA, así como la programación en cuanto a fechas de las visitas.</t>
  </si>
  <si>
    <t>Se realizó una jornada de sensibilización y capacitación del PIGA en cada una de las 17 Estaciones y el Edificio Comando de la UAECOB en el mes de mayo de 2019.</t>
  </si>
  <si>
    <t xml:space="preserve">Para el segundo trimestre se realizó una capacitación referente a las faltas Disciplinarias el día 05/04/2019 a las 9: 00 am en las instalaciones del edificio Comando.
NOTA ACLARATORIA: Esta actividad tiene inicio el segundo trimestre, sin embargo, en el primer trimestre se realizaron Dos (2) capacitaciones, en este sentido, a la fecha se han realizado 3 capacitaciones.
</t>
  </si>
  <si>
    <t>Se realizaron dos capacitaciones referentes a la inducción en temas de prevención en asuntos disciplinarios, una se realizó el 15/02/2019 y la otra el 05/03/2019 a las 8 de la mañana en los auditorios del Edificio Comando.</t>
  </si>
  <si>
    <t xml:space="preserve">Se elaboró el plan de trabajo para las capacitaciones, enfocado en: Manejo de elementos de propiedad planta y equipo e intangibles.
Presentación del manual de políticas contables definitivas.
Cálculo de beneficios a empleados a corto y largo plazo.
Criterios en la actualización de los elementos de propiedad planta y equipo e intangibles en cuanto a las vidas útiles y para el cálculo del deterioro.
</t>
  </si>
  <si>
    <t xml:space="preserve">Se elaboró el plan de trabajo para las capacitaciones, enfocado en: Manejo de elementos de propiedad planta y equipo e intangibles.
Y se prepara el material respectivo para las capacitaciones 
</t>
  </si>
  <si>
    <t xml:space="preserve">Se  realizó la solicitud de incluir la auditoría interna al sistema de gestión respecto a la norma ISO 9001:2015 a la jefatura de la OCI el día 9 de enero de 2019 vía e-mail, por lo que el día 14 de enero la OCI citó a comité dando a conocer el plan anual de auditorías,  en este mismo se encuentra planificada la auditoria interna al sistema de gestión,  iniciando en octubre y finalizando en diciembre, finalmente es aprobado en acta de comité de control interno el día 21 de enero de 2019 por el personal directivo de la entidad.
Ver anexo correos, Plan anual de auditorías y acta de reunión de enero 21 de 2019, en poder de OCI.
</t>
  </si>
  <si>
    <t>El equipo de la Central de Comunicaciones de la Subdirección Operativa, realizó reunión para programar las actividades de ajuste del árbol de servicios soportado en Acta del 25 de marzo de 2019.</t>
  </si>
  <si>
    <t xml:space="preserve">Según la jurisdicción de las estaciones se ha realizado la revisión física y funcional de los hidrantes, conforme se puede evidenciar en el archivo de Google Drive HIDRANTES_COMPAÑIA_I; HIDRANTES_COMPAÑIA_II; HIDRANTES_COMPAÑIA_III; HIDRANTES_COMPAÑIA_IV; e HIDRANTES_COMPAÑIA_V.
</t>
  </si>
  <si>
    <t>La ejecución del curso Bomberitos "Nicolás Quevedo Rizo" en las 17 estaciones fue entre el 18 y el 29 de junio de 2019, fechas de inicio y finalización, dentro de las actividades se tuvo contemplado: salidas pedagógicas, entrega de uniformes, refrigerios, material didáctico, transporte y clausura, beneficiando a 377 niños.</t>
  </si>
  <si>
    <t>La publicacion se realizara en el tercer trimestre</t>
  </si>
  <si>
    <t xml:space="preserve">
Diligenciamiento de formatos según lo evidenciado en las actividades 2 y 3.</t>
  </si>
  <si>
    <t>Se diligencio los formatos según las actividades de revision de los hidrantes</t>
  </si>
  <si>
    <t xml:space="preserve">Se envió mediante correo electrónico, el informe respectivo para la publicación en la web la cual se realizará en el tercer trimestre, por lo que no alcanza a cumplir la fecha del segundo trimestre.  </t>
  </si>
  <si>
    <t>Debido a que la información se suministró terminando el segundo trimestre por lo que el informe y publicación quedo fuera de la fecha establecida</t>
  </si>
  <si>
    <t>El documento adjunto contiene cronograma y libreto o guion del simulacro. El equipo de la Central de Comunicaciones de la Subdirección Operativa, realizó reuniones en el cual se evidencia que la fecha de ejecución del Simulacro será el 13 de julio de 2019, en las instalaciones de la Cámara de Comercio, Sede del Salitre.</t>
  </si>
  <si>
    <t>Se elaboró el formato para la Encuesta para elaborar el diagnostico de archivo</t>
  </si>
  <si>
    <t xml:space="preserve">No se ha ejecutado la encuesta, debido a inconvenientes de procesos que lleva el área, sin embargo, se va a aplicar de manera conjunta con el desarrollo de la transferencia documental primaria número 10 en el tercer trimestre. </t>
  </si>
  <si>
    <t>En el año se realizarán 4 publicaciones trimestrales sobre la socializacion de las funciones del defensor de la ciudadania al personal de la UAECOB.</t>
  </si>
  <si>
    <t>Publicación de la socialización sobre la función del defensor del ciudadano Trimestral</t>
  </si>
  <si>
    <t>Se realizó la publicación sobre las funciones del defensor del ciudadano en el trimestre para socializar a toda la entidad a través del correo de la UAECOB.</t>
  </si>
  <si>
    <t xml:space="preserve">Se realizó preparación del material para la Presentación Institucional de los trámites de Bomberos </t>
  </si>
  <si>
    <t>Se verifico la asistencia de los participantes a través de Actas de asistencia con un total de 92 participantes</t>
  </si>
  <si>
    <t>El equipo de la Central de Comunicaciones de la Subdirección Operativa, realizó reunión para programar las actividades del simulacro de comunicaciones. Se evidencia acta del 21 de marzo de 2019, con la cual se actualizo el procedimiento y ya se encuentra publicada en la ruta de la calidad.</t>
  </si>
  <si>
    <t>Ya se actualizo el intructivo y se encuentra pendiente la publicación en la ruta de la calidad para el tercer trimestre</t>
  </si>
  <si>
    <t xml:space="preserve">No se cumplio debido a diferentes compromisos de los contratistas debido a atrasos en el coronograma de actividades. Sin embargo, los profesionales encargados estan realizando las mesas de trabajo para realizar a mas tardar el 30 de Agosto el producto. </t>
  </si>
  <si>
    <t>Se realizó ajuste a la matriz del árbol de servicios en donde se agregaron estos tres servicios: falla estructural, incidente emergencia en potencia y activación</t>
  </si>
  <si>
    <r>
      <t xml:space="preserve">El 4 de Marzo de 2019 se radicó ante la Oficina Asesora Jurídica la solicitud de revisión del proceso de contratación cuyo objeto es: "Interventoría Técnica, Administrativa, Financiera, contable, Jurídica y ambiental a: i - Construcción de la Estación de Bomberos de Bellavista. ii- Realizar el mantenimiento predictivo, preventivo, correctivo, adecuaciones y mejoras a las instalaciones de las dependencias de la UNIDAD ADMINISTRATIVA ESPECIAL CUERPO OFICIAL DE BOMBEROS D.C. iii - Estudios, diseños y obras de la estación de Bomberos las Ferias". Proceso que se encuentra en la plataforma de SECOP II, mediante número UAECOB-CMA-001-2019 desde el 15 de marzo de 2019.
</t>
    </r>
    <r>
      <rPr>
        <sz val="11"/>
        <color rgb="FFFF0000"/>
        <rFont val="Calibri"/>
        <family val="2"/>
        <scheme val="minor"/>
      </rPr>
      <t xml:space="preserve">
El 10 de Junio de 2019 se inicia proceso de contratación para la elaboración de los Estudios, diseños y obras de la Estación de Bomberos de Ferias, cuyo proceso es UAECOB-LP-007-2019</t>
    </r>
  </si>
  <si>
    <t>El día 28 de Mayo de 2019 se adjudica el Contrato de consultoría No. 331 de 2019 cuyo objeto es "Interventoría Técnica, Administrativa, Financiera, contable, Jurídica y ambiental a: i - Construcción de la Estación de Bomberos de Bellavista. ii- Realizar el mantenimiento predictivo, preventivo, correctivo, adecuaciones y mejoras a las instalaciones de las dependencias de la UNIDAD ADMINISTRATIVA ESPECIAL CUERPO OFICIAL DE BOMBEROS D.C. iii - Estudios, diseños y obras de la estación de Bomberos las Ferias".
Se vienen respondiendo Observaciones presentadas a los Pliegos de Condiciones de la Licitación Pública No. UAECOB-LP-007-2019. Con el fin de pasar a Pliegos Definitivos y Resolución de Apertura.</t>
  </si>
  <si>
    <t>Se Realiza informe diagnostico donde se analizan los principales aspectos a evaluar en los establecimientos de comercio clasificados como riesgo bajo y el porcentaje de establecimiento que se van para la clasificación virtual.</t>
  </si>
  <si>
    <t>REGULAR</t>
  </si>
  <si>
    <t>117  Renovar en un 50% la dotación de Equipos de Protección Personal del Cuerpo de Bomberos de Bogotá</t>
  </si>
  <si>
    <t>118  Renovar en un 50% la dotación de Equipos de Protección Personal del Cuerpo de Bomberos de Bogotá</t>
  </si>
  <si>
    <t>Se preparó la información estadística del segundo trimestre con la información enviada por el Centro de Comando y Comunicaciones (C.C.C.) de la Subdirección Operativa.</t>
  </si>
  <si>
    <t>En Ejecución</t>
  </si>
  <si>
    <t xml:space="preserve">Se está revisando el marco normativo y las condiciones de seguridad humana y sistemas de protección contra incendios. Adelantando el documento de analisi s frente a aglomeraciones permanentes </t>
  </si>
  <si>
    <t>A través de acta de reunión del 14 de marzo de 2019 con el personal uniformado y el Comandante Tito Forero,  se establecieron los lineamientos de la estrategia para la gestión del riesgo por incendios forestales en la localidad de Sumapaz.</t>
  </si>
  <si>
    <t>A través del acta de reunión del día 17 de Enero de 2019  se establece la definición de 3 temas relacionados con la investigación que realiza el EII, reunión del 11 de febrero de 2019 en la cual  se inicia la revisión de la estadística de relacionada con los riesgos para la campaña de incendios con la definición de los 3 temas (+incendios en ductos de basuras, fallas eléctricas y gasodomensticos)</t>
  </si>
  <si>
    <t>CUMPLIDO</t>
  </si>
  <si>
    <t>Se suscribe contrato interadministrativo con Catastro Distrital con el fin de realizar un avalúo del predio ubicado en la Localidad de Usme, donde se ubicará la academia y una estación de bomberos nueva, predio que cumple con las características técnicas y de operatividad consignadas dentro del informe preliminar realizado por los profesionales del Área de Infraestructura; este contrato tiene un plazo de tres meses con el objetivo de realizar el avalúo de dicho predio para la respectiva gestión de recursos y compra del mismo, de acuerdo a lo anterior, el día 26 de junio de 2019 se suscribe el Contrato Interadministrativo No. 363 de 2019, cuyo objeto es "CONTRATO INTERADMINISTRATIVO ENTRE LA UAE CUERPO OFICIAL DE BOMBEROS DE BOGOTÁ Y UAE-CATASTRO DISTRITAL PARA REALIZAR AVALÚO COMERCIAL A UN PREDIO DENTRO DEL PROYECTO ESCUELA DE FORMACIÓN (ACADEMIA) DE BOMBEROS DE BOGOTÁ Y ESTACIÓN DE BOMBEROS. Hasta tanto se tenga el avalúo catastral del valor acertado del predio, será posible gestionar el proceso de contratación ante la Oficina Asesora Jurídica.</t>
  </si>
  <si>
    <t xml:space="preserve">El 19 de febrero de 2019 mediante radicado No. 2019EE1104 se solicita a través de derecho de petición ante la Unidad Administrativa Especial de Catastro Distrital con el fin de consultar el Valor Final para compra de predio, 
* El 20 de marzo de 2019 mediante radicado No. 2019ER6173 se solicita ante Catastro Distrital solicitud de Cotización para realizar un Avalúo Comercial para el predio de interés
* El 28 de marzo de 2019 se recibe de Catastro Distrital, Respuesta al Derecho de Petición del 19 de febrero de 2019.
* Se presentan los estudios previos radicados ante la oficina jurídica el 13 de diciembre de 2017, que como resultado de la revisión del área jurídica se estipuló que debía contratarse un Avalúo Predial.
</t>
  </si>
  <si>
    <t>El 18 de marzo de 2019, el interventor del contrato No. 401 de 2018 cuyo objeto es "Estudios, diseños y demás trámites para la obtención de la Licencia de Construcción para la ampliación y reforzamiento estructural de la Estación de Bomberos Marichuela" certifica el cumplimiento del 30% de Avance de ejecución y el 20 de mayo de 2019 el interventor certifica un 20% adicional de cumplimiento. Es decir que el porcentaje de avance de ejecución corresponde a un 50%.</t>
  </si>
  <si>
    <t xml:space="preserve">Estación de Bomberos Bicentenario: Se funde la placa en concreto de la tarima, se instala el piso vinílico autoportante y pintura general de la Capilla.
*Estación de Bomberos de Bellavista: Construcción de estructura metálica para cubierta en el pasillo costado sur y en el gimnasio.
*Estación de Bomberos de Puente Aranda: Estucado y pintura general de la estación, reparación de grifería y accesorios sanitarios.
*Estación de Bomberos de Fontibón: Reparación general del sistema eléctrico, cambio general de las luminarias.
*Estación de Bomberos Kennedy: Mantenimiento correctivo de la caldera de la Piscina de la estación.
</t>
  </si>
  <si>
    <t xml:space="preserve"> Estación de Bomberos de Kennedy: Instalación de calentadores solares con capacidad de 300 litros c/u, suministro baños alojamientos bomberos, renovación de los acabados del primer piso, incluye estucado, lijado y pintura general, 10% de ejecución de obra en el mantenimiento del área de la piscina.
* Estación de Bomberos de Suba: construcción de estructura metálica y montaje de cubierta en lámina de policarbonato, incluye tratamiento anticorrosivo y pintura, instalación eléctrica, montaje de reflectores.
* Estación de Bomberos de Bosa: Se adelanta la ejecución del contrato No. 168 de 2018 con un avance de ejecución de obra civil del 80% e instalaciones eléctricas del 40%.
* Edificio Comando: desmonte de Caniles, relleno y compactación de base y se funde placa de contra piso en concreto y armado de caniles. Mantenimiento de los Ascensores.
</t>
  </si>
  <si>
    <t xml:space="preserve">El 19 de febrero de 2019 mediante radicado No. 2019EE1104 se solicita a través de derecho de petición ante la Unidad Administrativa Especial de Catastro Distrital con el fin de consultar el Valor Final para compra de predio, 
* El 20 de marzo de 2019 mediante radicado No. 2019ER6173 se solicita ante Catastro Distrital solicitud de Cotización para realizar un Avalúo Comercial para el predio de interés
* El 28 de marzo de 2019 se recibe de Catastro Distrital, Respuesta al Derecho de Petición del 19 de febrero de 2019.
</t>
  </si>
  <si>
    <t xml:space="preserve">Se realizó mesa de trabajo con empresa especializada en la elaboración de herramientas virtuales, con el fin de dar a conocer las necesidades que tiene la UAECOB correspondiente a la creación de la Biblioteca Virtual para la entidad.                   
* Se realizó mesa de trabajo con el área de tecnología, con el fin de dar a conocer las necesidades que tiene la UAECOB correspondiente a la creación de la Biblioteca Virtual para la entidad.           
</t>
  </si>
  <si>
    <t>Reunión con el Sena a fin de dar inicio a la creación del nodo que sea aplicable a la plataforma LMS</t>
  </si>
  <si>
    <t>ABRIL: ps://mail.google.com/mail/u/0/?tab=rm&amp;ogbl#search/revista+bomberos/FMfcgxwCgVTbfVjsFCVtLhHfvhtFqPTl
MAYO:https://mail.google.com/mail/u/0/?tab=rm&amp;ogbl#search/revista+bomberos/FMfcgxwCgxwZrdxVSJVrjfgcrMrqDpdB
JUNIO: https://mail.google.com/mail/u/0/?tab=rm&amp;ogbl#search/revista+bomberos/FMfcgxwChSPVQzJGCmwXvgjlHSZKVjWS</t>
  </si>
  <si>
    <t>(en blanco)</t>
  </si>
  <si>
    <t xml:space="preserve">Sirep
En desarrollo: Capacitacion Comunitaria y Acompañamientos en Simulacreos: http://172.16.92.18/WEB/  </t>
  </si>
  <si>
    <t xml:space="preserve">Se han realizado las mesas de trabajo con los procesos para documentar las respectivas caracterizaciones de gestión de comunicaciones, gestión estratégica, gestión integrada y gestión administrativa generando los ajustes correspondientes  </t>
  </si>
  <si>
    <t xml:space="preserve">Se han realizado las mesas de trabajo con los procesos para documentar las respectivas caracterizaciones de gestión del parque automotor, gestión de infraestructura, gestión jurídica, gestión de búsqueda y rescate, gestión de asuntos disciplinarios y gestión logística, generando los ajustes correspondientes </t>
  </si>
  <si>
    <t>Se generan los informes respectivos sobre el seguimiento al plan de acción, indicadores, plan de desarrollo y plan de participación para el primer trimestre del 2019</t>
  </si>
  <si>
    <t>Se generan los informes respectivos sobre el seguimiento al plan de acción, indicadores, plan de desarrollo y plan de participación para el segundo trimestre del 2019</t>
  </si>
  <si>
    <t>%</t>
  </si>
  <si>
    <t>Gestión Estrategica</t>
  </si>
  <si>
    <t>Se cumplió en su totalidad la actividad. Realizando 24 ediciones del producto denominado Bomberos en Acción</t>
  </si>
  <si>
    <t>Se cumplió en su totalidad la actividad. Realizando 19 videos de historias, acontecimiento o realidades del la UAECOB en sus estaciones</t>
  </si>
  <si>
    <t>Se cumplió en su totalidad la actividad, realizando 13 videos de historias, acontecimiento o realidades del la UAECOB en sus estaciones</t>
  </si>
  <si>
    <t>Para segundo trimestre se planearon 32 actividades que presentan el siguiente  estado de ejecución :
-  22 en términos
-    5 ejecutados fuera de términos 
-    5  en ejecución 
Se realizaron auditorias, seguimientos, acompañmientos, actividades d fortalcimiento del control, respuestas requrerimientos, entre otros. Ls actividade que se encuentran ene ejcución finalizan su ciclo en el mes de julio.</t>
  </si>
  <si>
    <t>Se cumplió en su totalidad la actividad. Realizando las publicaciones de la meta, en las que de los incidentes se escoge una foto relevante y se convierte en la Foto de la Semana</t>
  </si>
  <si>
    <t xml:space="preserve">Se Identificaron los  grupos de Interes del equipo de cooperación de la UAECOB externos y aliados, se recopiló y evaluó  la información encontrada y se diseñó un modelo Canvas adaptado </t>
  </si>
  <si>
    <r>
      <t xml:space="preserve">
</t>
    </r>
    <r>
      <rPr>
        <sz val="11"/>
        <rFont val="Calibri"/>
        <family val="2"/>
        <scheme val="minor"/>
      </rPr>
      <t>Acta de reunion de la Socializaciòn del Plan  para el fortalecimiento de  la Gestion Integral de los servicios Logisticos con el Director Pedro Andres Manosalva
Archivo actualizado del Plan para el Fortalecimiento de la Gestión Integral de los Servicios Logísticos ubicado en PC de la Profesional Adriana Salom en la ruta:
Evidencias ubicadas en el PC de la profesional  Adriana Salon en la ruta ubicada en:
C:\ASV\LOGISTICA\PlanEstrategicOperativo\PlanVer
C:\Users\Ldiaz\Documents\INSTITUCIONAL\PLAN DE ACCION\PLAN DE ACCION 2019\AVANCES PLAN DE ACCION 2019\1. PLAN\2do TRIMESTRE</t>
    </r>
  </si>
  <si>
    <t>Se identificaron los grupos de interés de la UAECOB externos y aliados que se evidencia en Modelo Canvas adaptado en documento en Word y anexo de mapa de grupo de interés en documento Word</t>
  </si>
  <si>
    <t>Se realizó la segunda actividad, actualizando matriz de control y seguimiento de aprobación de garantías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</si>
</sst>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_-* #,##0.00\ _€_-;\-* #,##0.00\ _€_-;_-* &quot;-&quot;??\ _€_-;_-@_-"/>
    <numFmt numFmtId="165" formatCode="0.0%"/>
    <numFmt numFmtId="166" formatCode="_-* #,##0\ _€_-;\-* #,##0\ _€_-;_-* &quot;-&quot;??\ _€_-;_-@_-"/>
  </numFmts>
  <fonts count="62" x14ac:knownFonts="1">
    <font>
      <sz val="11"/>
      <color theme="1"/>
      <name val="Calibri"/>
      <family val="2"/>
      <scheme val="minor"/>
    </font>
    <font>
      <sz val="11"/>
      <color theme="1"/>
      <name val="Calibri"/>
      <family val="2"/>
      <scheme val="minor"/>
    </font>
    <font>
      <sz val="12"/>
      <color theme="1"/>
      <name val="Calibri"/>
      <family val="2"/>
      <scheme val="minor"/>
    </font>
    <font>
      <b/>
      <sz val="14"/>
      <name val="Calibri"/>
      <family val="2"/>
      <scheme val="minor"/>
    </font>
    <font>
      <b/>
      <sz val="12"/>
      <color theme="0"/>
      <name val="Calibri"/>
      <family val="2"/>
      <scheme val="minor"/>
    </font>
    <font>
      <b/>
      <sz val="14"/>
      <color theme="0"/>
      <name val="Calibri"/>
      <family val="2"/>
      <scheme val="minor"/>
    </font>
    <font>
      <sz val="12"/>
      <color theme="1"/>
      <name val="Calibri"/>
      <family val="2"/>
    </font>
    <font>
      <sz val="24"/>
      <color theme="0"/>
      <name val="Calibri"/>
      <family val="2"/>
      <scheme val="minor"/>
    </font>
    <font>
      <sz val="11"/>
      <color theme="1"/>
      <name val="Calibri"/>
      <family val="2"/>
    </font>
    <font>
      <i/>
      <sz val="11"/>
      <color theme="1"/>
      <name val="Calibri"/>
      <family val="2"/>
      <scheme val="minor"/>
    </font>
    <font>
      <sz val="10"/>
      <color theme="1"/>
      <name val="Calibri"/>
      <family val="2"/>
    </font>
    <font>
      <sz val="12"/>
      <color indexed="8"/>
      <name val="Calibri"/>
      <family val="2"/>
    </font>
    <font>
      <sz val="12"/>
      <name val="Calibri"/>
      <family val="2"/>
      <scheme val="minor"/>
    </font>
    <font>
      <sz val="12"/>
      <name val="Calibri"/>
      <family val="2"/>
    </font>
    <font>
      <sz val="11"/>
      <name val="Calibri"/>
      <family val="2"/>
    </font>
    <font>
      <sz val="11"/>
      <name val="Calibri"/>
      <family val="2"/>
      <scheme val="minor"/>
    </font>
    <font>
      <sz val="12"/>
      <color theme="0"/>
      <name val="Calibri"/>
      <family val="2"/>
      <scheme val="minor"/>
    </font>
    <font>
      <sz val="12"/>
      <color rgb="FF000000"/>
      <name val="Calibri"/>
      <family val="2"/>
      <scheme val="minor"/>
    </font>
    <font>
      <sz val="12"/>
      <color rgb="FF222222"/>
      <name val="Calibri"/>
      <family val="2"/>
      <scheme val="minor"/>
    </font>
    <font>
      <sz val="11"/>
      <color rgb="FF222222"/>
      <name val="Calibri"/>
      <family val="2"/>
      <scheme val="minor"/>
    </font>
    <font>
      <sz val="12"/>
      <color rgb="FF0070C0"/>
      <name val="Calibri"/>
      <family val="2"/>
      <scheme val="minor"/>
    </font>
    <font>
      <sz val="10"/>
      <name val="Arial"/>
      <family val="2"/>
    </font>
    <font>
      <sz val="11"/>
      <color rgb="FF000000"/>
      <name val="Calibri"/>
      <family val="2"/>
    </font>
    <font>
      <sz val="9"/>
      <color indexed="81"/>
      <name val="Tahoma"/>
      <family val="2"/>
    </font>
    <font>
      <b/>
      <sz val="9"/>
      <color indexed="81"/>
      <name val="Tahoma"/>
      <family val="2"/>
    </font>
    <font>
      <b/>
      <sz val="9"/>
      <color theme="0"/>
      <name val="Calibri"/>
      <family val="2"/>
      <scheme val="minor"/>
    </font>
    <font>
      <sz val="11"/>
      <color rgb="FFC00000"/>
      <name val="Calibri"/>
      <family val="2"/>
      <scheme val="minor"/>
    </font>
    <font>
      <b/>
      <sz val="11"/>
      <color theme="1"/>
      <name val="Calibri"/>
      <family val="2"/>
      <scheme val="minor"/>
    </font>
    <font>
      <b/>
      <sz val="15"/>
      <color theme="1"/>
      <name val="Calibri"/>
      <family val="2"/>
      <scheme val="minor"/>
    </font>
    <font>
      <b/>
      <sz val="18"/>
      <name val="Calibri"/>
      <family val="2"/>
      <scheme val="minor"/>
    </font>
    <font>
      <b/>
      <sz val="11"/>
      <color theme="8" tint="-0.499984740745262"/>
      <name val="Calibri"/>
      <family val="2"/>
      <scheme val="minor"/>
    </font>
    <font>
      <sz val="11"/>
      <color theme="2" tint="-0.499984740745262"/>
      <name val="Calibri"/>
      <family val="2"/>
      <scheme val="minor"/>
    </font>
    <font>
      <b/>
      <sz val="14"/>
      <color theme="8" tint="-0.499984740745262"/>
      <name val="Calibri"/>
      <family val="2"/>
      <scheme val="minor"/>
    </font>
    <font>
      <b/>
      <u/>
      <sz val="14"/>
      <color theme="8" tint="-0.499984740745262"/>
      <name val="Calibri"/>
      <family val="2"/>
      <scheme val="minor"/>
    </font>
    <font>
      <sz val="14"/>
      <name val="Calibri"/>
      <family val="2"/>
      <scheme val="minor"/>
    </font>
    <font>
      <sz val="14"/>
      <color theme="1"/>
      <name val="Calibri"/>
      <family val="2"/>
      <scheme val="minor"/>
    </font>
    <font>
      <b/>
      <sz val="14"/>
      <color theme="1"/>
      <name val="Calibri"/>
      <family val="2"/>
      <scheme val="minor"/>
    </font>
    <font>
      <b/>
      <u/>
      <sz val="14"/>
      <name val="Calibri"/>
      <family val="2"/>
      <scheme val="minor"/>
    </font>
    <font>
      <b/>
      <i/>
      <sz val="10"/>
      <name val="Calibri"/>
      <family val="2"/>
      <scheme val="minor"/>
    </font>
    <font>
      <b/>
      <i/>
      <sz val="11"/>
      <color theme="0"/>
      <name val="Calibri"/>
      <family val="2"/>
      <scheme val="minor"/>
    </font>
    <font>
      <b/>
      <i/>
      <sz val="12"/>
      <color theme="1"/>
      <name val="Calibri"/>
      <family val="2"/>
      <scheme val="minor"/>
    </font>
    <font>
      <b/>
      <sz val="11"/>
      <color theme="0"/>
      <name val="Calibri"/>
      <family val="2"/>
      <scheme val="minor"/>
    </font>
    <font>
      <sz val="11"/>
      <color rgb="FFFF0000"/>
      <name val="Calibri"/>
      <family val="2"/>
      <scheme val="minor"/>
    </font>
    <font>
      <b/>
      <sz val="16"/>
      <color theme="1"/>
      <name val="Calibri"/>
      <family val="2"/>
      <scheme val="minor"/>
    </font>
    <font>
      <sz val="16"/>
      <color theme="1"/>
      <name val="Calibri"/>
      <family val="2"/>
      <scheme val="minor"/>
    </font>
    <font>
      <sz val="14"/>
      <color theme="1"/>
      <name val="Calibri"/>
      <family val="2"/>
    </font>
    <font>
      <sz val="16"/>
      <color theme="1"/>
      <name val="Calibri"/>
      <family val="2"/>
    </font>
    <font>
      <b/>
      <sz val="24"/>
      <color theme="0"/>
      <name val="Calibri"/>
      <family val="2"/>
      <scheme val="minor"/>
    </font>
    <font>
      <b/>
      <sz val="20"/>
      <color theme="0"/>
      <name val="Calibri"/>
      <family val="2"/>
      <scheme val="minor"/>
    </font>
    <font>
      <sz val="16"/>
      <name val="Calibri"/>
      <family val="2"/>
      <scheme val="minor"/>
    </font>
    <font>
      <sz val="16"/>
      <name val="Calibri"/>
      <family val="2"/>
    </font>
    <font>
      <b/>
      <sz val="8"/>
      <color theme="1"/>
      <name val="Calibri"/>
      <family val="2"/>
      <scheme val="minor"/>
    </font>
    <font>
      <sz val="10"/>
      <color theme="1"/>
      <name val="Tahoma"/>
      <family val="2"/>
    </font>
    <font>
      <b/>
      <sz val="12"/>
      <color theme="1"/>
      <name val="Calibri"/>
      <family val="2"/>
      <scheme val="minor"/>
    </font>
    <font>
      <sz val="11"/>
      <color theme="1"/>
      <name val="Broadway"/>
      <family val="5"/>
    </font>
    <font>
      <sz val="13"/>
      <name val="Calibri"/>
      <family val="2"/>
    </font>
    <font>
      <sz val="11"/>
      <color rgb="FF000000"/>
      <name val="Calibri"/>
      <family val="2"/>
      <scheme val="minor"/>
    </font>
    <font>
      <sz val="13"/>
      <name val="Calibri"/>
      <family val="2"/>
      <scheme val="minor"/>
    </font>
    <font>
      <b/>
      <sz val="8"/>
      <color indexed="81"/>
      <name val="Tahoma"/>
      <family val="2"/>
    </font>
    <font>
      <sz val="8"/>
      <color indexed="81"/>
      <name val="Tahoma"/>
      <family val="2"/>
    </font>
    <font>
      <sz val="8"/>
      <color rgb="FF000000"/>
      <name val="Segoe UI"/>
      <family val="2"/>
    </font>
    <font>
      <b/>
      <sz val="11"/>
      <name val="Calibri"/>
      <family val="2"/>
      <scheme val="minor"/>
    </font>
  </fonts>
  <fills count="37">
    <fill>
      <patternFill patternType="none"/>
    </fill>
    <fill>
      <patternFill patternType="gray125"/>
    </fill>
    <fill>
      <patternFill patternType="solid">
        <fgColor theme="2" tint="-0.249977111117893"/>
        <bgColor indexed="64"/>
      </patternFill>
    </fill>
    <fill>
      <patternFill patternType="solid">
        <fgColor rgb="FFC00000"/>
        <bgColor indexed="64"/>
      </patternFill>
    </fill>
    <fill>
      <patternFill patternType="solid">
        <fgColor theme="3"/>
        <bgColor indexed="64"/>
      </patternFill>
    </fill>
    <fill>
      <patternFill patternType="solid">
        <fgColor theme="9" tint="-0.499984740745262"/>
        <bgColor indexed="64"/>
      </patternFill>
    </fill>
    <fill>
      <patternFill patternType="solid">
        <fgColor rgb="FFFFFF00"/>
        <bgColor indexed="64"/>
      </patternFill>
    </fill>
    <fill>
      <patternFill patternType="solid">
        <fgColor theme="4" tint="0.79998168889431442"/>
        <bgColor indexed="64"/>
      </patternFill>
    </fill>
    <fill>
      <patternFill patternType="solid">
        <fgColor theme="6" tint="-0.499984740745262"/>
        <bgColor indexed="64"/>
      </patternFill>
    </fill>
    <fill>
      <patternFill patternType="solid">
        <fgColor theme="6" tint="0.79998168889431442"/>
        <bgColor indexed="65"/>
      </patternFill>
    </fill>
    <fill>
      <patternFill patternType="solid">
        <fgColor theme="8" tint="0.59999389629810485"/>
        <bgColor indexed="65"/>
      </patternFill>
    </fill>
    <fill>
      <patternFill patternType="solid">
        <fgColor theme="9" tint="0.39997558519241921"/>
        <bgColor indexed="64"/>
      </patternFill>
    </fill>
    <fill>
      <patternFill patternType="solid">
        <fgColor theme="6"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8"/>
        <bgColor indexed="64"/>
      </patternFill>
    </fill>
    <fill>
      <patternFill patternType="solid">
        <fgColor theme="8"/>
        <bgColor indexed="31"/>
      </patternFill>
    </fill>
    <fill>
      <patternFill patternType="solid">
        <fgColor rgb="FFC00000"/>
        <bgColor indexed="31"/>
      </patternFill>
    </fill>
    <fill>
      <patternFill patternType="solid">
        <fgColor theme="0"/>
        <bgColor indexed="64"/>
      </patternFill>
    </fill>
    <fill>
      <patternFill patternType="solid">
        <fgColor theme="6" tint="0.79998168889431442"/>
        <bgColor indexed="64"/>
      </patternFill>
    </fill>
    <fill>
      <patternFill patternType="solid">
        <fgColor rgb="FF7030A0"/>
        <bgColor indexed="64"/>
      </patternFill>
    </fill>
    <fill>
      <patternFill patternType="solid">
        <fgColor theme="8" tint="0.79998168889431442"/>
        <bgColor indexed="64"/>
      </patternFill>
    </fill>
    <fill>
      <patternFill patternType="solid">
        <fgColor theme="6" tint="-0.249977111117893"/>
        <bgColor indexed="64"/>
      </patternFill>
    </fill>
    <fill>
      <patternFill patternType="solid">
        <fgColor theme="6"/>
        <bgColor indexed="64"/>
      </patternFill>
    </fill>
    <fill>
      <patternFill patternType="solid">
        <fgColor rgb="FF00B0F0"/>
        <bgColor indexed="64"/>
      </patternFill>
    </fill>
    <fill>
      <patternFill patternType="solid">
        <fgColor theme="3" tint="0.39997558519241921"/>
        <bgColor indexed="64"/>
      </patternFill>
    </fill>
    <fill>
      <patternFill patternType="solid">
        <fgColor theme="9" tint="0.79998168889431442"/>
        <bgColor indexed="64"/>
      </patternFill>
    </fill>
    <fill>
      <patternFill patternType="solid">
        <fgColor theme="0" tint="-0.14999847407452621"/>
        <bgColor theme="0" tint="-0.14999847407452621"/>
      </patternFill>
    </fill>
    <fill>
      <patternFill patternType="solid">
        <fgColor theme="0"/>
        <bgColor theme="0" tint="-0.14999847407452621"/>
      </patternFill>
    </fill>
    <fill>
      <patternFill patternType="solid">
        <fgColor theme="7"/>
        <bgColor indexed="64"/>
      </patternFill>
    </fill>
    <fill>
      <patternFill patternType="solid">
        <fgColor theme="9" tint="-0.249977111117893"/>
        <bgColor indexed="64"/>
      </patternFill>
    </fill>
    <fill>
      <patternFill patternType="solid">
        <fgColor theme="0" tint="-0.14999847407452621"/>
        <bgColor indexed="64"/>
      </patternFill>
    </fill>
    <fill>
      <patternFill patternType="solid">
        <fgColor rgb="FFFFFFFF"/>
        <bgColor indexed="64"/>
      </patternFill>
    </fill>
    <fill>
      <patternFill patternType="solid">
        <fgColor theme="6" tint="-0.249977111117893"/>
        <bgColor theme="6" tint="-0.249977111117893"/>
      </patternFill>
    </fill>
    <fill>
      <patternFill patternType="solid">
        <fgColor theme="4" tint="0.79998168889431442"/>
        <bgColor theme="0" tint="-0.14999847407452621"/>
      </patternFill>
    </fill>
  </fills>
  <borders count="86">
    <border>
      <left/>
      <right/>
      <top/>
      <bottom/>
      <diagonal/>
    </border>
    <border>
      <left style="double">
        <color indexed="64"/>
      </left>
      <right/>
      <top/>
      <bottom style="medium">
        <color auto="1"/>
      </bottom>
      <diagonal/>
    </border>
    <border>
      <left/>
      <right/>
      <top/>
      <bottom style="medium">
        <color auto="1"/>
      </bottom>
      <diagonal/>
    </border>
    <border>
      <left/>
      <right style="double">
        <color indexed="64"/>
      </right>
      <top/>
      <bottom style="medium">
        <color auto="1"/>
      </bottom>
      <diagonal/>
    </border>
    <border>
      <left style="double">
        <color indexed="64"/>
      </left>
      <right/>
      <top style="double">
        <color indexed="64"/>
      </top>
      <bottom style="medium">
        <color auto="1"/>
      </bottom>
      <diagonal/>
    </border>
    <border>
      <left/>
      <right/>
      <top style="double">
        <color indexed="64"/>
      </top>
      <bottom style="medium">
        <color auto="1"/>
      </bottom>
      <diagonal/>
    </border>
    <border>
      <left/>
      <right style="double">
        <color theme="0"/>
      </right>
      <top style="double">
        <color indexed="64"/>
      </top>
      <bottom style="medium">
        <color indexed="64"/>
      </bottom>
      <diagonal/>
    </border>
    <border>
      <left style="thin">
        <color theme="0"/>
      </left>
      <right style="thin">
        <color theme="0"/>
      </right>
      <top style="thin">
        <color theme="0"/>
      </top>
      <bottom/>
      <diagonal/>
    </border>
    <border>
      <left style="thin">
        <color theme="0"/>
      </left>
      <right style="double">
        <color indexed="64"/>
      </right>
      <top style="thin">
        <color theme="0"/>
      </top>
      <bottom/>
      <diagonal/>
    </border>
    <border>
      <left style="double">
        <color indexed="64"/>
      </left>
      <right style="medium">
        <color auto="1"/>
      </right>
      <top style="medium">
        <color auto="1"/>
      </top>
      <bottom style="medium">
        <color auto="1"/>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medium">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auto="1"/>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style="thin">
        <color indexed="64"/>
      </right>
      <top/>
      <bottom style="medium">
        <color auto="1"/>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auto="1"/>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bottom/>
      <diagonal/>
    </border>
    <border>
      <left style="double">
        <color indexed="64"/>
      </left>
      <right style="thin">
        <color indexed="64"/>
      </right>
      <top style="thin">
        <color indexed="64"/>
      </top>
      <bottom style="thin">
        <color indexed="64"/>
      </bottom>
      <diagonal/>
    </border>
    <border>
      <left style="thin">
        <color theme="0"/>
      </left>
      <right/>
      <top/>
      <bottom style="thin">
        <color theme="0"/>
      </bottom>
      <diagonal/>
    </border>
    <border>
      <left/>
      <right/>
      <top/>
      <bottom style="thin">
        <color theme="0"/>
      </bottom>
      <diagonal/>
    </border>
    <border>
      <left/>
      <right style="double">
        <color indexed="64"/>
      </right>
      <top/>
      <bottom style="thin">
        <color theme="0"/>
      </bottom>
      <diagonal/>
    </border>
    <border>
      <left style="double">
        <color theme="0"/>
      </left>
      <right/>
      <top style="double">
        <color indexed="64"/>
      </top>
      <bottom style="thin">
        <color theme="4" tint="0.39997558519241921"/>
      </bottom>
      <diagonal/>
    </border>
    <border>
      <left/>
      <right/>
      <top style="medium">
        <color indexed="64"/>
      </top>
      <bottom/>
      <diagonal/>
    </border>
    <border>
      <left/>
      <right style="medium">
        <color indexed="64"/>
      </right>
      <top style="medium">
        <color indexed="64"/>
      </top>
      <bottom/>
      <diagonal/>
    </border>
    <border>
      <left style="thin">
        <color rgb="FF3F3F3F"/>
      </left>
      <right style="thin">
        <color rgb="FF3F3F3F"/>
      </right>
      <top style="thin">
        <color rgb="FF3F3F3F"/>
      </top>
      <bottom/>
      <diagonal/>
    </border>
    <border>
      <left style="thin">
        <color indexed="58"/>
      </left>
      <right style="thin">
        <color indexed="58"/>
      </right>
      <top style="thin">
        <color indexed="58"/>
      </top>
      <bottom/>
      <diagonal/>
    </border>
    <border>
      <left style="thin">
        <color indexed="58"/>
      </left>
      <right/>
      <top style="thin">
        <color indexed="58"/>
      </top>
      <bottom/>
      <diagonal/>
    </border>
    <border>
      <left style="thin">
        <color indexed="64"/>
      </left>
      <right style="thin">
        <color indexed="64"/>
      </right>
      <top style="medium">
        <color theme="8" tint="-0.249977111117893"/>
      </top>
      <bottom/>
      <diagonal/>
    </border>
    <border>
      <left style="thin">
        <color theme="8" tint="-0.249977111117893"/>
      </left>
      <right style="thin">
        <color theme="8" tint="-0.249977111117893"/>
      </right>
      <top style="thin">
        <color theme="8" tint="-0.249977111117893"/>
      </top>
      <bottom style="thin">
        <color theme="8" tint="-0.249977111117893"/>
      </bottom>
      <diagonal/>
    </border>
    <border>
      <left style="thin">
        <color theme="8" tint="-0.249977111117893"/>
      </left>
      <right/>
      <top style="thin">
        <color theme="8" tint="-0.249977111117893"/>
      </top>
      <bottom style="thin">
        <color theme="8" tint="-0.249977111117893"/>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theme="8" tint="-0.249977111117893"/>
      </left>
      <right style="thin">
        <color theme="8" tint="-0.249977111117893"/>
      </right>
      <top style="thin">
        <color theme="8" tint="-0.249977111117893"/>
      </top>
      <bottom/>
      <diagonal/>
    </border>
    <border>
      <left style="thin">
        <color indexed="64"/>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medium">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medium">
        <color indexed="64"/>
      </right>
      <top style="medium">
        <color indexed="64"/>
      </top>
      <bottom style="medium">
        <color indexed="64"/>
      </bottom>
      <diagonal/>
    </border>
    <border>
      <left style="medium">
        <color theme="6" tint="-0.24994659260841701"/>
      </left>
      <right style="medium">
        <color theme="6" tint="-0.24994659260841701"/>
      </right>
      <top style="medium">
        <color theme="6" tint="-0.24994659260841701"/>
      </top>
      <bottom style="medium">
        <color theme="6" tint="-0.24994659260841701"/>
      </bottom>
      <diagonal/>
    </border>
    <border>
      <left style="medium">
        <color theme="0"/>
      </left>
      <right style="medium">
        <color theme="0"/>
      </right>
      <top style="medium">
        <color theme="0"/>
      </top>
      <bottom style="medium">
        <color theme="0"/>
      </bottom>
      <diagonal/>
    </border>
    <border>
      <left style="thick">
        <color theme="3"/>
      </left>
      <right style="thick">
        <color theme="3"/>
      </right>
      <top style="thick">
        <color theme="3"/>
      </top>
      <bottom style="thick">
        <color theme="3"/>
      </bottom>
      <diagonal/>
    </border>
    <border>
      <left style="thick">
        <color theme="3"/>
      </left>
      <right style="thick">
        <color theme="6" tint="-0.499984740745262"/>
      </right>
      <top style="thick">
        <color theme="6" tint="-0.499984740745262"/>
      </top>
      <bottom style="thick">
        <color theme="6" tint="-0.499984740745262"/>
      </bottom>
      <diagonal/>
    </border>
    <border>
      <left/>
      <right/>
      <top style="thin">
        <color indexed="64"/>
      </top>
      <bottom/>
      <diagonal/>
    </border>
    <border>
      <left/>
      <right style="thin">
        <color indexed="64"/>
      </right>
      <top/>
      <bottom/>
      <diagonal/>
    </border>
    <border>
      <left/>
      <right style="thin">
        <color indexed="64"/>
      </right>
      <top style="thin">
        <color indexed="64"/>
      </top>
      <bottom style="thin">
        <color theme="6" tint="0.79998168889431442"/>
      </bottom>
      <diagonal/>
    </border>
    <border>
      <left/>
      <right style="thin">
        <color indexed="64"/>
      </right>
      <top style="thin">
        <color theme="6" tint="0.79998168889431442"/>
      </top>
      <bottom style="thin">
        <color theme="6" tint="0.79998168889431442"/>
      </bottom>
      <diagonal/>
    </border>
    <border>
      <left/>
      <right style="thin">
        <color indexed="64"/>
      </right>
      <top style="thin">
        <color theme="6" tint="0.79998168889431442"/>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double">
        <color indexed="64"/>
      </left>
      <right style="thin">
        <color indexed="64"/>
      </right>
      <top style="thin">
        <color indexed="64"/>
      </top>
      <bottom style="medium">
        <color theme="1"/>
      </bottom>
      <diagonal/>
    </border>
    <border>
      <left style="thin">
        <color indexed="64"/>
      </left>
      <right style="thin">
        <color indexed="64"/>
      </right>
      <top style="thin">
        <color indexed="64"/>
      </top>
      <bottom style="medium">
        <color theme="1"/>
      </bottom>
      <diagonal/>
    </border>
    <border>
      <left style="medium">
        <color indexed="64"/>
      </left>
      <right/>
      <top style="medium">
        <color indexed="64"/>
      </top>
      <bottom style="medium">
        <color theme="1"/>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s>
  <cellStyleXfs count="8">
    <xf numFmtId="0" fontId="0" fillId="0" borderId="0"/>
    <xf numFmtId="9" fontId="1" fillId="0" borderId="0" applyFont="0" applyFill="0" applyBorder="0" applyAlignment="0" applyProtection="0"/>
    <xf numFmtId="0" fontId="21" fillId="0" borderId="0"/>
    <xf numFmtId="0" fontId="22" fillId="0" borderId="0"/>
    <xf numFmtId="0" fontId="1" fillId="9" borderId="0" applyNumberFormat="0" applyBorder="0" applyAlignment="0" applyProtection="0"/>
    <xf numFmtId="0" fontId="1" fillId="10" borderId="0" applyNumberFormat="0" applyBorder="0" applyAlignment="0" applyProtection="0"/>
    <xf numFmtId="164" fontId="1" fillId="0" borderId="0" applyFont="0" applyFill="0" applyBorder="0" applyAlignment="0" applyProtection="0"/>
    <xf numFmtId="164" fontId="1" fillId="0" borderId="0" applyFont="0" applyFill="0" applyBorder="0" applyAlignment="0" applyProtection="0"/>
  </cellStyleXfs>
  <cellXfs count="1046">
    <xf numFmtId="0" fontId="0" fillId="0" borderId="0" xfId="0"/>
    <xf numFmtId="0" fontId="2" fillId="0" borderId="0" xfId="0" applyFont="1"/>
    <xf numFmtId="0" fontId="3" fillId="2" borderId="7" xfId="0" applyFont="1" applyFill="1" applyBorder="1" applyAlignment="1">
      <alignment horizontal="center" vertical="center" wrapText="1"/>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wrapText="1"/>
    </xf>
    <xf numFmtId="0" fontId="5" fillId="3" borderId="9" xfId="0" applyFont="1" applyFill="1" applyBorder="1" applyAlignment="1">
      <alignment horizontal="center" vertical="center"/>
    </xf>
    <xf numFmtId="0" fontId="5" fillId="3" borderId="10" xfId="0" applyFont="1" applyFill="1" applyBorder="1" applyAlignment="1">
      <alignment horizontal="center" vertical="center" wrapText="1"/>
    </xf>
    <xf numFmtId="0" fontId="5" fillId="3" borderId="11" xfId="0" applyFont="1" applyFill="1" applyBorder="1" applyAlignment="1">
      <alignment horizontal="center" vertical="center"/>
    </xf>
    <xf numFmtId="0" fontId="5" fillId="4" borderId="10" xfId="0" applyFont="1" applyFill="1" applyBorder="1" applyAlignment="1">
      <alignment horizontal="center" vertical="center" wrapText="1"/>
    </xf>
    <xf numFmtId="0" fontId="5" fillId="5" borderId="9" xfId="0" applyFont="1" applyFill="1" applyBorder="1" applyAlignment="1">
      <alignment horizontal="center" vertical="center"/>
    </xf>
    <xf numFmtId="0" fontId="5" fillId="5" borderId="11" xfId="0" applyFont="1" applyFill="1" applyBorder="1" applyAlignment="1">
      <alignment horizontal="center" vertical="center" wrapText="1"/>
    </xf>
    <xf numFmtId="0" fontId="5" fillId="5" borderId="10" xfId="0" applyFont="1" applyFill="1" applyBorder="1" applyAlignment="1">
      <alignment horizontal="center" vertical="center" wrapText="1"/>
    </xf>
    <xf numFmtId="0" fontId="7" fillId="5" borderId="16" xfId="0" applyFont="1" applyFill="1" applyBorder="1" applyAlignment="1">
      <alignment horizontal="center" vertical="center" wrapText="1"/>
    </xf>
    <xf numFmtId="0" fontId="0" fillId="0" borderId="11" xfId="0" applyFont="1" applyFill="1" applyBorder="1" applyAlignment="1">
      <alignment horizontal="center" vertical="center" wrapText="1"/>
    </xf>
    <xf numFmtId="9" fontId="0" fillId="0" borderId="11" xfId="0" applyNumberFormat="1" applyFont="1" applyFill="1" applyBorder="1" applyAlignment="1">
      <alignment horizontal="center" vertical="center" wrapText="1"/>
    </xf>
    <xf numFmtId="9" fontId="8" fillId="0" borderId="24" xfId="1" applyFont="1" applyFill="1" applyBorder="1" applyAlignment="1">
      <alignment horizontal="center" vertical="center" wrapText="1"/>
    </xf>
    <xf numFmtId="0" fontId="6" fillId="0" borderId="24" xfId="0" applyFont="1" applyBorder="1" applyAlignment="1">
      <alignment horizontal="center" vertical="center" wrapText="1"/>
    </xf>
    <xf numFmtId="0" fontId="6" fillId="0" borderId="24" xfId="0" applyFont="1" applyFill="1" applyBorder="1" applyAlignment="1">
      <alignment horizontal="center" vertical="center" wrapText="1"/>
    </xf>
    <xf numFmtId="0" fontId="7" fillId="3" borderId="16" xfId="0" applyFont="1" applyFill="1" applyBorder="1" applyAlignment="1">
      <alignment horizontal="center" vertical="center" wrapText="1"/>
    </xf>
    <xf numFmtId="9" fontId="6" fillId="0" borderId="24" xfId="1" applyFont="1" applyFill="1" applyBorder="1" applyAlignment="1">
      <alignment horizontal="center" vertical="center" wrapText="1"/>
    </xf>
    <xf numFmtId="1" fontId="6" fillId="0" borderId="24" xfId="1" applyNumberFormat="1" applyFont="1" applyFill="1" applyBorder="1" applyAlignment="1">
      <alignment horizontal="center" vertical="center" wrapText="1"/>
    </xf>
    <xf numFmtId="9" fontId="2" fillId="0" borderId="11" xfId="0" applyNumberFormat="1" applyFont="1" applyFill="1" applyBorder="1" applyAlignment="1">
      <alignment horizontal="center" vertical="center" wrapText="1"/>
    </xf>
    <xf numFmtId="14" fontId="8" fillId="0" borderId="24" xfId="0" applyNumberFormat="1" applyFont="1" applyFill="1" applyBorder="1" applyAlignment="1">
      <alignment horizontal="center" vertical="center" wrapText="1"/>
    </xf>
    <xf numFmtId="14" fontId="0" fillId="0" borderId="24" xfId="0" applyNumberFormat="1" applyFont="1" applyFill="1" applyBorder="1" applyAlignment="1">
      <alignment horizontal="center" vertical="center" wrapText="1"/>
    </xf>
    <xf numFmtId="0" fontId="8" fillId="0" borderId="24" xfId="0" applyFont="1" applyFill="1" applyBorder="1" applyAlignment="1">
      <alignment horizontal="center" vertical="center" wrapText="1"/>
    </xf>
    <xf numFmtId="0" fontId="0" fillId="0" borderId="11" xfId="0" applyFont="1" applyFill="1" applyBorder="1" applyAlignment="1">
      <alignment horizontal="left" vertical="center" wrapText="1"/>
    </xf>
    <xf numFmtId="14" fontId="14" fillId="0" borderId="24" xfId="0" applyNumberFormat="1" applyFont="1" applyFill="1" applyBorder="1" applyAlignment="1">
      <alignment horizontal="center" vertical="center" wrapText="1"/>
    </xf>
    <xf numFmtId="0" fontId="15" fillId="0" borderId="11" xfId="0" applyFont="1" applyFill="1" applyBorder="1" applyAlignment="1">
      <alignment horizontal="left" vertical="center" wrapText="1"/>
    </xf>
    <xf numFmtId="9" fontId="2" fillId="0" borderId="33" xfId="1" applyFont="1" applyFill="1" applyBorder="1" applyAlignment="1">
      <alignment vertical="center" wrapText="1"/>
    </xf>
    <xf numFmtId="0" fontId="4" fillId="5" borderId="11" xfId="0" applyFont="1" applyFill="1" applyBorder="1" applyAlignment="1">
      <alignment horizontal="center" vertical="center" wrapText="1"/>
    </xf>
    <xf numFmtId="14" fontId="0" fillId="0" borderId="11" xfId="0" applyNumberFormat="1" applyFont="1" applyFill="1" applyBorder="1" applyAlignment="1">
      <alignment horizontal="center" vertical="center" wrapText="1"/>
    </xf>
    <xf numFmtId="9" fontId="0" fillId="0" borderId="34" xfId="1" applyFont="1" applyFill="1" applyBorder="1" applyAlignment="1">
      <alignment horizontal="left" vertical="center" wrapText="1"/>
    </xf>
    <xf numFmtId="9" fontId="2" fillId="0" borderId="35" xfId="1" applyFont="1" applyFill="1" applyBorder="1" applyAlignment="1">
      <alignment vertical="center" wrapText="1"/>
    </xf>
    <xf numFmtId="14" fontId="2" fillId="0" borderId="24" xfId="0" applyNumberFormat="1" applyFont="1" applyFill="1" applyBorder="1" applyAlignment="1">
      <alignment horizontal="left" vertical="center" wrapText="1"/>
    </xf>
    <xf numFmtId="14" fontId="0" fillId="0" borderId="34" xfId="0" applyNumberFormat="1" applyFont="1" applyFill="1" applyBorder="1" applyAlignment="1">
      <alignment horizontal="left" vertical="center" wrapText="1"/>
    </xf>
    <xf numFmtId="14" fontId="2" fillId="0" borderId="15" xfId="0" applyNumberFormat="1" applyFont="1" applyFill="1" applyBorder="1" applyAlignment="1">
      <alignment vertical="center" wrapText="1"/>
    </xf>
    <xf numFmtId="14" fontId="2" fillId="0" borderId="15" xfId="0" applyNumberFormat="1" applyFont="1" applyFill="1" applyBorder="1" applyAlignment="1">
      <alignment horizontal="left" vertical="center" wrapText="1"/>
    </xf>
    <xf numFmtId="9" fontId="0" fillId="0" borderId="11" xfId="1" applyFont="1" applyFill="1" applyBorder="1" applyAlignment="1">
      <alignment horizontal="left" vertical="center" wrapText="1"/>
    </xf>
    <xf numFmtId="0" fontId="19" fillId="0" borderId="11" xfId="0" applyFont="1" applyFill="1" applyBorder="1" applyAlignment="1">
      <alignment horizontal="left" vertical="center" wrapText="1"/>
    </xf>
    <xf numFmtId="9" fontId="2" fillId="0" borderId="15" xfId="1" applyFont="1" applyFill="1" applyBorder="1" applyAlignment="1">
      <alignment vertical="center" wrapText="1"/>
    </xf>
    <xf numFmtId="9" fontId="0" fillId="0" borderId="11" xfId="0" applyNumberFormat="1" applyFont="1" applyFill="1" applyBorder="1" applyAlignment="1">
      <alignment horizontal="left" vertical="center" wrapText="1"/>
    </xf>
    <xf numFmtId="0" fontId="4" fillId="5" borderId="13" xfId="0" applyFont="1" applyFill="1" applyBorder="1" applyAlignment="1">
      <alignment horizontal="center" vertical="center" wrapText="1"/>
    </xf>
    <xf numFmtId="0" fontId="7" fillId="5" borderId="24" xfId="0" applyFont="1" applyFill="1" applyBorder="1" applyAlignment="1">
      <alignment horizontal="center" vertical="center" wrapText="1"/>
    </xf>
    <xf numFmtId="9" fontId="0" fillId="0" borderId="24" xfId="1" applyFont="1" applyFill="1" applyBorder="1" applyAlignment="1">
      <alignment horizontal="center" vertical="center" wrapText="1"/>
    </xf>
    <xf numFmtId="0" fontId="0" fillId="0" borderId="10" xfId="0" applyFont="1" applyFill="1" applyBorder="1" applyAlignment="1">
      <alignment horizontal="left" vertical="center" wrapText="1"/>
    </xf>
    <xf numFmtId="0" fontId="15" fillId="0" borderId="11" xfId="0" applyFont="1" applyFill="1" applyBorder="1" applyAlignment="1">
      <alignment horizontal="center" vertical="center" wrapText="1"/>
    </xf>
    <xf numFmtId="9" fontId="15" fillId="0" borderId="11" xfId="0" applyNumberFormat="1" applyFont="1" applyFill="1" applyBorder="1" applyAlignment="1">
      <alignment horizontal="center" vertical="center" wrapText="1"/>
    </xf>
    <xf numFmtId="14" fontId="14" fillId="0" borderId="24" xfId="0" applyNumberFormat="1" applyFont="1" applyFill="1" applyBorder="1" applyAlignment="1">
      <alignment horizontal="center" vertical="center" wrapText="1"/>
    </xf>
    <xf numFmtId="9" fontId="14" fillId="0" borderId="24" xfId="1" applyFont="1" applyFill="1" applyBorder="1" applyAlignment="1">
      <alignment horizontal="center" vertical="center" wrapText="1"/>
    </xf>
    <xf numFmtId="0" fontId="15" fillId="0" borderId="18" xfId="0" applyFont="1" applyFill="1" applyBorder="1" applyAlignment="1">
      <alignment horizontal="center" vertical="center" wrapText="1"/>
    </xf>
    <xf numFmtId="0" fontId="0" fillId="0" borderId="0" xfId="0" applyFill="1" applyAlignment="1">
      <alignment vertical="center" wrapText="1"/>
    </xf>
    <xf numFmtId="0" fontId="15" fillId="0" borderId="11" xfId="0" applyFont="1" applyFill="1" applyBorder="1" applyAlignment="1">
      <alignment horizontal="left" wrapText="1"/>
    </xf>
    <xf numFmtId="0" fontId="6" fillId="0" borderId="12" xfId="0" applyFont="1" applyBorder="1" applyAlignment="1">
      <alignment vertical="center" wrapText="1"/>
    </xf>
    <xf numFmtId="0" fontId="6" fillId="0" borderId="12" xfId="0" applyFont="1" applyFill="1" applyBorder="1" applyAlignment="1">
      <alignment vertical="center" wrapText="1"/>
    </xf>
    <xf numFmtId="0" fontId="10" fillId="0" borderId="12" xfId="0" applyFont="1" applyBorder="1" applyAlignment="1">
      <alignment vertical="center" wrapText="1"/>
    </xf>
    <xf numFmtId="0" fontId="6" fillId="0" borderId="24" xfId="0" applyFont="1" applyBorder="1" applyAlignment="1">
      <alignment vertical="center" wrapText="1"/>
    </xf>
    <xf numFmtId="0" fontId="6" fillId="0" borderId="24" xfId="0" applyFont="1" applyFill="1" applyBorder="1" applyAlignment="1">
      <alignment vertical="center" wrapText="1"/>
    </xf>
    <xf numFmtId="0" fontId="10" fillId="0" borderId="39"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0" fillId="0" borderId="24" xfId="0" applyFill="1" applyBorder="1" applyAlignment="1">
      <alignment vertical="center" wrapText="1"/>
    </xf>
    <xf numFmtId="0" fontId="2" fillId="0" borderId="13"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6" xfId="0" applyFont="1" applyFill="1" applyBorder="1" applyAlignment="1">
      <alignment horizontal="center" vertical="center" wrapText="1"/>
    </xf>
    <xf numFmtId="9" fontId="2" fillId="0" borderId="18" xfId="0" applyNumberFormat="1" applyFont="1" applyFill="1" applyBorder="1" applyAlignment="1">
      <alignment horizontal="center" vertical="center" wrapText="1"/>
    </xf>
    <xf numFmtId="9" fontId="2" fillId="0" borderId="16" xfId="0" applyNumberFormat="1" applyFont="1" applyFill="1" applyBorder="1" applyAlignment="1">
      <alignment horizontal="center" vertical="center" wrapText="1"/>
    </xf>
    <xf numFmtId="9" fontId="2" fillId="0" borderId="13" xfId="1" applyFont="1" applyFill="1" applyBorder="1" applyAlignment="1">
      <alignment horizontal="center" vertical="center" wrapText="1"/>
    </xf>
    <xf numFmtId="9" fontId="2" fillId="0" borderId="16" xfId="1" applyFont="1" applyFill="1" applyBorder="1" applyAlignment="1">
      <alignment horizontal="center" vertical="center" wrapText="1"/>
    </xf>
    <xf numFmtId="9" fontId="2" fillId="0" borderId="18" xfId="1" applyFont="1" applyFill="1" applyBorder="1" applyAlignment="1">
      <alignment horizontal="center" vertical="center" wrapText="1"/>
    </xf>
    <xf numFmtId="2" fontId="2" fillId="0" borderId="13" xfId="0" applyNumberFormat="1" applyFont="1" applyFill="1" applyBorder="1" applyAlignment="1">
      <alignment horizontal="center" vertical="center" wrapText="1"/>
    </xf>
    <xf numFmtId="2" fontId="2" fillId="0" borderId="18" xfId="0" applyNumberFormat="1" applyFont="1" applyFill="1" applyBorder="1" applyAlignment="1">
      <alignment horizontal="center" vertical="center" wrapText="1"/>
    </xf>
    <xf numFmtId="2" fontId="2" fillId="0" borderId="16" xfId="0" applyNumberFormat="1" applyFont="1" applyFill="1" applyBorder="1" applyAlignment="1">
      <alignment horizontal="center" vertical="center" wrapText="1"/>
    </xf>
    <xf numFmtId="9" fontId="6" fillId="0" borderId="18" xfId="1" applyFont="1" applyFill="1" applyBorder="1" applyAlignment="1">
      <alignment horizontal="center" vertical="center" wrapText="1"/>
    </xf>
    <xf numFmtId="9" fontId="6" fillId="0" borderId="16" xfId="1" applyFont="1" applyFill="1" applyBorder="1" applyAlignment="1">
      <alignment horizontal="center" vertical="center" wrapText="1"/>
    </xf>
    <xf numFmtId="0" fontId="2" fillId="0" borderId="0" xfId="0" applyFont="1" applyFill="1" applyBorder="1" applyAlignment="1">
      <alignment horizontal="center" vertical="center" wrapText="1"/>
    </xf>
    <xf numFmtId="9" fontId="2" fillId="0" borderId="0" xfId="0" applyNumberFormat="1" applyFont="1" applyFill="1" applyBorder="1" applyAlignment="1">
      <alignment horizontal="center" vertical="center" wrapText="1"/>
    </xf>
    <xf numFmtId="9" fontId="2" fillId="0" borderId="0" xfId="1" applyFont="1" applyFill="1" applyBorder="1" applyAlignment="1">
      <alignment horizontal="center" vertical="center" wrapText="1"/>
    </xf>
    <xf numFmtId="9" fontId="6" fillId="0" borderId="0" xfId="1" applyFont="1" applyFill="1" applyBorder="1" applyAlignment="1">
      <alignment horizontal="center" vertical="center" wrapText="1"/>
    </xf>
    <xf numFmtId="0" fontId="5" fillId="6" borderId="2" xfId="0" applyFont="1" applyFill="1" applyBorder="1" applyAlignment="1">
      <alignment horizontal="center" vertical="center" wrapText="1"/>
    </xf>
    <xf numFmtId="0" fontId="25" fillId="6" borderId="43" xfId="0" applyFont="1" applyFill="1" applyBorder="1" applyAlignment="1">
      <alignment vertical="center" wrapText="1"/>
    </xf>
    <xf numFmtId="9" fontId="2" fillId="0" borderId="44" xfId="0" applyNumberFormat="1" applyFont="1" applyFill="1" applyBorder="1" applyAlignment="1">
      <alignment horizontal="center" vertical="center" wrapText="1"/>
    </xf>
    <xf numFmtId="0" fontId="5" fillId="8" borderId="45" xfId="0" applyFont="1" applyFill="1" applyBorder="1" applyAlignment="1">
      <alignment horizontal="center" vertical="center" wrapText="1"/>
    </xf>
    <xf numFmtId="9" fontId="0" fillId="0" borderId="24" xfId="0" applyNumberFormat="1" applyBorder="1" applyAlignment="1">
      <alignment horizontal="center" vertical="center"/>
    </xf>
    <xf numFmtId="0" fontId="0" fillId="0" borderId="24" xfId="0" applyBorder="1" applyAlignment="1">
      <alignment horizontal="center" vertical="center"/>
    </xf>
    <xf numFmtId="10" fontId="2" fillId="0" borderId="0" xfId="0" applyNumberFormat="1" applyFont="1"/>
    <xf numFmtId="9" fontId="26" fillId="7" borderId="24" xfId="0" applyNumberFormat="1" applyFont="1" applyFill="1" applyBorder="1" applyAlignment="1">
      <alignment horizontal="center" vertical="center"/>
    </xf>
    <xf numFmtId="0" fontId="0" fillId="0" borderId="0" xfId="0" applyAlignment="1">
      <alignment vertical="center" wrapText="1"/>
    </xf>
    <xf numFmtId="0" fontId="29" fillId="0" borderId="0" xfId="0" applyFont="1" applyAlignment="1">
      <alignment horizontal="center" vertical="center" wrapText="1"/>
    </xf>
    <xf numFmtId="15" fontId="28" fillId="0" borderId="0" xfId="0" applyNumberFormat="1" applyFont="1" applyAlignment="1">
      <alignment vertical="center" wrapText="1"/>
    </xf>
    <xf numFmtId="0" fontId="28" fillId="0" borderId="0" xfId="0" applyFont="1" applyAlignment="1">
      <alignment vertical="center" wrapText="1"/>
    </xf>
    <xf numFmtId="0" fontId="29" fillId="0" borderId="0" xfId="0" applyFont="1" applyFill="1" applyAlignment="1">
      <alignment horizontal="center" vertical="center" wrapText="1"/>
    </xf>
    <xf numFmtId="0" fontId="27" fillId="0" borderId="0" xfId="0" applyFont="1" applyAlignment="1">
      <alignment horizontal="center" vertical="center" wrapText="1"/>
    </xf>
    <xf numFmtId="0" fontId="30" fillId="0" borderId="0" xfId="0" applyFont="1" applyAlignment="1">
      <alignment vertical="center" wrapText="1"/>
    </xf>
    <xf numFmtId="0" fontId="31" fillId="0" borderId="0" xfId="0" applyFont="1" applyAlignment="1">
      <alignment vertical="center" wrapText="1"/>
    </xf>
    <xf numFmtId="0" fontId="27" fillId="0" borderId="0" xfId="0" applyFont="1" applyAlignment="1">
      <alignment vertical="center" wrapText="1"/>
    </xf>
    <xf numFmtId="0" fontId="27" fillId="0" borderId="0" xfId="0" applyFont="1" applyFill="1" applyAlignment="1">
      <alignment vertical="center" wrapText="1"/>
    </xf>
    <xf numFmtId="0" fontId="0" fillId="15" borderId="24" xfId="0" applyFill="1" applyBorder="1" applyAlignment="1">
      <alignment horizontal="center" vertical="center" wrapText="1"/>
    </xf>
    <xf numFmtId="0" fontId="3" fillId="17" borderId="10" xfId="0" applyFont="1" applyFill="1" applyBorder="1" applyAlignment="1">
      <alignment horizontal="center" vertical="center" wrapText="1"/>
    </xf>
    <xf numFmtId="0" fontId="5" fillId="4" borderId="45" xfId="0" applyFont="1" applyFill="1" applyBorder="1" applyAlignment="1">
      <alignment horizontal="center" vertical="center" wrapText="1"/>
    </xf>
    <xf numFmtId="0" fontId="5" fillId="3" borderId="46" xfId="5" applyFont="1" applyFill="1" applyBorder="1" applyAlignment="1">
      <alignment horizontal="center" vertical="center" wrapText="1"/>
    </xf>
    <xf numFmtId="0" fontId="5" fillId="3" borderId="46" xfId="4" applyFont="1" applyFill="1" applyBorder="1" applyAlignment="1">
      <alignment horizontal="center" vertical="center" wrapText="1"/>
    </xf>
    <xf numFmtId="0" fontId="5" fillId="3" borderId="0" xfId="4" applyFont="1" applyFill="1" applyBorder="1" applyAlignment="1">
      <alignment horizontal="center" vertical="center" wrapText="1"/>
    </xf>
    <xf numFmtId="0" fontId="5" fillId="3" borderId="24" xfId="4" applyFont="1" applyFill="1" applyBorder="1" applyAlignment="1">
      <alignment horizontal="center" vertical="center" wrapText="1"/>
    </xf>
    <xf numFmtId="0" fontId="5" fillId="3" borderId="12" xfId="5" applyFont="1" applyFill="1" applyBorder="1" applyAlignment="1">
      <alignment horizontal="center" vertical="center" wrapText="1"/>
    </xf>
    <xf numFmtId="0" fontId="32" fillId="12" borderId="24" xfId="0" applyFont="1" applyFill="1" applyBorder="1" applyAlignment="1">
      <alignment vertical="center" wrapText="1"/>
    </xf>
    <xf numFmtId="0" fontId="32" fillId="0" borderId="12" xfId="0" applyFont="1" applyFill="1" applyBorder="1" applyAlignment="1">
      <alignment horizontal="left" vertical="center" wrapText="1"/>
    </xf>
    <xf numFmtId="164" fontId="34" fillId="0" borderId="24" xfId="6" applyFont="1" applyFill="1" applyBorder="1" applyAlignment="1">
      <alignment vertical="center" wrapText="1"/>
    </xf>
    <xf numFmtId="166" fontId="34" fillId="0" borderId="24" xfId="6" applyNumberFormat="1" applyFont="1" applyFill="1" applyBorder="1" applyAlignment="1">
      <alignment vertical="center" wrapText="1"/>
    </xf>
    <xf numFmtId="10" fontId="34" fillId="0" borderId="24" xfId="1" applyNumberFormat="1" applyFont="1" applyFill="1" applyBorder="1" applyAlignment="1">
      <alignment vertical="center" wrapText="1"/>
    </xf>
    <xf numFmtId="0" fontId="34" fillId="0" borderId="24" xfId="0" applyFont="1" applyFill="1" applyBorder="1" applyAlignment="1">
      <alignment vertical="center" wrapText="1"/>
    </xf>
    <xf numFmtId="0" fontId="32" fillId="12" borderId="12" xfId="0" applyFont="1" applyFill="1" applyBorder="1" applyAlignment="1">
      <alignment horizontal="left" vertical="center" wrapText="1"/>
    </xf>
    <xf numFmtId="10" fontId="34" fillId="0" borderId="24" xfId="0" applyNumberFormat="1" applyFont="1" applyFill="1" applyBorder="1" applyAlignment="1">
      <alignment vertical="center" wrapText="1"/>
    </xf>
    <xf numFmtId="9" fontId="34" fillId="0" borderId="24" xfId="1" applyFont="1" applyFill="1" applyBorder="1" applyAlignment="1">
      <alignment vertical="center" wrapText="1"/>
    </xf>
    <xf numFmtId="0" fontId="32" fillId="13" borderId="24" xfId="0" applyFont="1" applyFill="1" applyBorder="1" applyAlignment="1">
      <alignment vertical="center" wrapText="1"/>
    </xf>
    <xf numFmtId="0" fontId="32" fillId="14" borderId="24" xfId="0" applyFont="1" applyFill="1" applyBorder="1" applyAlignment="1">
      <alignment vertical="center" wrapText="1"/>
    </xf>
    <xf numFmtId="0" fontId="34" fillId="0" borderId="24" xfId="0" applyFont="1" applyFill="1" applyBorder="1" applyAlignment="1">
      <alignment horizontal="left" vertical="center" wrapText="1"/>
    </xf>
    <xf numFmtId="0" fontId="32" fillId="15" borderId="24" xfId="0" applyFont="1" applyFill="1" applyBorder="1" applyAlignment="1">
      <alignment vertical="center" wrapText="1"/>
    </xf>
    <xf numFmtId="164" fontId="34" fillId="0" borderId="24" xfId="6" applyNumberFormat="1" applyFont="1" applyFill="1" applyBorder="1" applyAlignment="1">
      <alignment vertical="center" wrapText="1"/>
    </xf>
    <xf numFmtId="0" fontId="34" fillId="0" borderId="24" xfId="6" applyNumberFormat="1" applyFont="1" applyFill="1" applyBorder="1" applyAlignment="1">
      <alignment vertical="center" wrapText="1"/>
    </xf>
    <xf numFmtId="0" fontId="32" fillId="16" borderId="24" xfId="0" applyFont="1" applyFill="1" applyBorder="1" applyAlignment="1">
      <alignment vertical="center" wrapText="1"/>
    </xf>
    <xf numFmtId="0" fontId="32" fillId="11" borderId="24" xfId="0" applyFont="1" applyFill="1" applyBorder="1" applyAlignment="1">
      <alignment vertical="center" wrapText="1"/>
    </xf>
    <xf numFmtId="0" fontId="3" fillId="15" borderId="24" xfId="0" applyFont="1" applyFill="1" applyBorder="1" applyAlignment="1">
      <alignment vertical="center" wrapText="1"/>
    </xf>
    <xf numFmtId="166" fontId="3" fillId="15" borderId="24" xfId="6" applyNumberFormat="1" applyFont="1" applyFill="1" applyBorder="1" applyAlignment="1">
      <alignment vertical="center" wrapText="1"/>
    </xf>
    <xf numFmtId="0" fontId="3" fillId="0" borderId="12" xfId="0" applyFont="1" applyFill="1" applyBorder="1" applyAlignment="1">
      <alignment horizontal="center" vertical="center" wrapText="1"/>
    </xf>
    <xf numFmtId="0" fontId="32" fillId="0" borderId="24" xfId="0" applyFont="1" applyBorder="1" applyAlignment="1">
      <alignment vertical="center" wrapText="1"/>
    </xf>
    <xf numFmtId="0" fontId="3" fillId="15" borderId="50" xfId="0" applyFont="1" applyFill="1" applyBorder="1" applyAlignment="1">
      <alignment vertical="center" wrapText="1"/>
    </xf>
    <xf numFmtId="0" fontId="3" fillId="15" borderId="51" xfId="0" applyFont="1" applyFill="1" applyBorder="1" applyAlignment="1">
      <alignment vertical="center" wrapText="1"/>
    </xf>
    <xf numFmtId="166" fontId="3" fillId="15" borderId="51" xfId="0" applyNumberFormat="1" applyFont="1" applyFill="1" applyBorder="1" applyAlignment="1">
      <alignment vertical="center" wrapText="1"/>
    </xf>
    <xf numFmtId="0" fontId="3" fillId="0" borderId="24" xfId="0" applyFont="1" applyFill="1" applyBorder="1" applyAlignment="1">
      <alignment horizontal="center" vertical="center" wrapText="1"/>
    </xf>
    <xf numFmtId="164" fontId="32" fillId="0" borderId="24" xfId="6" applyFont="1" applyFill="1" applyBorder="1" applyAlignment="1">
      <alignment vertical="center" wrapText="1"/>
    </xf>
    <xf numFmtId="166" fontId="32" fillId="0" borderId="24" xfId="6" applyNumberFormat="1" applyFont="1" applyFill="1" applyBorder="1" applyAlignment="1">
      <alignment vertical="center" wrapText="1"/>
    </xf>
    <xf numFmtId="10" fontId="32" fillId="0" borderId="24" xfId="1" applyNumberFormat="1" applyFont="1" applyFill="1" applyBorder="1" applyAlignment="1">
      <alignment vertical="center" wrapText="1"/>
    </xf>
    <xf numFmtId="0" fontId="36" fillId="15" borderId="24" xfId="0" applyFont="1" applyFill="1" applyBorder="1" applyAlignment="1">
      <alignment vertical="center" wrapText="1"/>
    </xf>
    <xf numFmtId="0" fontId="35" fillId="15" borderId="24" xfId="0" applyFont="1" applyFill="1" applyBorder="1" applyAlignment="1">
      <alignment vertical="center" wrapText="1"/>
    </xf>
    <xf numFmtId="0" fontId="35" fillId="15" borderId="24" xfId="0" applyFont="1" applyFill="1" applyBorder="1" applyAlignment="1">
      <alignment horizontal="center" vertical="center" wrapText="1"/>
    </xf>
    <xf numFmtId="0" fontId="5" fillId="19" borderId="47" xfId="0" applyFont="1" applyFill="1" applyBorder="1" applyAlignment="1">
      <alignment horizontal="center" vertical="center" wrapText="1"/>
    </xf>
    <xf numFmtId="0" fontId="3" fillId="18" borderId="47" xfId="0" applyFont="1" applyFill="1" applyBorder="1" applyAlignment="1">
      <alignment horizontal="center" vertical="center" wrapText="1"/>
    </xf>
    <xf numFmtId="0" fontId="3" fillId="18" borderId="48" xfId="0" applyFont="1" applyFill="1" applyBorder="1" applyAlignment="1">
      <alignment horizontal="center" vertical="center" wrapText="1"/>
    </xf>
    <xf numFmtId="0" fontId="3" fillId="18" borderId="12" xfId="0" applyFont="1" applyFill="1" applyBorder="1" applyAlignment="1">
      <alignment horizontal="center" vertical="center" wrapText="1"/>
    </xf>
    <xf numFmtId="0" fontId="3" fillId="18" borderId="24" xfId="0" applyFont="1" applyFill="1" applyBorder="1" applyAlignment="1">
      <alignment horizontal="center" vertical="center" wrapText="1"/>
    </xf>
    <xf numFmtId="0" fontId="3" fillId="18" borderId="21" xfId="0" applyFont="1" applyFill="1" applyBorder="1" applyAlignment="1">
      <alignment horizontal="center" vertical="center" wrapText="1"/>
    </xf>
    <xf numFmtId="0" fontId="34" fillId="0" borderId="12" xfId="0" applyFont="1" applyFill="1" applyBorder="1" applyAlignment="1" applyProtection="1">
      <alignment horizontal="center" vertical="center" wrapText="1"/>
    </xf>
    <xf numFmtId="0" fontId="34" fillId="0" borderId="24" xfId="0" applyFont="1" applyFill="1" applyBorder="1" applyAlignment="1" applyProtection="1">
      <alignment horizontal="center" vertical="center" wrapText="1"/>
    </xf>
    <xf numFmtId="0" fontId="3" fillId="16" borderId="24" xfId="0" applyFont="1" applyFill="1" applyBorder="1" applyAlignment="1">
      <alignment horizontal="center" vertical="center" wrapText="1"/>
    </xf>
    <xf numFmtId="0" fontId="3" fillId="12" borderId="24" xfId="0" applyFont="1" applyFill="1" applyBorder="1" applyAlignment="1">
      <alignment horizontal="center" vertical="center" wrapText="1"/>
    </xf>
    <xf numFmtId="0" fontId="3" fillId="12" borderId="12" xfId="0" applyFont="1" applyFill="1" applyBorder="1" applyAlignment="1">
      <alignment horizontal="center" vertical="center" wrapText="1"/>
    </xf>
    <xf numFmtId="0" fontId="3" fillId="13" borderId="24" xfId="0" applyFont="1" applyFill="1" applyBorder="1" applyAlignment="1">
      <alignment horizontal="center" vertical="center" wrapText="1"/>
    </xf>
    <xf numFmtId="0" fontId="3" fillId="11" borderId="24" xfId="0" applyFont="1" applyFill="1" applyBorder="1" applyAlignment="1">
      <alignment horizontal="center" vertical="center" wrapText="1"/>
    </xf>
    <xf numFmtId="0" fontId="3" fillId="14" borderId="24" xfId="0" applyFont="1" applyFill="1" applyBorder="1" applyAlignment="1">
      <alignment horizontal="center" vertical="center" wrapText="1"/>
    </xf>
    <xf numFmtId="0" fontId="3" fillId="15" borderId="2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49" xfId="0" applyFont="1" applyFill="1" applyBorder="1" applyAlignment="1">
      <alignment horizontal="center" vertical="center" wrapText="1"/>
    </xf>
    <xf numFmtId="0" fontId="32" fillId="12" borderId="12" xfId="0" applyFont="1" applyFill="1" applyBorder="1" applyAlignment="1">
      <alignment vertical="center" wrapText="1"/>
    </xf>
    <xf numFmtId="0" fontId="3" fillId="15" borderId="54" xfId="0" applyFont="1" applyFill="1" applyBorder="1" applyAlignment="1">
      <alignment vertical="center" wrapText="1"/>
    </xf>
    <xf numFmtId="0" fontId="3" fillId="0" borderId="12" xfId="0" applyFont="1" applyFill="1" applyBorder="1" applyAlignment="1">
      <alignment vertical="center" wrapText="1"/>
    </xf>
    <xf numFmtId="0" fontId="3" fillId="0" borderId="49" xfId="0" applyFont="1" applyFill="1" applyBorder="1" applyAlignment="1">
      <alignment vertical="center" wrapText="1"/>
    </xf>
    <xf numFmtId="0" fontId="32" fillId="11" borderId="12" xfId="0" applyFont="1" applyFill="1" applyBorder="1" applyAlignment="1">
      <alignment vertical="center" wrapText="1"/>
    </xf>
    <xf numFmtId="0" fontId="0" fillId="14" borderId="11" xfId="0" applyFont="1" applyFill="1" applyBorder="1" applyAlignment="1">
      <alignment horizontal="center" vertical="center" wrapText="1"/>
    </xf>
    <xf numFmtId="0" fontId="32" fillId="0" borderId="49" xfId="0" applyFont="1" applyFill="1" applyBorder="1" applyAlignment="1">
      <alignment horizontal="center" vertical="center" wrapText="1"/>
    </xf>
    <xf numFmtId="0" fontId="32" fillId="0" borderId="36" xfId="0" applyFont="1" applyFill="1" applyBorder="1" applyAlignment="1">
      <alignment horizontal="center" vertical="center" wrapText="1"/>
    </xf>
    <xf numFmtId="0" fontId="32" fillId="0" borderId="49" xfId="0" applyFont="1" applyFill="1" applyBorder="1" applyAlignment="1">
      <alignment vertical="center" wrapText="1"/>
    </xf>
    <xf numFmtId="0" fontId="32" fillId="0" borderId="24" xfId="0" applyFont="1" applyFill="1" applyBorder="1" applyAlignment="1">
      <alignment vertical="center" wrapText="1"/>
    </xf>
    <xf numFmtId="0" fontId="3" fillId="17" borderId="53" xfId="0" applyFont="1" applyFill="1" applyBorder="1" applyAlignment="1">
      <alignment vertical="center" wrapText="1"/>
    </xf>
    <xf numFmtId="0" fontId="3" fillId="0" borderId="0" xfId="0" applyFont="1" applyFill="1" applyBorder="1" applyAlignment="1">
      <alignment vertical="center" wrapText="1"/>
    </xf>
    <xf numFmtId="0" fontId="0" fillId="0" borderId="24" xfId="0" applyBorder="1" applyAlignment="1">
      <alignment horizontal="center" vertical="center" wrapText="1"/>
    </xf>
    <xf numFmtId="9" fontId="6" fillId="0" borderId="55" xfId="1" applyFont="1" applyFill="1" applyBorder="1" applyAlignment="1">
      <alignment horizontal="center" vertical="center" wrapText="1"/>
    </xf>
    <xf numFmtId="0" fontId="2" fillId="0" borderId="38" xfId="0" applyFont="1" applyFill="1" applyBorder="1" applyAlignment="1">
      <alignment horizontal="center" vertical="center" wrapText="1"/>
    </xf>
    <xf numFmtId="0" fontId="2" fillId="0" borderId="29" xfId="0" applyFont="1" applyFill="1" applyBorder="1" applyAlignment="1">
      <alignment horizontal="center" vertical="center" wrapText="1"/>
    </xf>
    <xf numFmtId="9" fontId="2" fillId="0" borderId="29" xfId="0" applyNumberFormat="1" applyFont="1" applyFill="1" applyBorder="1" applyAlignment="1">
      <alignment horizontal="center" vertical="center" wrapText="1"/>
    </xf>
    <xf numFmtId="0" fontId="2" fillId="0" borderId="60" xfId="0" applyFont="1" applyFill="1" applyBorder="1" applyAlignment="1">
      <alignment horizontal="center" vertical="center" wrapText="1"/>
    </xf>
    <xf numFmtId="0" fontId="2" fillId="0" borderId="61" xfId="0" applyFont="1" applyFill="1" applyBorder="1" applyAlignment="1">
      <alignment horizontal="center" vertical="center" wrapText="1"/>
    </xf>
    <xf numFmtId="9" fontId="2" fillId="0" borderId="60" xfId="0" applyNumberFormat="1" applyFont="1" applyFill="1" applyBorder="1" applyAlignment="1">
      <alignment horizontal="center" vertical="center" wrapText="1"/>
    </xf>
    <xf numFmtId="9" fontId="2" fillId="0" borderId="61" xfId="0" applyNumberFormat="1" applyFont="1" applyFill="1" applyBorder="1" applyAlignment="1">
      <alignment horizontal="center" vertical="center" wrapText="1"/>
    </xf>
    <xf numFmtId="0" fontId="2" fillId="0" borderId="45" xfId="0" applyFont="1" applyFill="1" applyBorder="1" applyAlignment="1">
      <alignment horizontal="center" vertical="center" wrapText="1"/>
    </xf>
    <xf numFmtId="9" fontId="2" fillId="0" borderId="45" xfId="1" applyFont="1" applyFill="1" applyBorder="1" applyAlignment="1">
      <alignment horizontal="center" vertical="center" wrapText="1"/>
    </xf>
    <xf numFmtId="9" fontId="2" fillId="0" borderId="61" xfId="1" applyFont="1" applyFill="1" applyBorder="1" applyAlignment="1">
      <alignment horizontal="center" vertical="center" wrapText="1"/>
    </xf>
    <xf numFmtId="9" fontId="2" fillId="0" borderId="60" xfId="1" applyFont="1" applyFill="1" applyBorder="1" applyAlignment="1">
      <alignment horizontal="center" vertical="center" wrapText="1"/>
    </xf>
    <xf numFmtId="2" fontId="2" fillId="0" borderId="45" xfId="0" applyNumberFormat="1" applyFont="1" applyFill="1" applyBorder="1" applyAlignment="1">
      <alignment horizontal="center" vertical="center" wrapText="1"/>
    </xf>
    <xf numFmtId="2" fontId="2" fillId="0" borderId="60" xfId="0" applyNumberFormat="1" applyFont="1" applyFill="1" applyBorder="1" applyAlignment="1">
      <alignment horizontal="center" vertical="center" wrapText="1"/>
    </xf>
    <xf numFmtId="2" fontId="2" fillId="0" borderId="61" xfId="0" applyNumberFormat="1" applyFont="1" applyFill="1" applyBorder="1" applyAlignment="1">
      <alignment horizontal="center" vertical="center" wrapText="1"/>
    </xf>
    <xf numFmtId="9" fontId="6" fillId="0" borderId="60" xfId="1" applyFont="1" applyFill="1" applyBorder="1" applyAlignment="1">
      <alignment horizontal="center" vertical="center" wrapText="1"/>
    </xf>
    <xf numFmtId="9" fontId="6" fillId="0" borderId="61" xfId="1" applyFont="1" applyFill="1" applyBorder="1" applyAlignment="1">
      <alignment horizontal="center" vertical="center" wrapText="1"/>
    </xf>
    <xf numFmtId="9" fontId="43" fillId="0" borderId="0" xfId="0" applyNumberFormat="1" applyFont="1" applyBorder="1" applyAlignment="1">
      <alignment horizontal="center" vertical="center" wrapText="1"/>
    </xf>
    <xf numFmtId="0" fontId="43" fillId="0" borderId="0" xfId="0" applyFont="1" applyBorder="1" applyAlignment="1">
      <alignment horizontal="center" vertical="center" wrapText="1"/>
    </xf>
    <xf numFmtId="9" fontId="43" fillId="0" borderId="0" xfId="0" applyNumberFormat="1" applyFont="1" applyFill="1" applyBorder="1" applyAlignment="1">
      <alignment horizontal="center" vertical="center" wrapText="1"/>
    </xf>
    <xf numFmtId="0" fontId="43" fillId="20" borderId="0" xfId="0" applyFont="1" applyFill="1" applyBorder="1" applyAlignment="1">
      <alignment horizontal="center" vertical="center" wrapText="1"/>
    </xf>
    <xf numFmtId="9" fontId="43" fillId="20" borderId="0" xfId="0" applyNumberFormat="1" applyFont="1" applyFill="1" applyBorder="1" applyAlignment="1">
      <alignment horizontal="center" vertical="center" wrapText="1"/>
    </xf>
    <xf numFmtId="9" fontId="44" fillId="0" borderId="62" xfId="0" applyNumberFormat="1" applyFont="1" applyBorder="1" applyAlignment="1">
      <alignment horizontal="center" vertical="center" wrapText="1"/>
    </xf>
    <xf numFmtId="14" fontId="6" fillId="0" borderId="62" xfId="0" applyNumberFormat="1" applyFont="1" applyBorder="1" applyAlignment="1">
      <alignment horizontal="center" vertical="center" wrapText="1"/>
    </xf>
    <xf numFmtId="9" fontId="45" fillId="0" borderId="27" xfId="1" applyFont="1" applyFill="1" applyBorder="1" applyAlignment="1">
      <alignment horizontal="center" vertical="center" wrapText="1"/>
    </xf>
    <xf numFmtId="9" fontId="44" fillId="0" borderId="24" xfId="0" applyNumberFormat="1" applyFont="1" applyBorder="1" applyAlignment="1">
      <alignment horizontal="center" vertical="center" wrapText="1"/>
    </xf>
    <xf numFmtId="14" fontId="6" fillId="0" borderId="24" xfId="0" applyNumberFormat="1" applyFont="1" applyBorder="1" applyAlignment="1">
      <alignment horizontal="center" vertical="center" wrapText="1"/>
    </xf>
    <xf numFmtId="9" fontId="44" fillId="0" borderId="12" xfId="0" applyNumberFormat="1" applyFont="1" applyBorder="1" applyAlignment="1">
      <alignment horizontal="center" vertical="center" wrapText="1"/>
    </xf>
    <xf numFmtId="14" fontId="6" fillId="0" borderId="12" xfId="0" applyNumberFormat="1" applyFont="1" applyBorder="1" applyAlignment="1">
      <alignment horizontal="center" vertical="center" wrapText="1"/>
    </xf>
    <xf numFmtId="14" fontId="6" fillId="0" borderId="63" xfId="0" applyNumberFormat="1" applyFont="1" applyBorder="1" applyAlignment="1">
      <alignment horizontal="center" vertical="center" wrapText="1"/>
    </xf>
    <xf numFmtId="9" fontId="45" fillId="20" borderId="27" xfId="1" applyFont="1" applyFill="1" applyBorder="1" applyAlignment="1">
      <alignment horizontal="center" vertical="center" wrapText="1"/>
    </xf>
    <xf numFmtId="9" fontId="44" fillId="0" borderId="63" xfId="0" applyNumberFormat="1" applyFont="1" applyBorder="1" applyAlignment="1">
      <alignment horizontal="center" vertical="center" wrapText="1"/>
    </xf>
    <xf numFmtId="14" fontId="2" fillId="0" borderId="0" xfId="0" applyNumberFormat="1" applyFont="1" applyBorder="1" applyAlignment="1">
      <alignment vertical="center"/>
    </xf>
    <xf numFmtId="9" fontId="44" fillId="20" borderId="62" xfId="0" applyNumberFormat="1" applyFont="1" applyFill="1" applyBorder="1" applyAlignment="1">
      <alignment horizontal="center" vertical="center" wrapText="1"/>
    </xf>
    <xf numFmtId="9" fontId="44" fillId="20" borderId="24" xfId="0" applyNumberFormat="1" applyFont="1" applyFill="1" applyBorder="1" applyAlignment="1">
      <alignment horizontal="center" vertical="center" wrapText="1"/>
    </xf>
    <xf numFmtId="9" fontId="44" fillId="20" borderId="63" xfId="0" applyNumberFormat="1" applyFont="1" applyFill="1" applyBorder="1" applyAlignment="1">
      <alignment horizontal="center" vertical="center" wrapText="1"/>
    </xf>
    <xf numFmtId="14" fontId="6" fillId="20" borderId="62" xfId="0" applyNumberFormat="1" applyFont="1" applyFill="1" applyBorder="1" applyAlignment="1">
      <alignment horizontal="center" vertical="center" wrapText="1"/>
    </xf>
    <xf numFmtId="9" fontId="44" fillId="20" borderId="12" xfId="0" applyNumberFormat="1" applyFont="1" applyFill="1" applyBorder="1" applyAlignment="1">
      <alignment horizontal="center" vertical="center" wrapText="1"/>
    </xf>
    <xf numFmtId="14" fontId="6" fillId="20" borderId="12" xfId="0" applyNumberFormat="1" applyFont="1" applyFill="1" applyBorder="1" applyAlignment="1">
      <alignment horizontal="center" vertical="center" wrapText="1"/>
    </xf>
    <xf numFmtId="9" fontId="45" fillId="20" borderId="33" xfId="1" applyFont="1" applyFill="1" applyBorder="1" applyAlignment="1">
      <alignment horizontal="center" vertical="center" wrapText="1"/>
    </xf>
    <xf numFmtId="14" fontId="6" fillId="20" borderId="24" xfId="0" applyNumberFormat="1" applyFont="1" applyFill="1" applyBorder="1" applyAlignment="1">
      <alignment horizontal="center" vertical="center" wrapText="1"/>
    </xf>
    <xf numFmtId="14" fontId="6" fillId="20" borderId="63" xfId="0" applyNumberFormat="1" applyFont="1" applyFill="1" applyBorder="1" applyAlignment="1">
      <alignment horizontal="center" vertical="center" wrapText="1"/>
    </xf>
    <xf numFmtId="14" fontId="6" fillId="20" borderId="21" xfId="0" applyNumberFormat="1" applyFont="1" applyFill="1" applyBorder="1" applyAlignment="1">
      <alignment horizontal="center" vertical="center" wrapText="1"/>
    </xf>
    <xf numFmtId="0" fontId="44" fillId="20" borderId="65" xfId="0" applyFont="1" applyFill="1" applyBorder="1" applyAlignment="1">
      <alignment horizontal="left" vertical="center" wrapText="1"/>
    </xf>
    <xf numFmtId="0" fontId="44" fillId="20" borderId="64" xfId="0" applyFont="1" applyFill="1" applyBorder="1" applyAlignment="1">
      <alignment horizontal="left" vertical="center" wrapText="1"/>
    </xf>
    <xf numFmtId="0" fontId="44" fillId="20" borderId="36" xfId="0" applyFont="1" applyFill="1" applyBorder="1" applyAlignment="1">
      <alignment horizontal="left" vertical="center" wrapText="1"/>
    </xf>
    <xf numFmtId="0" fontId="46" fillId="20" borderId="65" xfId="0" applyFont="1" applyFill="1" applyBorder="1" applyAlignment="1">
      <alignment horizontal="left" vertical="center" wrapText="1"/>
    </xf>
    <xf numFmtId="0" fontId="46" fillId="20" borderId="64" xfId="0" applyFont="1" applyFill="1" applyBorder="1" applyAlignment="1">
      <alignment horizontal="left" vertical="center" wrapText="1"/>
    </xf>
    <xf numFmtId="0" fontId="44" fillId="20" borderId="66" xfId="0" applyFont="1" applyFill="1" applyBorder="1" applyAlignment="1">
      <alignment horizontal="left" vertical="center" wrapText="1"/>
    </xf>
    <xf numFmtId="0" fontId="7" fillId="5" borderId="18" xfId="0" applyFont="1" applyFill="1" applyBorder="1" applyAlignment="1">
      <alignment horizontal="center" vertical="center" wrapText="1"/>
    </xf>
    <xf numFmtId="0" fontId="48" fillId="5" borderId="24" xfId="0" applyFont="1" applyFill="1" applyBorder="1" applyAlignment="1">
      <alignment horizontal="center" vertical="center" wrapText="1"/>
    </xf>
    <xf numFmtId="0" fontId="46" fillId="14" borderId="66" xfId="0" applyFont="1" applyFill="1" applyBorder="1" applyAlignment="1">
      <alignment horizontal="left" vertical="center" wrapText="1"/>
    </xf>
    <xf numFmtId="0" fontId="44" fillId="14" borderId="64" xfId="0" applyFont="1" applyFill="1" applyBorder="1" applyAlignment="1">
      <alignment horizontal="left" vertical="center" wrapText="1"/>
    </xf>
    <xf numFmtId="0" fontId="0" fillId="14" borderId="10" xfId="0" applyFont="1" applyFill="1" applyBorder="1" applyAlignment="1">
      <alignment horizontal="left" vertical="center" wrapText="1"/>
    </xf>
    <xf numFmtId="0" fontId="15" fillId="14" borderId="11" xfId="0" applyFont="1" applyFill="1" applyBorder="1" applyAlignment="1">
      <alignment horizontal="center" wrapText="1"/>
    </xf>
    <xf numFmtId="0" fontId="15" fillId="14" borderId="11" xfId="0" applyFont="1" applyFill="1" applyBorder="1" applyAlignment="1">
      <alignment horizontal="center" vertical="center" wrapText="1"/>
    </xf>
    <xf numFmtId="0" fontId="15" fillId="14" borderId="10" xfId="0" applyFont="1" applyFill="1" applyBorder="1" applyAlignment="1">
      <alignment horizontal="left" vertical="top" wrapText="1"/>
    </xf>
    <xf numFmtId="0" fontId="15" fillId="14" borderId="10" xfId="0" applyFont="1" applyFill="1" applyBorder="1" applyAlignment="1">
      <alignment horizontal="left" vertical="center" wrapText="1"/>
    </xf>
    <xf numFmtId="0" fontId="15" fillId="14" borderId="24" xfId="0" applyFont="1" applyFill="1" applyBorder="1" applyAlignment="1">
      <alignment horizontal="center" vertical="center" wrapText="1"/>
    </xf>
    <xf numFmtId="0" fontId="0" fillId="0" borderId="24" xfId="0" applyFill="1" applyBorder="1" applyAlignment="1">
      <alignment horizontal="center" vertical="center" wrapText="1"/>
    </xf>
    <xf numFmtId="0" fontId="0" fillId="14" borderId="24" xfId="0" applyFill="1" applyBorder="1" applyAlignment="1">
      <alignment horizontal="center" vertical="center" wrapText="1"/>
    </xf>
    <xf numFmtId="0" fontId="0" fillId="14" borderId="11" xfId="0" applyFont="1" applyFill="1" applyBorder="1" applyAlignment="1">
      <alignment horizontal="left" vertical="center" wrapText="1"/>
    </xf>
    <xf numFmtId="0" fontId="15" fillId="14" borderId="11" xfId="0" applyFont="1" applyFill="1" applyBorder="1" applyAlignment="1">
      <alignment horizontal="left" vertical="center" wrapText="1"/>
    </xf>
    <xf numFmtId="0" fontId="7" fillId="22" borderId="16" xfId="0" applyFont="1" applyFill="1" applyBorder="1" applyAlignment="1">
      <alignment horizontal="center" vertical="center" wrapText="1"/>
    </xf>
    <xf numFmtId="0" fontId="0" fillId="0" borderId="0" xfId="0" applyAlignment="1">
      <alignment wrapText="1"/>
    </xf>
    <xf numFmtId="0" fontId="19" fillId="0" borderId="24" xfId="0" applyFont="1" applyBorder="1" applyAlignment="1">
      <alignment vertical="center" wrapText="1"/>
    </xf>
    <xf numFmtId="9" fontId="2" fillId="0" borderId="52" xfId="0" applyNumberFormat="1" applyFont="1" applyFill="1" applyBorder="1" applyAlignment="1">
      <alignment horizontal="center" vertical="center" wrapText="1"/>
    </xf>
    <xf numFmtId="0" fontId="2" fillId="0" borderId="52" xfId="0" applyFont="1" applyFill="1" applyBorder="1" applyAlignment="1">
      <alignment horizontal="center" vertical="center" wrapText="1"/>
    </xf>
    <xf numFmtId="9" fontId="2" fillId="0" borderId="52" xfId="1" applyFont="1" applyFill="1" applyBorder="1" applyAlignment="1">
      <alignment horizontal="center" vertical="center" wrapText="1"/>
    </xf>
    <xf numFmtId="9" fontId="6" fillId="0" borderId="52" xfId="1" applyFont="1" applyFill="1" applyBorder="1" applyAlignment="1">
      <alignment horizontal="center" vertical="center" wrapText="1"/>
    </xf>
    <xf numFmtId="2" fontId="2" fillId="0" borderId="52" xfId="0" applyNumberFormat="1" applyFont="1" applyFill="1" applyBorder="1" applyAlignment="1">
      <alignment horizontal="center" vertical="center" wrapText="1"/>
    </xf>
    <xf numFmtId="0" fontId="3" fillId="17" borderId="45" xfId="0" applyFont="1" applyFill="1" applyBorder="1" applyAlignment="1">
      <alignment horizontal="center" vertical="center" wrapText="1"/>
    </xf>
    <xf numFmtId="0" fontId="2" fillId="23" borderId="24" xfId="0" applyFont="1" applyFill="1" applyBorder="1" applyAlignment="1">
      <alignment horizontal="center" vertical="center" wrapText="1"/>
    </xf>
    <xf numFmtId="9" fontId="2" fillId="23" borderId="24" xfId="0" applyNumberFormat="1" applyFont="1" applyFill="1" applyBorder="1" applyAlignment="1">
      <alignment horizontal="center" vertical="center" wrapText="1"/>
    </xf>
    <xf numFmtId="9" fontId="2" fillId="23" borderId="24" xfId="1" applyFont="1" applyFill="1" applyBorder="1" applyAlignment="1">
      <alignment horizontal="center" vertical="center" wrapText="1"/>
    </xf>
    <xf numFmtId="9" fontId="6" fillId="23" borderId="24" xfId="1" applyFont="1" applyFill="1" applyBorder="1" applyAlignment="1">
      <alignment horizontal="center" vertical="center" wrapText="1"/>
    </xf>
    <xf numFmtId="9" fontId="43" fillId="23" borderId="24" xfId="0" applyNumberFormat="1" applyFont="1" applyFill="1" applyBorder="1" applyAlignment="1">
      <alignment horizontal="center" vertical="center" wrapText="1"/>
    </xf>
    <xf numFmtId="0" fontId="43" fillId="23" borderId="24" xfId="0" applyFont="1" applyFill="1" applyBorder="1" applyAlignment="1">
      <alignment horizontal="center" vertical="center" wrapText="1"/>
    </xf>
    <xf numFmtId="2" fontId="2" fillId="23" borderId="24" xfId="0" applyNumberFormat="1" applyFont="1" applyFill="1" applyBorder="1" applyAlignment="1">
      <alignment horizontal="center" vertical="center" wrapText="1"/>
    </xf>
    <xf numFmtId="0" fontId="0" fillId="21" borderId="24" xfId="0" applyFill="1" applyBorder="1" applyAlignment="1">
      <alignment horizontal="center" vertical="center" wrapText="1"/>
    </xf>
    <xf numFmtId="0" fontId="0" fillId="21" borderId="24" xfId="0" applyFill="1" applyBorder="1" applyAlignment="1">
      <alignment horizontal="center" vertical="center"/>
    </xf>
    <xf numFmtId="0" fontId="0" fillId="21" borderId="24" xfId="0" applyFill="1" applyBorder="1"/>
    <xf numFmtId="0" fontId="0" fillId="21" borderId="24" xfId="0" applyFill="1" applyBorder="1" applyAlignment="1">
      <alignment vertical="center" wrapText="1"/>
    </xf>
    <xf numFmtId="0" fontId="0" fillId="0" borderId="0" xfId="0" applyAlignment="1">
      <alignment horizontal="right" vertical="center" wrapText="1"/>
    </xf>
    <xf numFmtId="0" fontId="27" fillId="0" borderId="64" xfId="0" applyFont="1" applyBorder="1" applyAlignment="1">
      <alignment horizontal="center" vertical="center" wrapText="1"/>
    </xf>
    <xf numFmtId="0" fontId="27" fillId="0" borderId="24" xfId="0" applyFont="1" applyBorder="1" applyAlignment="1">
      <alignment horizontal="center" vertical="center" wrapText="1"/>
    </xf>
    <xf numFmtId="0" fontId="42" fillId="0" borderId="0" xfId="0" applyFont="1"/>
    <xf numFmtId="0" fontId="15" fillId="0" borderId="0" xfId="0" applyFont="1"/>
    <xf numFmtId="0" fontId="0" fillId="14" borderId="11" xfId="0" applyFill="1" applyBorder="1"/>
    <xf numFmtId="0" fontId="2" fillId="0" borderId="0" xfId="0" applyFont="1" applyAlignment="1">
      <alignment vertical="center"/>
    </xf>
    <xf numFmtId="0" fontId="15" fillId="0" borderId="24" xfId="0" applyFont="1" applyFill="1" applyBorder="1" applyAlignment="1">
      <alignment horizontal="center" vertical="center" wrapText="1"/>
    </xf>
    <xf numFmtId="0" fontId="0" fillId="0" borderId="0" xfId="0" applyAlignment="1">
      <alignment horizontal="center" vertical="center"/>
    </xf>
    <xf numFmtId="0" fontId="51" fillId="0" borderId="24" xfId="0" applyFont="1" applyBorder="1" applyAlignment="1">
      <alignment horizontal="center" vertical="center" wrapText="1"/>
    </xf>
    <xf numFmtId="0" fontId="41" fillId="4" borderId="0" xfId="0" applyFont="1" applyFill="1" applyAlignment="1">
      <alignment horizontal="center" vertical="center" wrapText="1"/>
    </xf>
    <xf numFmtId="0" fontId="10" fillId="7" borderId="39"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6" fillId="7" borderId="24" xfId="0" applyFont="1" applyFill="1" applyBorder="1" applyAlignment="1">
      <alignment vertical="center" wrapText="1"/>
    </xf>
    <xf numFmtId="0" fontId="0" fillId="7" borderId="24" xfId="0" applyFill="1" applyBorder="1" applyAlignment="1">
      <alignment wrapText="1"/>
    </xf>
    <xf numFmtId="0" fontId="0" fillId="7" borderId="24" xfId="0" applyFill="1" applyBorder="1" applyAlignment="1">
      <alignment vertical="center" wrapText="1"/>
    </xf>
    <xf numFmtId="0" fontId="2" fillId="23" borderId="24" xfId="0" applyFont="1" applyFill="1" applyBorder="1" applyAlignment="1">
      <alignment horizontal="center" vertical="center" wrapText="1"/>
    </xf>
    <xf numFmtId="0" fontId="2" fillId="0" borderId="18" xfId="0" applyFont="1" applyFill="1" applyBorder="1" applyAlignment="1">
      <alignment horizontal="center" vertical="center" wrapText="1"/>
    </xf>
    <xf numFmtId="9" fontId="6" fillId="0" borderId="24" xfId="1" applyFont="1" applyFill="1" applyBorder="1" applyAlignment="1">
      <alignment horizontal="center" vertical="center" wrapText="1"/>
    </xf>
    <xf numFmtId="0" fontId="2" fillId="0" borderId="52" xfId="0" applyFont="1" applyFill="1" applyBorder="1" applyAlignment="1">
      <alignment horizontal="center" vertical="center" wrapText="1"/>
    </xf>
    <xf numFmtId="0" fontId="52" fillId="0" borderId="0" xfId="0" applyFont="1" applyAlignment="1">
      <alignment vertical="center" wrapText="1"/>
    </xf>
    <xf numFmtId="0" fontId="0" fillId="0" borderId="11" xfId="0" applyBorder="1" applyAlignment="1">
      <alignment horizontal="center" vertical="center" wrapText="1"/>
    </xf>
    <xf numFmtId="9" fontId="0" fillId="0" borderId="11" xfId="0" applyNumberFormat="1" applyBorder="1" applyAlignment="1">
      <alignment horizontal="center" vertical="center" wrapText="1"/>
    </xf>
    <xf numFmtId="14" fontId="10" fillId="0" borderId="24" xfId="0" applyNumberFormat="1" applyFont="1" applyBorder="1" applyAlignment="1">
      <alignment horizontal="center" vertical="center" wrapText="1"/>
    </xf>
    <xf numFmtId="0" fontId="0" fillId="14" borderId="11" xfId="0" applyFill="1" applyBorder="1" applyAlignment="1">
      <alignment horizontal="center" vertical="center" wrapText="1"/>
    </xf>
    <xf numFmtId="0" fontId="0" fillId="0" borderId="11" xfId="0" applyFill="1" applyBorder="1" applyAlignment="1">
      <alignment horizontal="center" vertical="center" wrapText="1"/>
    </xf>
    <xf numFmtId="0" fontId="0" fillId="0" borderId="24" xfId="0" applyFill="1" applyBorder="1" applyAlignment="1">
      <alignment vertical="top" wrapText="1"/>
    </xf>
    <xf numFmtId="0" fontId="0" fillId="21" borderId="24" xfId="0" applyFill="1" applyBorder="1" applyAlignment="1">
      <alignment horizontal="center"/>
    </xf>
    <xf numFmtId="9" fontId="0" fillId="24" borderId="24" xfId="0" applyNumberFormat="1" applyFill="1" applyBorder="1" applyAlignment="1">
      <alignment horizontal="center" vertical="center"/>
    </xf>
    <xf numFmtId="0" fontId="0" fillId="0" borderId="0" xfId="0" pivotButton="1"/>
    <xf numFmtId="0" fontId="0" fillId="0" borderId="0" xfId="0" applyAlignment="1">
      <alignment horizontal="left"/>
    </xf>
    <xf numFmtId="9" fontId="0" fillId="0" borderId="0" xfId="0" applyNumberFormat="1"/>
    <xf numFmtId="0" fontId="5" fillId="26" borderId="10" xfId="0" applyFont="1" applyFill="1" applyBorder="1" applyAlignment="1">
      <alignment horizontal="center" vertical="center" wrapText="1"/>
    </xf>
    <xf numFmtId="165" fontId="26" fillId="7" borderId="24" xfId="0" applyNumberFormat="1" applyFont="1" applyFill="1" applyBorder="1" applyAlignment="1">
      <alignment horizontal="center" vertical="center"/>
    </xf>
    <xf numFmtId="0" fontId="5" fillId="5" borderId="45" xfId="0" applyFont="1" applyFill="1" applyBorder="1" applyAlignment="1">
      <alignment horizontal="center" vertical="center" wrapText="1"/>
    </xf>
    <xf numFmtId="165" fontId="0" fillId="0" borderId="0" xfId="0" applyNumberFormat="1"/>
    <xf numFmtId="9" fontId="27" fillId="0" borderId="0" xfId="0" applyNumberFormat="1" applyFont="1" applyAlignment="1">
      <alignment horizontal="center" vertical="center"/>
    </xf>
    <xf numFmtId="0" fontId="27" fillId="0" borderId="0" xfId="0" applyFont="1" applyAlignment="1">
      <alignment horizontal="left" vertical="center" wrapText="1"/>
    </xf>
    <xf numFmtId="0" fontId="0" fillId="0" borderId="0" xfId="0" applyAlignment="1">
      <alignment vertical="center"/>
    </xf>
    <xf numFmtId="0" fontId="27" fillId="0" borderId="0" xfId="0" applyFont="1"/>
    <xf numFmtId="0" fontId="0" fillId="0" borderId="55" xfId="0" applyBorder="1"/>
    <xf numFmtId="0" fontId="27" fillId="0" borderId="34" xfId="0" applyFont="1" applyBorder="1"/>
    <xf numFmtId="0" fontId="0" fillId="0" borderId="69" xfId="0" applyBorder="1"/>
    <xf numFmtId="0" fontId="0" fillId="0" borderId="24" xfId="0" applyBorder="1" applyAlignment="1">
      <alignment horizontal="center"/>
    </xf>
    <xf numFmtId="0" fontId="0" fillId="0" borderId="21" xfId="0" applyBorder="1" applyAlignment="1">
      <alignment horizontal="center"/>
    </xf>
    <xf numFmtId="0" fontId="0" fillId="0" borderId="24" xfId="0" applyBorder="1"/>
    <xf numFmtId="0" fontId="0" fillId="0" borderId="24" xfId="0" pivotButton="1" applyBorder="1" applyAlignment="1">
      <alignment horizontal="center" vertical="center"/>
    </xf>
    <xf numFmtId="0" fontId="0" fillId="0" borderId="24" xfId="0" pivotButton="1" applyBorder="1" applyAlignment="1">
      <alignment horizontal="center"/>
    </xf>
    <xf numFmtId="0" fontId="0" fillId="0" borderId="24" xfId="0" applyBorder="1" applyAlignment="1">
      <alignment horizontal="left"/>
    </xf>
    <xf numFmtId="0" fontId="0" fillId="0" borderId="24" xfId="0" applyNumberFormat="1" applyBorder="1" applyAlignment="1">
      <alignment horizontal="center"/>
    </xf>
    <xf numFmtId="0" fontId="0" fillId="0" borderId="57" xfId="0" pivotButton="1" applyBorder="1" applyAlignment="1">
      <alignment horizontal="center" vertical="center"/>
    </xf>
    <xf numFmtId="0" fontId="0" fillId="0" borderId="56" xfId="0" applyBorder="1" applyAlignment="1">
      <alignment horizontal="center" vertical="center"/>
    </xf>
    <xf numFmtId="0" fontId="0" fillId="0" borderId="58" xfId="0" applyBorder="1" applyAlignment="1">
      <alignment horizontal="center" vertical="center"/>
    </xf>
    <xf numFmtId="0" fontId="0" fillId="0" borderId="36" xfId="0" applyBorder="1" applyAlignment="1">
      <alignment horizontal="center" vertical="center"/>
    </xf>
    <xf numFmtId="9" fontId="0" fillId="0" borderId="12" xfId="0" applyNumberFormat="1" applyBorder="1" applyAlignment="1">
      <alignment horizontal="center" vertical="center"/>
    </xf>
    <xf numFmtId="9" fontId="0" fillId="0" borderId="21" xfId="0" applyNumberFormat="1" applyBorder="1" applyAlignment="1">
      <alignment horizontal="center" vertical="center"/>
    </xf>
    <xf numFmtId="9" fontId="0" fillId="0" borderId="70" xfId="0" applyNumberFormat="1" applyBorder="1" applyAlignment="1">
      <alignment horizontal="center" vertical="center" wrapText="1"/>
    </xf>
    <xf numFmtId="0" fontId="0" fillId="0" borderId="70" xfId="0" applyBorder="1" applyAlignment="1">
      <alignment horizontal="center" vertical="center" wrapText="1"/>
    </xf>
    <xf numFmtId="0" fontId="15" fillId="0" borderId="70" xfId="0" applyFont="1" applyBorder="1" applyAlignment="1">
      <alignment horizontal="left" vertical="center" wrapText="1"/>
    </xf>
    <xf numFmtId="0" fontId="27" fillId="0" borderId="71" xfId="0" pivotButton="1" applyFont="1" applyBorder="1" applyAlignment="1">
      <alignment horizontal="center" vertical="center" wrapText="1"/>
    </xf>
    <xf numFmtId="0" fontId="27" fillId="0" borderId="70" xfId="0" pivotButton="1" applyFont="1" applyBorder="1" applyAlignment="1">
      <alignment horizontal="center" vertical="center" wrapText="1"/>
    </xf>
    <xf numFmtId="0" fontId="0" fillId="0" borderId="24" xfId="0" applyFont="1" applyBorder="1" applyAlignment="1">
      <alignment horizontal="left" vertical="center" wrapText="1"/>
    </xf>
    <xf numFmtId="9" fontId="0" fillId="0" borderId="24" xfId="0" applyNumberFormat="1" applyFont="1" applyBorder="1" applyAlignment="1">
      <alignment horizontal="center" vertical="center"/>
    </xf>
    <xf numFmtId="9" fontId="0" fillId="0" borderId="24" xfId="0" applyNumberFormat="1" applyBorder="1" applyAlignment="1">
      <alignment horizontal="center"/>
    </xf>
    <xf numFmtId="0" fontId="0" fillId="0" borderId="24" xfId="0" applyFill="1" applyBorder="1"/>
    <xf numFmtId="0" fontId="0" fillId="6" borderId="0" xfId="0" applyFill="1"/>
    <xf numFmtId="0" fontId="0" fillId="0" borderId="0" xfId="0" applyFill="1"/>
    <xf numFmtId="0" fontId="0" fillId="0" borderId="24" xfId="0" applyFont="1" applyFill="1" applyBorder="1" applyAlignment="1">
      <alignment horizontal="left" vertical="center" wrapText="1"/>
    </xf>
    <xf numFmtId="0" fontId="0" fillId="0" borderId="24" xfId="0" applyNumberFormat="1" applyBorder="1"/>
    <xf numFmtId="9" fontId="0" fillId="0" borderId="24" xfId="1" applyFont="1" applyBorder="1"/>
    <xf numFmtId="9" fontId="0" fillId="0" borderId="0" xfId="1" applyFont="1" applyAlignment="1">
      <alignment horizontal="left"/>
    </xf>
    <xf numFmtId="0" fontId="27" fillId="7" borderId="13" xfId="0" applyFont="1" applyFill="1" applyBorder="1" applyAlignment="1">
      <alignment horizontal="center" vertical="center" wrapText="1"/>
    </xf>
    <xf numFmtId="0" fontId="27" fillId="21" borderId="13" xfId="0" applyFont="1" applyFill="1" applyBorder="1" applyAlignment="1">
      <alignment horizontal="center" vertical="center" wrapText="1"/>
    </xf>
    <xf numFmtId="0" fontId="54" fillId="25" borderId="73" xfId="0" applyFont="1" applyFill="1" applyBorder="1" applyAlignment="1">
      <alignment vertical="center" wrapText="1"/>
    </xf>
    <xf numFmtId="0" fontId="54" fillId="27" borderId="72" xfId="0" applyFont="1" applyFill="1" applyBorder="1" applyAlignment="1">
      <alignment vertical="center" wrapText="1"/>
    </xf>
    <xf numFmtId="9" fontId="0" fillId="0" borderId="24" xfId="0" applyNumberFormat="1" applyBorder="1"/>
    <xf numFmtId="0" fontId="0" fillId="0" borderId="24" xfId="0" applyBorder="1" applyAlignment="1">
      <alignment wrapText="1"/>
    </xf>
    <xf numFmtId="0" fontId="0" fillId="0" borderId="55" xfId="0" applyBorder="1" applyAlignment="1">
      <alignment horizontal="center" vertical="center" wrapText="1"/>
    </xf>
    <xf numFmtId="0" fontId="3" fillId="11" borderId="45" xfId="0" applyFont="1" applyFill="1" applyBorder="1" applyAlignment="1">
      <alignment horizontal="center" vertical="center" wrapText="1"/>
    </xf>
    <xf numFmtId="0" fontId="2" fillId="28" borderId="24" xfId="0" applyFont="1" applyFill="1" applyBorder="1" applyAlignment="1">
      <alignment horizontal="center" vertical="center" wrapText="1"/>
    </xf>
    <xf numFmtId="9" fontId="2" fillId="28" borderId="24" xfId="1" applyFont="1" applyFill="1" applyBorder="1" applyAlignment="1">
      <alignment horizontal="center" vertical="center" wrapText="1"/>
    </xf>
    <xf numFmtId="165" fontId="27" fillId="0" borderId="0" xfId="0" applyNumberFormat="1" applyFont="1" applyAlignment="1">
      <alignment horizontal="center" vertical="center"/>
    </xf>
    <xf numFmtId="0" fontId="0" fillId="0" borderId="74" xfId="0" applyBorder="1" applyAlignment="1">
      <alignment horizontal="center" vertical="center"/>
    </xf>
    <xf numFmtId="0" fontId="0" fillId="0" borderId="64" xfId="0" applyBorder="1" applyAlignment="1">
      <alignment horizontal="center" vertical="center" wrapText="1"/>
    </xf>
    <xf numFmtId="0" fontId="6" fillId="0" borderId="14" xfId="0" applyFont="1" applyFill="1" applyBorder="1" applyAlignment="1">
      <alignment horizontal="center" vertical="center" wrapText="1"/>
    </xf>
    <xf numFmtId="9" fontId="6" fillId="0" borderId="24" xfId="1" applyFont="1" applyFill="1" applyBorder="1" applyAlignment="1">
      <alignment horizontal="center" vertical="center" wrapText="1"/>
    </xf>
    <xf numFmtId="0" fontId="0" fillId="0" borderId="24" xfId="0" applyBorder="1" applyAlignment="1">
      <alignment horizontal="center" vertical="center" wrapText="1"/>
    </xf>
    <xf numFmtId="0" fontId="7" fillId="3" borderId="24" xfId="0" applyFont="1" applyFill="1" applyBorder="1" applyAlignment="1">
      <alignment horizontal="center" vertical="center" wrapText="1"/>
    </xf>
    <xf numFmtId="0" fontId="6" fillId="14" borderId="24" xfId="0" applyFont="1" applyFill="1" applyBorder="1" applyAlignment="1">
      <alignment horizontal="center" vertical="center" wrapText="1"/>
    </xf>
    <xf numFmtId="0" fontId="2" fillId="0" borderId="24"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13" fillId="0" borderId="14" xfId="0" applyFont="1" applyFill="1" applyBorder="1" applyAlignment="1">
      <alignment horizontal="center" vertical="center" wrapText="1"/>
    </xf>
    <xf numFmtId="9" fontId="0" fillId="0" borderId="24" xfId="0" applyNumberFormat="1" applyFont="1" applyBorder="1" applyAlignment="1">
      <alignment horizontal="center"/>
    </xf>
    <xf numFmtId="9" fontId="0" fillId="0" borderId="76" xfId="0" applyNumberFormat="1" applyFont="1" applyBorder="1" applyAlignment="1">
      <alignment horizontal="center" vertical="center"/>
    </xf>
    <xf numFmtId="9" fontId="0" fillId="0" borderId="77" xfId="0" applyNumberFormat="1" applyFont="1" applyBorder="1" applyAlignment="1">
      <alignment horizontal="center" vertical="center"/>
    </xf>
    <xf numFmtId="9" fontId="0" fillId="0" borderId="78" xfId="0" applyNumberFormat="1" applyFont="1" applyBorder="1" applyAlignment="1">
      <alignment horizontal="center" vertical="center"/>
    </xf>
    <xf numFmtId="0" fontId="0" fillId="0" borderId="0" xfId="0" applyBorder="1"/>
    <xf numFmtId="9" fontId="0" fillId="0" borderId="0" xfId="0" applyNumberFormat="1" applyFont="1" applyBorder="1" applyAlignment="1">
      <alignment horizontal="center" vertical="center"/>
    </xf>
    <xf numFmtId="0" fontId="10" fillId="29" borderId="39" xfId="0" applyFont="1" applyFill="1" applyBorder="1" applyAlignment="1">
      <alignment horizontal="center" vertical="center" wrapText="1"/>
    </xf>
    <xf numFmtId="0" fontId="10" fillId="29" borderId="24" xfId="0" applyFont="1" applyFill="1" applyBorder="1" applyAlignment="1">
      <alignment horizontal="center" vertical="center" wrapText="1"/>
    </xf>
    <xf numFmtId="0" fontId="6" fillId="29" borderId="12" xfId="0" applyFont="1" applyFill="1" applyBorder="1" applyAlignment="1">
      <alignment vertical="center" wrapText="1"/>
    </xf>
    <xf numFmtId="0" fontId="19" fillId="29" borderId="24" xfId="0" applyFont="1" applyFill="1" applyBorder="1" applyAlignment="1">
      <alignment vertical="center" wrapText="1"/>
    </xf>
    <xf numFmtId="0" fontId="6" fillId="29" borderId="12" xfId="0" applyFont="1" applyFill="1" applyBorder="1" applyAlignment="1">
      <alignment horizontal="center" vertical="center" wrapText="1"/>
    </xf>
    <xf numFmtId="0" fontId="6" fillId="29" borderId="14" xfId="0" applyFont="1" applyFill="1" applyBorder="1" applyAlignment="1">
      <alignment horizontal="center" vertical="center" wrapText="1"/>
    </xf>
    <xf numFmtId="9" fontId="6" fillId="29" borderId="12" xfId="1" applyNumberFormat="1" applyFont="1" applyFill="1" applyBorder="1" applyAlignment="1">
      <alignment horizontal="center" vertical="center" wrapText="1"/>
    </xf>
    <xf numFmtId="1" fontId="6" fillId="29" borderId="12" xfId="1" applyNumberFormat="1" applyFont="1" applyFill="1" applyBorder="1" applyAlignment="1">
      <alignment horizontal="center" vertical="center" wrapText="1"/>
    </xf>
    <xf numFmtId="0" fontId="10" fillId="0" borderId="39" xfId="0" applyFont="1" applyBorder="1" applyAlignment="1">
      <alignment horizontal="center" vertical="center" wrapText="1"/>
    </xf>
    <xf numFmtId="0" fontId="10" fillId="0" borderId="2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4" xfId="0" applyFont="1" applyBorder="1" applyAlignment="1">
      <alignment horizontal="center" vertical="center" wrapText="1"/>
    </xf>
    <xf numFmtId="9" fontId="6" fillId="0" borderId="12" xfId="1" applyNumberFormat="1" applyFont="1" applyBorder="1" applyAlignment="1">
      <alignment horizontal="center" vertical="center" wrapText="1"/>
    </xf>
    <xf numFmtId="1" fontId="6" fillId="0" borderId="12" xfId="1" applyNumberFormat="1" applyFont="1" applyBorder="1" applyAlignment="1">
      <alignment horizontal="center" vertical="center" wrapText="1"/>
    </xf>
    <xf numFmtId="1" fontId="6" fillId="0" borderId="24" xfId="1" applyNumberFormat="1" applyFont="1" applyBorder="1" applyAlignment="1">
      <alignment horizontal="center" vertical="center" wrapText="1"/>
    </xf>
    <xf numFmtId="9" fontId="6" fillId="0" borderId="24" xfId="1" applyNumberFormat="1" applyFont="1" applyBorder="1" applyAlignment="1">
      <alignment horizontal="center" vertical="center" wrapText="1"/>
    </xf>
    <xf numFmtId="0" fontId="6" fillId="29" borderId="24" xfId="0" applyFont="1" applyFill="1" applyBorder="1" applyAlignment="1">
      <alignment horizontal="center" vertical="center" wrapText="1"/>
    </xf>
    <xf numFmtId="1" fontId="6" fillId="29" borderId="24" xfId="1" applyNumberFormat="1" applyFont="1" applyFill="1" applyBorder="1" applyAlignment="1">
      <alignment horizontal="center" vertical="center" wrapText="1"/>
    </xf>
    <xf numFmtId="9" fontId="6" fillId="29" borderId="24" xfId="1" applyNumberFormat="1" applyFont="1" applyFill="1" applyBorder="1" applyAlignment="1">
      <alignment horizontal="center" vertical="center" wrapText="1"/>
    </xf>
    <xf numFmtId="10" fontId="6" fillId="0" borderId="24" xfId="1" applyNumberFormat="1" applyFont="1" applyBorder="1" applyAlignment="1">
      <alignment horizontal="center" vertical="center" wrapText="1"/>
    </xf>
    <xf numFmtId="10" fontId="6" fillId="29" borderId="24" xfId="1" applyNumberFormat="1" applyFont="1" applyFill="1" applyBorder="1" applyAlignment="1">
      <alignment horizontal="center" vertical="center" wrapText="1"/>
    </xf>
    <xf numFmtId="1" fontId="6" fillId="29" borderId="17" xfId="1" applyNumberFormat="1" applyFont="1" applyFill="1" applyBorder="1" applyAlignment="1">
      <alignment horizontal="center" vertical="center" wrapText="1"/>
    </xf>
    <xf numFmtId="9" fontId="6" fillId="29" borderId="17" xfId="1" applyNumberFormat="1" applyFont="1" applyFill="1" applyBorder="1" applyAlignment="1">
      <alignment horizontal="center" vertical="center" wrapText="1"/>
    </xf>
    <xf numFmtId="0" fontId="6" fillId="0" borderId="36" xfId="0" applyFont="1" applyBorder="1" applyAlignment="1">
      <alignment horizontal="center" vertical="center" wrapText="1"/>
    </xf>
    <xf numFmtId="0" fontId="6" fillId="29" borderId="36" xfId="0" applyFont="1" applyFill="1" applyBorder="1" applyAlignment="1">
      <alignment horizontal="center" vertical="center" wrapText="1"/>
    </xf>
    <xf numFmtId="0" fontId="6" fillId="0" borderId="14" xfId="0" applyFont="1" applyBorder="1" applyAlignment="1">
      <alignment horizontal="left" vertical="center" wrapText="1"/>
    </xf>
    <xf numFmtId="10" fontId="6" fillId="0" borderId="12" xfId="1" applyNumberFormat="1" applyFont="1" applyBorder="1" applyAlignment="1">
      <alignment horizontal="center" vertical="center" wrapText="1"/>
    </xf>
    <xf numFmtId="0" fontId="6" fillId="29" borderId="14" xfId="0" applyFont="1" applyFill="1" applyBorder="1" applyAlignment="1">
      <alignment horizontal="left" vertical="center" wrapText="1"/>
    </xf>
    <xf numFmtId="10" fontId="6" fillId="29" borderId="12" xfId="1" applyNumberFormat="1" applyFont="1" applyFill="1" applyBorder="1" applyAlignment="1">
      <alignment horizontal="center" vertical="center" wrapText="1"/>
    </xf>
    <xf numFmtId="0" fontId="2" fillId="0" borderId="14" xfId="0" applyFont="1" applyBorder="1" applyAlignment="1">
      <alignment vertical="center" wrapText="1"/>
    </xf>
    <xf numFmtId="9" fontId="6" fillId="0" borderId="12" xfId="1" applyNumberFormat="1" applyFont="1" applyBorder="1" applyAlignment="1">
      <alignment horizontal="left" vertical="center" wrapText="1"/>
    </xf>
    <xf numFmtId="0" fontId="6" fillId="29" borderId="24" xfId="0" applyFont="1" applyFill="1" applyBorder="1" applyAlignment="1">
      <alignment horizontal="left" vertical="center" wrapText="1"/>
    </xf>
    <xf numFmtId="0" fontId="10" fillId="29" borderId="12" xfId="0" applyFont="1" applyFill="1" applyBorder="1" applyAlignment="1">
      <alignment vertical="center" wrapText="1"/>
    </xf>
    <xf numFmtId="0" fontId="6" fillId="0" borderId="25" xfId="0" applyFont="1" applyBorder="1" applyAlignment="1">
      <alignment horizontal="center" vertical="center" wrapText="1"/>
    </xf>
    <xf numFmtId="1" fontId="6" fillId="0" borderId="17" xfId="1" applyNumberFormat="1" applyFont="1" applyBorder="1" applyAlignment="1">
      <alignment horizontal="center" vertical="center" wrapText="1"/>
    </xf>
    <xf numFmtId="9" fontId="6" fillId="0" borderId="17" xfId="1" applyNumberFormat="1" applyFont="1" applyBorder="1" applyAlignment="1">
      <alignment horizontal="center" vertical="center" wrapText="1"/>
    </xf>
    <xf numFmtId="9" fontId="6" fillId="29" borderId="56" xfId="1" applyNumberFormat="1" applyFont="1" applyFill="1" applyBorder="1" applyAlignment="1">
      <alignment horizontal="center" vertical="center" wrapText="1"/>
    </xf>
    <xf numFmtId="9" fontId="2" fillId="0" borderId="24" xfId="0" applyNumberFormat="1" applyFont="1" applyBorder="1" applyAlignment="1">
      <alignment horizontal="center" vertical="center" wrapText="1"/>
    </xf>
    <xf numFmtId="9" fontId="2" fillId="29" borderId="24" xfId="0" applyNumberFormat="1" applyFont="1" applyFill="1" applyBorder="1" applyAlignment="1">
      <alignment horizontal="center" vertical="center" wrapText="1"/>
    </xf>
    <xf numFmtId="0" fontId="0" fillId="0" borderId="24" xfId="0" applyFont="1" applyBorder="1" applyAlignment="1">
      <alignment vertical="center" wrapText="1"/>
    </xf>
    <xf numFmtId="0" fontId="10" fillId="0" borderId="12" xfId="0" applyFont="1" applyBorder="1" applyAlignment="1">
      <alignment horizontal="center" vertical="center" wrapText="1"/>
    </xf>
    <xf numFmtId="0" fontId="0" fillId="29" borderId="24" xfId="0" applyFont="1" applyFill="1" applyBorder="1" applyAlignment="1">
      <alignment vertical="center" wrapText="1"/>
    </xf>
    <xf numFmtId="0" fontId="10" fillId="29" borderId="12" xfId="0" applyFont="1" applyFill="1" applyBorder="1" applyAlignment="1">
      <alignment horizontal="center" vertical="center" wrapText="1"/>
    </xf>
    <xf numFmtId="9" fontId="6" fillId="29" borderId="64" xfId="1" applyNumberFormat="1" applyFont="1" applyFill="1" applyBorder="1" applyAlignment="1">
      <alignment horizontal="center" vertical="center" wrapText="1"/>
    </xf>
    <xf numFmtId="0" fontId="6" fillId="0" borderId="79" xfId="0" applyFont="1" applyBorder="1" applyAlignment="1">
      <alignment horizontal="center" vertical="center" wrapText="1"/>
    </xf>
    <xf numFmtId="9" fontId="6" fillId="0" borderId="64" xfId="1" applyNumberFormat="1" applyFont="1" applyBorder="1" applyAlignment="1">
      <alignment horizontal="center" vertical="center" wrapText="1"/>
    </xf>
    <xf numFmtId="9" fontId="6" fillId="0" borderId="75" xfId="1" applyNumberFormat="1" applyFont="1" applyBorder="1" applyAlignment="1">
      <alignment horizontal="center" vertical="center" wrapText="1"/>
    </xf>
    <xf numFmtId="10" fontId="12" fillId="20" borderId="12" xfId="1" applyNumberFormat="1" applyFont="1" applyFill="1" applyBorder="1" applyAlignment="1">
      <alignment horizontal="center" vertical="center" wrapText="1"/>
    </xf>
    <xf numFmtId="1" fontId="12" fillId="20" borderId="24" xfId="0" applyNumberFormat="1" applyFont="1" applyFill="1" applyBorder="1" applyAlignment="1">
      <alignment horizontal="center" vertical="center" wrapText="1"/>
    </xf>
    <xf numFmtId="0" fontId="2" fillId="20" borderId="24" xfId="0" applyFont="1" applyFill="1" applyBorder="1" applyAlignment="1">
      <alignment horizontal="center" vertical="center" wrapText="1"/>
    </xf>
    <xf numFmtId="14" fontId="2" fillId="20" borderId="24" xfId="0" applyNumberFormat="1" applyFont="1" applyFill="1" applyBorder="1" applyAlignment="1">
      <alignment horizontal="center" vertical="center" wrapText="1"/>
    </xf>
    <xf numFmtId="9" fontId="12" fillId="20" borderId="24" xfId="0" applyNumberFormat="1" applyFont="1" applyFill="1" applyBorder="1" applyAlignment="1">
      <alignment horizontal="center" vertical="center" wrapText="1"/>
    </xf>
    <xf numFmtId="1" fontId="2" fillId="20" borderId="24" xfId="0" applyNumberFormat="1" applyFont="1" applyFill="1" applyBorder="1" applyAlignment="1">
      <alignment horizontal="center" vertical="center" wrapText="1"/>
    </xf>
    <xf numFmtId="1" fontId="12" fillId="29" borderId="24" xfId="1" applyNumberFormat="1" applyFont="1" applyFill="1" applyBorder="1" applyAlignment="1">
      <alignment horizontal="center" vertical="center" wrapText="1"/>
    </xf>
    <xf numFmtId="9" fontId="12" fillId="29" borderId="24" xfId="1" applyNumberFormat="1" applyFont="1" applyFill="1" applyBorder="1" applyAlignment="1">
      <alignment horizontal="center" vertical="center" wrapText="1"/>
    </xf>
    <xf numFmtId="0" fontId="17" fillId="29" borderId="24" xfId="0" applyFont="1" applyFill="1" applyBorder="1" applyAlignment="1">
      <alignment horizontal="center" vertical="center" wrapText="1"/>
    </xf>
    <xf numFmtId="0" fontId="17" fillId="0" borderId="24" xfId="0" applyFont="1" applyBorder="1" applyAlignment="1">
      <alignment horizontal="center" vertical="center" wrapText="1"/>
    </xf>
    <xf numFmtId="1" fontId="12" fillId="0" borderId="24" xfId="1" applyNumberFormat="1" applyFont="1" applyBorder="1" applyAlignment="1">
      <alignment horizontal="center" vertical="center" wrapText="1"/>
    </xf>
    <xf numFmtId="9" fontId="2" fillId="0" borderId="24" xfId="1" applyNumberFormat="1" applyFont="1" applyBorder="1" applyAlignment="1">
      <alignment horizontal="center" vertical="center" wrapText="1"/>
    </xf>
    <xf numFmtId="0" fontId="18" fillId="29" borderId="24" xfId="0" applyFont="1" applyFill="1" applyBorder="1" applyAlignment="1">
      <alignment horizontal="center" vertical="center" wrapText="1"/>
    </xf>
    <xf numFmtId="9" fontId="2" fillId="20" borderId="24" xfId="1" applyNumberFormat="1" applyFont="1" applyFill="1" applyBorder="1" applyAlignment="1">
      <alignment horizontal="center" vertical="center" wrapText="1"/>
    </xf>
    <xf numFmtId="1" fontId="2" fillId="20" borderId="24" xfId="1" applyNumberFormat="1" applyFont="1" applyFill="1" applyBorder="1" applyAlignment="1">
      <alignment horizontal="center" vertical="center" wrapText="1"/>
    </xf>
    <xf numFmtId="0" fontId="17" fillId="20" borderId="24" xfId="0" applyFont="1" applyFill="1" applyBorder="1" applyAlignment="1">
      <alignment horizontal="center" vertical="center" wrapText="1"/>
    </xf>
    <xf numFmtId="1" fontId="12" fillId="20" borderId="24" xfId="1" applyNumberFormat="1" applyFont="1" applyFill="1" applyBorder="1" applyAlignment="1">
      <alignment horizontal="center" vertical="center" wrapText="1"/>
    </xf>
    <xf numFmtId="9" fontId="12" fillId="20" borderId="24" xfId="1" applyNumberFormat="1" applyFont="1" applyFill="1" applyBorder="1" applyAlignment="1">
      <alignment horizontal="center" vertical="center" wrapText="1"/>
    </xf>
    <xf numFmtId="0" fontId="2" fillId="20" borderId="24" xfId="0" applyFont="1" applyFill="1" applyBorder="1" applyAlignment="1">
      <alignment vertical="center" wrapText="1"/>
    </xf>
    <xf numFmtId="9" fontId="6" fillId="20" borderId="12" xfId="1" applyNumberFormat="1" applyFont="1" applyFill="1" applyBorder="1" applyAlignment="1">
      <alignment horizontal="center" vertical="center" wrapText="1"/>
    </xf>
    <xf numFmtId="0" fontId="10" fillId="0" borderId="81" xfId="0" applyFont="1" applyBorder="1" applyAlignment="1">
      <alignment horizontal="center" vertical="center" wrapText="1"/>
    </xf>
    <xf numFmtId="0" fontId="10" fillId="0" borderId="82" xfId="0" applyFont="1" applyBorder="1" applyAlignment="1">
      <alignment horizontal="center" vertical="center" wrapText="1"/>
    </xf>
    <xf numFmtId="0" fontId="6" fillId="0" borderId="82" xfId="0" applyFont="1" applyBorder="1" applyAlignment="1">
      <alignment vertical="center" wrapText="1"/>
    </xf>
    <xf numFmtId="0" fontId="19" fillId="0" borderId="82" xfId="0" applyFont="1" applyBorder="1" applyAlignment="1">
      <alignment vertical="center" wrapText="1"/>
    </xf>
    <xf numFmtId="0" fontId="2" fillId="28" borderId="24" xfId="0" applyNumberFormat="1" applyFont="1" applyFill="1" applyBorder="1" applyAlignment="1">
      <alignment horizontal="center" vertical="center" wrapText="1"/>
    </xf>
    <xf numFmtId="1" fontId="6" fillId="28" borderId="24" xfId="1" applyNumberFormat="1" applyFont="1" applyFill="1" applyBorder="1" applyAlignment="1">
      <alignment horizontal="center" vertical="center" wrapText="1"/>
    </xf>
    <xf numFmtId="9" fontId="6" fillId="28" borderId="24" xfId="1" applyNumberFormat="1" applyFont="1" applyFill="1" applyBorder="1" applyAlignment="1">
      <alignment horizontal="center" vertical="center" wrapText="1"/>
    </xf>
    <xf numFmtId="9" fontId="0" fillId="28" borderId="24" xfId="1" applyFont="1" applyFill="1" applyBorder="1" applyAlignment="1">
      <alignment horizontal="center" vertical="center" wrapText="1"/>
    </xf>
    <xf numFmtId="9" fontId="0" fillId="0" borderId="24" xfId="1" applyFont="1" applyBorder="1" applyAlignment="1">
      <alignment horizontal="center" vertical="center" wrapText="1"/>
    </xf>
    <xf numFmtId="0" fontId="0" fillId="0" borderId="0" xfId="0" applyFont="1"/>
    <xf numFmtId="0" fontId="6" fillId="33" borderId="14" xfId="0" applyFont="1" applyFill="1" applyBorder="1" applyAlignment="1">
      <alignment horizontal="left" vertical="center" wrapText="1"/>
    </xf>
    <xf numFmtId="0" fontId="6" fillId="33" borderId="24" xfId="0" applyFont="1" applyFill="1" applyBorder="1" applyAlignment="1">
      <alignment horizontal="center" vertical="center" wrapText="1"/>
    </xf>
    <xf numFmtId="0" fontId="6" fillId="33" borderId="25" xfId="0" applyFont="1" applyFill="1" applyBorder="1" applyAlignment="1">
      <alignment horizontal="center" vertical="center" wrapText="1"/>
    </xf>
    <xf numFmtId="0" fontId="6" fillId="33" borderId="14" xfId="0" applyFont="1" applyFill="1" applyBorder="1" applyAlignment="1">
      <alignment horizontal="center" vertical="center" wrapText="1"/>
    </xf>
    <xf numFmtId="0" fontId="6" fillId="33" borderId="75" xfId="0" applyFont="1" applyFill="1" applyBorder="1" applyAlignment="1">
      <alignment horizontal="center" vertical="center" wrapText="1"/>
    </xf>
    <xf numFmtId="0" fontId="6" fillId="33" borderId="79" xfId="0" applyFont="1" applyFill="1" applyBorder="1" applyAlignment="1">
      <alignment horizontal="center" vertical="center" wrapText="1"/>
    </xf>
    <xf numFmtId="0" fontId="55" fillId="0" borderId="19" xfId="0" applyFont="1" applyFill="1" applyBorder="1" applyAlignment="1">
      <alignment horizontal="center" vertical="center" wrapText="1"/>
    </xf>
    <xf numFmtId="9" fontId="0" fillId="0" borderId="24" xfId="0" applyNumberFormat="1" applyBorder="1" applyAlignment="1">
      <alignment horizontal="center" vertical="center" wrapText="1"/>
    </xf>
    <xf numFmtId="14" fontId="8" fillId="0" borderId="24" xfId="0" applyNumberFormat="1" applyFont="1" applyBorder="1" applyAlignment="1">
      <alignment horizontal="center" vertical="center"/>
    </xf>
    <xf numFmtId="14" fontId="8" fillId="0" borderId="24" xfId="0" applyNumberFormat="1" applyFont="1" applyBorder="1" applyAlignment="1">
      <alignment horizontal="center" vertical="center" wrapText="1"/>
    </xf>
    <xf numFmtId="9" fontId="0" fillId="0" borderId="24" xfId="0" applyNumberFormat="1" applyFill="1" applyBorder="1" applyAlignment="1">
      <alignment horizontal="center" vertical="center"/>
    </xf>
    <xf numFmtId="9" fontId="6" fillId="0" borderId="24" xfId="1" applyFont="1" applyBorder="1" applyAlignment="1">
      <alignment horizontal="center" vertical="center" wrapText="1"/>
    </xf>
    <xf numFmtId="0" fontId="6" fillId="20" borderId="24" xfId="0" applyFont="1" applyFill="1" applyBorder="1" applyAlignment="1">
      <alignment vertical="center" wrapText="1"/>
    </xf>
    <xf numFmtId="9" fontId="6" fillId="0" borderId="24" xfId="1" applyFont="1" applyBorder="1" applyAlignment="1">
      <alignment vertical="center" wrapText="1"/>
    </xf>
    <xf numFmtId="9" fontId="0" fillId="0" borderId="24" xfId="1" applyFont="1" applyBorder="1" applyAlignment="1">
      <alignment horizontal="center" vertical="center"/>
    </xf>
    <xf numFmtId="9" fontId="6" fillId="20" borderId="24" xfId="1" applyFont="1" applyFill="1" applyBorder="1" applyAlignment="1">
      <alignment vertical="center" wrapText="1"/>
    </xf>
    <xf numFmtId="9" fontId="0" fillId="0" borderId="24" xfId="1" applyNumberFormat="1" applyFont="1" applyBorder="1" applyAlignment="1">
      <alignment horizontal="center" vertical="center"/>
    </xf>
    <xf numFmtId="0" fontId="0" fillId="20" borderId="24" xfId="0" applyFill="1" applyBorder="1" applyAlignment="1">
      <alignment horizontal="center" vertical="center" wrapText="1"/>
    </xf>
    <xf numFmtId="0" fontId="6" fillId="14" borderId="24" xfId="0" applyFont="1" applyFill="1" applyBorder="1" applyAlignment="1">
      <alignment vertical="center" wrapText="1"/>
    </xf>
    <xf numFmtId="9" fontId="0" fillId="0" borderId="24" xfId="0" applyNumberFormat="1" applyFont="1" applyFill="1" applyBorder="1" applyAlignment="1">
      <alignment horizontal="center" vertical="center" wrapText="1"/>
    </xf>
    <xf numFmtId="0" fontId="8" fillId="0" borderId="24" xfId="0" applyFont="1" applyBorder="1" applyAlignment="1">
      <alignment horizontal="center" vertical="center" wrapText="1"/>
    </xf>
    <xf numFmtId="14" fontId="0" fillId="0" borderId="24" xfId="0" applyNumberFormat="1" applyBorder="1" applyAlignment="1">
      <alignment horizontal="center" vertical="center" wrapText="1"/>
    </xf>
    <xf numFmtId="10" fontId="6" fillId="0" borderId="24" xfId="0" applyNumberFormat="1" applyFont="1" applyBorder="1" applyAlignment="1">
      <alignment horizontal="center" vertical="center" wrapText="1"/>
    </xf>
    <xf numFmtId="1" fontId="6" fillId="0" borderId="24" xfId="1" applyNumberFormat="1" applyFont="1" applyBorder="1" applyAlignment="1">
      <alignment vertical="center" wrapText="1"/>
    </xf>
    <xf numFmtId="9" fontId="6" fillId="20" borderId="24" xfId="1" applyFont="1" applyFill="1" applyBorder="1" applyAlignment="1">
      <alignment horizontal="center" vertical="center" wrapText="1"/>
    </xf>
    <xf numFmtId="0" fontId="0" fillId="20" borderId="24" xfId="0" applyFill="1" applyBorder="1" applyAlignment="1">
      <alignment horizontal="center" vertical="center"/>
    </xf>
    <xf numFmtId="0" fontId="0" fillId="20" borderId="24" xfId="0" applyFill="1" applyBorder="1"/>
    <xf numFmtId="9" fontId="0" fillId="20" borderId="24" xfId="0" applyNumberFormat="1" applyFill="1" applyBorder="1" applyAlignment="1">
      <alignment horizontal="center" vertical="center" wrapText="1"/>
    </xf>
    <xf numFmtId="14" fontId="8" fillId="20" borderId="24" xfId="0" applyNumberFormat="1" applyFont="1" applyFill="1" applyBorder="1" applyAlignment="1">
      <alignment horizontal="center" vertical="center"/>
    </xf>
    <xf numFmtId="14" fontId="8" fillId="20" borderId="24" xfId="0" applyNumberFormat="1" applyFont="1" applyFill="1" applyBorder="1" applyAlignment="1">
      <alignment horizontal="center" vertical="center" wrapText="1"/>
    </xf>
    <xf numFmtId="9" fontId="57" fillId="20" borderId="24" xfId="0" applyNumberFormat="1" applyFont="1" applyFill="1" applyBorder="1" applyAlignment="1">
      <alignment horizontal="center" vertical="center" wrapText="1"/>
    </xf>
    <xf numFmtId="14" fontId="55" fillId="20" borderId="24" xfId="0" applyNumberFormat="1" applyFont="1" applyFill="1" applyBorder="1" applyAlignment="1">
      <alignment horizontal="center" vertical="center"/>
    </xf>
    <xf numFmtId="14" fontId="55" fillId="20" borderId="24" xfId="0" applyNumberFormat="1" applyFont="1" applyFill="1" applyBorder="1" applyAlignment="1">
      <alignment horizontal="center" vertical="center" wrapText="1"/>
    </xf>
    <xf numFmtId="9" fontId="35" fillId="0" borderId="24" xfId="0" applyNumberFormat="1" applyFont="1" applyBorder="1" applyAlignment="1">
      <alignment horizontal="center" vertical="center"/>
    </xf>
    <xf numFmtId="0" fontId="57" fillId="14" borderId="24" xfId="0" applyFont="1" applyFill="1" applyBorder="1" applyAlignment="1">
      <alignment horizontal="left" vertical="center" wrapText="1"/>
    </xf>
    <xf numFmtId="14" fontId="2" fillId="20" borderId="24" xfId="0" applyNumberFormat="1" applyFont="1" applyFill="1" applyBorder="1" applyAlignment="1">
      <alignment vertical="center" wrapText="1"/>
    </xf>
    <xf numFmtId="0" fontId="0" fillId="20" borderId="24" xfId="0" applyFill="1" applyBorder="1" applyAlignment="1">
      <alignment horizontal="left" vertical="center" wrapText="1"/>
    </xf>
    <xf numFmtId="14" fontId="0" fillId="20" borderId="24" xfId="0" applyNumberFormat="1" applyFill="1" applyBorder="1" applyAlignment="1">
      <alignment horizontal="center" vertical="center" wrapText="1"/>
    </xf>
    <xf numFmtId="9" fontId="0" fillId="20" borderId="24" xfId="0" applyNumberFormat="1" applyFill="1" applyBorder="1" applyAlignment="1">
      <alignment horizontal="center" vertical="center"/>
    </xf>
    <xf numFmtId="0" fontId="0" fillId="14" borderId="24" xfId="0" applyFill="1" applyBorder="1" applyAlignment="1">
      <alignment horizontal="left" vertical="center" wrapText="1"/>
    </xf>
    <xf numFmtId="9" fontId="0" fillId="20" borderId="24" xfId="1" applyFont="1" applyFill="1" applyBorder="1" applyAlignment="1">
      <alignment horizontal="left" vertical="center" wrapText="1"/>
    </xf>
    <xf numFmtId="9" fontId="2" fillId="20" borderId="24" xfId="1" applyFont="1" applyFill="1" applyBorder="1" applyAlignment="1">
      <alignment vertical="center" wrapText="1"/>
    </xf>
    <xf numFmtId="0" fontId="19" fillId="20" borderId="24" xfId="0" applyFont="1" applyFill="1" applyBorder="1" applyAlignment="1">
      <alignment horizontal="left" vertical="center" wrapText="1"/>
    </xf>
    <xf numFmtId="9" fontId="0" fillId="20" borderId="24" xfId="0" applyNumberFormat="1" applyFont="1" applyFill="1" applyBorder="1" applyAlignment="1">
      <alignment horizontal="center" vertical="center" wrapText="1"/>
    </xf>
    <xf numFmtId="9" fontId="0" fillId="20" borderId="24" xfId="0" applyNumberFormat="1" applyFill="1" applyBorder="1" applyAlignment="1">
      <alignment horizontal="left" vertical="center" wrapText="1"/>
    </xf>
    <xf numFmtId="9" fontId="0" fillId="20" borderId="24" xfId="1" applyFont="1" applyFill="1" applyBorder="1" applyAlignment="1">
      <alignment horizontal="center" vertical="center"/>
    </xf>
    <xf numFmtId="9" fontId="0" fillId="14" borderId="24" xfId="0" applyNumberFormat="1" applyFill="1" applyBorder="1" applyAlignment="1">
      <alignment horizontal="left" vertical="center" wrapText="1"/>
    </xf>
    <xf numFmtId="0" fontId="15" fillId="20" borderId="24"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6" fillId="20" borderId="24" xfId="0" applyFont="1" applyFill="1" applyBorder="1" applyAlignment="1">
      <alignment horizontal="center" vertical="center" wrapText="1"/>
    </xf>
    <xf numFmtId="9" fontId="6" fillId="0" borderId="24" xfId="1" applyFont="1" applyFill="1" applyBorder="1" applyAlignment="1">
      <alignment vertical="center" wrapText="1"/>
    </xf>
    <xf numFmtId="0" fontId="6" fillId="30" borderId="14" xfId="0" applyFont="1" applyFill="1" applyBorder="1" applyAlignment="1">
      <alignment horizontal="center" vertical="center" wrapText="1"/>
    </xf>
    <xf numFmtId="0" fontId="2" fillId="14" borderId="24" xfId="0" applyFont="1" applyFill="1" applyBorder="1" applyAlignment="1">
      <alignment vertical="center" wrapText="1"/>
    </xf>
    <xf numFmtId="0" fontId="55" fillId="20" borderId="24" xfId="0" applyFont="1" applyFill="1" applyBorder="1" applyAlignment="1">
      <alignment vertical="center" wrapText="1"/>
    </xf>
    <xf numFmtId="0" fontId="55" fillId="20" borderId="80" xfId="0" applyFont="1" applyFill="1" applyBorder="1" applyAlignment="1">
      <alignment horizontal="center" vertical="center" wrapText="1"/>
    </xf>
    <xf numFmtId="165" fontId="2" fillId="20" borderId="24" xfId="1" applyNumberFormat="1" applyFont="1" applyFill="1" applyBorder="1" applyAlignment="1">
      <alignment vertical="center" wrapText="1"/>
    </xf>
    <xf numFmtId="0" fontId="17" fillId="20" borderId="24" xfId="0" applyFont="1" applyFill="1" applyBorder="1" applyAlignment="1">
      <alignment vertical="center" wrapText="1"/>
    </xf>
    <xf numFmtId="0" fontId="18" fillId="20" borderId="24" xfId="0" applyFont="1" applyFill="1" applyBorder="1" applyAlignment="1">
      <alignment vertical="center" wrapText="1"/>
    </xf>
    <xf numFmtId="0" fontId="13" fillId="20" borderId="24" xfId="0" applyFont="1" applyFill="1" applyBorder="1" applyAlignment="1">
      <alignment vertical="center" wrapText="1"/>
    </xf>
    <xf numFmtId="0" fontId="13" fillId="14" borderId="24" xfId="0" applyFont="1" applyFill="1" applyBorder="1" applyAlignment="1">
      <alignment vertical="center" wrapText="1"/>
    </xf>
    <xf numFmtId="9" fontId="0" fillId="0" borderId="24" xfId="1" applyFont="1" applyFill="1" applyBorder="1" applyAlignment="1">
      <alignment horizontal="center" vertical="center"/>
    </xf>
    <xf numFmtId="0" fontId="10" fillId="0" borderId="24" xfId="0" applyFont="1" applyBorder="1" applyAlignment="1">
      <alignment vertical="center" wrapText="1"/>
    </xf>
    <xf numFmtId="0" fontId="0" fillId="0" borderId="24" xfId="0" applyBorder="1" applyAlignment="1">
      <alignment vertical="center" wrapText="1"/>
    </xf>
    <xf numFmtId="9" fontId="6" fillId="0" borderId="24" xfId="1" applyFont="1" applyFill="1" applyBorder="1" applyAlignment="1">
      <alignment horizontal="center" vertical="center" wrapText="1"/>
    </xf>
    <xf numFmtId="1" fontId="6" fillId="0" borderId="24" xfId="1" applyNumberFormat="1" applyFont="1" applyFill="1" applyBorder="1" applyAlignment="1">
      <alignment horizontal="center" vertical="center" wrapText="1"/>
    </xf>
    <xf numFmtId="9" fontId="6" fillId="0" borderId="24" xfId="1" applyFont="1" applyBorder="1" applyAlignment="1">
      <alignment horizontal="center" vertical="center" wrapText="1"/>
    </xf>
    <xf numFmtId="9" fontId="6" fillId="20" borderId="24" xfId="1" applyFont="1" applyFill="1" applyBorder="1" applyAlignment="1">
      <alignment horizontal="center" vertical="center" wrapText="1"/>
    </xf>
    <xf numFmtId="0" fontId="6" fillId="0" borderId="24" xfId="0" applyFont="1" applyBorder="1" applyAlignment="1">
      <alignment horizontal="center" vertical="center" wrapText="1"/>
    </xf>
    <xf numFmtId="1" fontId="6" fillId="0" borderId="24" xfId="1" applyNumberFormat="1" applyFont="1" applyBorder="1" applyAlignment="1">
      <alignment horizontal="center" vertical="center" wrapText="1"/>
    </xf>
    <xf numFmtId="9" fontId="55" fillId="20" borderId="24" xfId="1" applyFont="1" applyFill="1" applyBorder="1" applyAlignment="1">
      <alignment horizontal="center" vertical="center" wrapText="1"/>
    </xf>
    <xf numFmtId="9" fontId="12" fillId="20" borderId="24" xfId="1" applyFont="1" applyFill="1" applyBorder="1" applyAlignment="1">
      <alignment horizontal="center" vertical="center" wrapText="1"/>
    </xf>
    <xf numFmtId="0" fontId="12" fillId="20" borderId="24" xfId="0" applyFont="1" applyFill="1" applyBorder="1" applyAlignment="1">
      <alignment horizontal="center" vertical="center" wrapText="1"/>
    </xf>
    <xf numFmtId="0" fontId="0" fillId="0" borderId="24" xfId="0" applyBorder="1" applyAlignment="1">
      <alignment horizontal="center" vertical="top" wrapText="1"/>
    </xf>
    <xf numFmtId="9" fontId="6" fillId="0" borderId="24" xfId="1" applyFont="1" applyFill="1" applyBorder="1" applyAlignment="1">
      <alignment horizontal="center" vertical="center" wrapText="1"/>
    </xf>
    <xf numFmtId="0" fontId="0" fillId="0" borderId="24" xfId="0" applyBorder="1" applyAlignment="1">
      <alignment horizontal="center" vertical="center" wrapText="1"/>
    </xf>
    <xf numFmtId="1" fontId="6" fillId="0" borderId="24" xfId="1" applyNumberFormat="1" applyFont="1" applyFill="1" applyBorder="1" applyAlignment="1">
      <alignment horizontal="center" vertical="center" wrapText="1"/>
    </xf>
    <xf numFmtId="0" fontId="6" fillId="0" borderId="24" xfId="0" applyFont="1" applyFill="1" applyBorder="1" applyAlignment="1">
      <alignment horizontal="center" vertical="center" wrapText="1"/>
    </xf>
    <xf numFmtId="0" fontId="7" fillId="3" borderId="12" xfId="0" applyFont="1" applyFill="1" applyBorder="1" applyAlignment="1">
      <alignment horizontal="center" vertical="center" wrapText="1"/>
    </xf>
    <xf numFmtId="9" fontId="6" fillId="0" borderId="24" xfId="1" applyFont="1" applyBorder="1" applyAlignment="1">
      <alignment horizontal="center" vertical="center" wrapText="1"/>
    </xf>
    <xf numFmtId="0" fontId="0" fillId="0" borderId="0" xfId="0"/>
    <xf numFmtId="0" fontId="10" fillId="0" borderId="24" xfId="0" applyFont="1" applyBorder="1" applyAlignment="1">
      <alignment horizontal="center" vertical="center" wrapText="1"/>
    </xf>
    <xf numFmtId="0" fontId="15" fillId="20" borderId="24" xfId="0" applyFont="1" applyFill="1" applyBorder="1" applyAlignment="1">
      <alignment horizontal="left" vertical="top" wrapText="1"/>
    </xf>
    <xf numFmtId="9" fontId="0" fillId="14" borderId="24" xfId="0" applyNumberFormat="1" applyFill="1" applyBorder="1" applyAlignment="1">
      <alignment horizontal="left" vertical="top" wrapText="1"/>
    </xf>
    <xf numFmtId="0" fontId="34" fillId="20" borderId="24" xfId="0" applyFont="1" applyFill="1" applyBorder="1" applyAlignment="1">
      <alignment vertical="center" wrapText="1"/>
    </xf>
    <xf numFmtId="0" fontId="57" fillId="14" borderId="24" xfId="0" applyFont="1" applyFill="1" applyBorder="1" applyAlignment="1">
      <alignment horizontal="left" vertical="top" wrapText="1"/>
    </xf>
    <xf numFmtId="0" fontId="56" fillId="0" borderId="24" xfId="0" applyFont="1" applyBorder="1" applyAlignment="1">
      <alignment horizontal="left" vertical="top" wrapText="1"/>
    </xf>
    <xf numFmtId="0" fontId="56" fillId="20" borderId="24" xfId="0" applyFont="1" applyFill="1" applyBorder="1" applyAlignment="1">
      <alignment horizontal="left" vertical="top" wrapText="1"/>
    </xf>
    <xf numFmtId="0" fontId="0" fillId="0" borderId="24" xfId="0" applyBorder="1" applyAlignment="1">
      <alignment vertical="top" wrapText="1"/>
    </xf>
    <xf numFmtId="9" fontId="0" fillId="0" borderId="24" xfId="0" applyNumberFormat="1" applyFont="1" applyFill="1" applyBorder="1" applyAlignment="1">
      <alignment horizontal="left" vertical="top" wrapText="1"/>
    </xf>
    <xf numFmtId="0" fontId="15" fillId="0" borderId="24" xfId="0" applyFont="1" applyFill="1" applyBorder="1" applyAlignment="1">
      <alignment horizontal="left" vertical="top" wrapText="1"/>
    </xf>
    <xf numFmtId="10" fontId="12" fillId="20" borderId="24" xfId="1" applyNumberFormat="1" applyFont="1" applyFill="1" applyBorder="1" applyAlignment="1">
      <alignment horizontal="center" vertical="center" wrapText="1"/>
    </xf>
    <xf numFmtId="10" fontId="2" fillId="20" borderId="24" xfId="1" applyNumberFormat="1" applyFont="1" applyFill="1" applyBorder="1" applyAlignment="1">
      <alignment horizontal="center" vertical="center" wrapText="1"/>
    </xf>
    <xf numFmtId="10" fontId="0" fillId="20" borderId="24" xfId="0" applyNumberFormat="1" applyFill="1" applyBorder="1" applyAlignment="1">
      <alignment horizontal="center"/>
    </xf>
    <xf numFmtId="1" fontId="6" fillId="20" borderId="24" xfId="1" applyNumberFormat="1" applyFont="1" applyFill="1" applyBorder="1" applyAlignment="1">
      <alignment horizontal="center" vertical="center" wrapText="1"/>
    </xf>
    <xf numFmtId="1" fontId="55" fillId="20" borderId="24" xfId="1" applyNumberFormat="1" applyFont="1" applyFill="1" applyBorder="1" applyAlignment="1">
      <alignment horizontal="center" vertical="center" wrapText="1"/>
    </xf>
    <xf numFmtId="0" fontId="12" fillId="20" borderId="24" xfId="1" applyNumberFormat="1" applyFont="1" applyFill="1" applyBorder="1" applyAlignment="1">
      <alignment horizontal="center" vertical="center" wrapText="1"/>
    </xf>
    <xf numFmtId="9" fontId="6" fillId="30" borderId="24" xfId="1" applyNumberFormat="1" applyFont="1" applyFill="1" applyBorder="1" applyAlignment="1">
      <alignment horizontal="center" vertical="center" wrapText="1"/>
    </xf>
    <xf numFmtId="9" fontId="6" fillId="30" borderId="12" xfId="1" applyNumberFormat="1" applyFont="1" applyFill="1" applyBorder="1" applyAlignment="1">
      <alignment horizontal="center" vertical="center" wrapText="1"/>
    </xf>
    <xf numFmtId="14" fontId="0" fillId="0" borderId="84" xfId="0" applyNumberFormat="1" applyFont="1" applyBorder="1" applyAlignment="1">
      <alignment horizontal="center" vertical="center" wrapText="1"/>
    </xf>
    <xf numFmtId="9" fontId="6" fillId="0" borderId="24" xfId="1" applyFont="1" applyFill="1" applyBorder="1" applyAlignment="1">
      <alignment horizontal="center" vertical="center" wrapText="1"/>
    </xf>
    <xf numFmtId="0" fontId="10" fillId="0" borderId="24" xfId="0" applyFont="1" applyBorder="1" applyAlignment="1">
      <alignment horizontal="center" vertical="center" wrapText="1"/>
    </xf>
    <xf numFmtId="0" fontId="6" fillId="20" borderId="24" xfId="0" applyFont="1" applyFill="1" applyBorder="1" applyAlignment="1">
      <alignment horizontal="center" vertical="center" wrapText="1"/>
    </xf>
    <xf numFmtId="9" fontId="55" fillId="20" borderId="24" xfId="1" applyFont="1" applyFill="1" applyBorder="1" applyAlignment="1">
      <alignment horizontal="center" vertical="center" wrapText="1"/>
    </xf>
    <xf numFmtId="9" fontId="2" fillId="23" borderId="24" xfId="1" applyFont="1" applyFill="1" applyBorder="1" applyAlignment="1">
      <alignment horizontal="center" vertical="center" wrapText="1"/>
    </xf>
    <xf numFmtId="0" fontId="2" fillId="28" borderId="24" xfId="7" applyNumberFormat="1" applyFont="1" applyFill="1" applyBorder="1" applyAlignment="1">
      <alignment horizontal="center" vertical="center"/>
    </xf>
    <xf numFmtId="0" fontId="2" fillId="28" borderId="24" xfId="7" applyNumberFormat="1" applyFont="1" applyFill="1" applyBorder="1" applyAlignment="1">
      <alignment horizontal="center" vertical="center" wrapText="1"/>
    </xf>
    <xf numFmtId="0" fontId="47" fillId="3" borderId="45" xfId="0" applyFont="1" applyFill="1" applyBorder="1" applyAlignment="1">
      <alignment horizontal="center" vertical="center" wrapText="1"/>
    </xf>
    <xf numFmtId="0" fontId="0" fillId="0" borderId="0" xfId="0"/>
    <xf numFmtId="0" fontId="10" fillId="0" borderId="24" xfId="0" applyFont="1" applyBorder="1" applyAlignment="1">
      <alignment horizontal="center" vertical="center" wrapText="1"/>
    </xf>
    <xf numFmtId="0" fontId="12" fillId="20" borderId="24" xfId="0" applyFont="1" applyFill="1" applyBorder="1" applyAlignment="1">
      <alignment horizontal="center" vertical="center" wrapText="1"/>
    </xf>
    <xf numFmtId="0" fontId="47" fillId="3" borderId="13" xfId="0" applyFont="1" applyFill="1" applyBorder="1" applyAlignment="1">
      <alignment horizontal="center" vertical="center" wrapText="1"/>
    </xf>
    <xf numFmtId="0" fontId="47" fillId="3" borderId="16" xfId="0" applyFont="1" applyFill="1" applyBorder="1" applyAlignment="1">
      <alignment horizontal="center" vertical="center" wrapText="1"/>
    </xf>
    <xf numFmtId="9" fontId="6" fillId="0" borderId="24" xfId="1" applyFont="1" applyBorder="1" applyAlignment="1">
      <alignment horizontal="center" vertical="center" wrapText="1"/>
    </xf>
    <xf numFmtId="9" fontId="8" fillId="0" borderId="24" xfId="1" applyFont="1" applyBorder="1" applyAlignment="1">
      <alignment horizontal="center" vertical="center" wrapText="1"/>
    </xf>
    <xf numFmtId="9" fontId="2" fillId="20" borderId="24" xfId="1" applyFont="1" applyFill="1" applyBorder="1" applyAlignment="1">
      <alignment horizontal="center" vertical="center" wrapText="1"/>
    </xf>
    <xf numFmtId="9" fontId="8" fillId="20" borderId="24" xfId="1" applyFont="1" applyFill="1" applyBorder="1" applyAlignment="1">
      <alignment horizontal="center" vertical="center" wrapText="1"/>
    </xf>
    <xf numFmtId="9" fontId="0" fillId="20" borderId="24" xfId="1" applyFont="1" applyFill="1" applyBorder="1" applyAlignment="1">
      <alignment horizontal="center" vertical="center" wrapText="1"/>
    </xf>
    <xf numFmtId="9" fontId="8" fillId="0" borderId="24" xfId="1" applyFont="1" applyFill="1" applyBorder="1" applyAlignment="1">
      <alignment horizontal="center" vertical="center" wrapText="1"/>
    </xf>
    <xf numFmtId="9" fontId="55" fillId="20" borderId="24" xfId="1" applyFont="1" applyFill="1" applyBorder="1" applyAlignment="1">
      <alignment vertical="center" wrapText="1"/>
    </xf>
    <xf numFmtId="0" fontId="55" fillId="0" borderId="24" xfId="0" applyFont="1" applyFill="1" applyBorder="1" applyAlignment="1">
      <alignment horizontal="center" vertical="center" wrapText="1"/>
    </xf>
    <xf numFmtId="9" fontId="6" fillId="0" borderId="24" xfId="1" applyFont="1" applyBorder="1" applyAlignment="1">
      <alignment horizontal="left" vertical="center" wrapText="1"/>
    </xf>
    <xf numFmtId="0" fontId="19" fillId="0" borderId="24" xfId="0" applyFont="1" applyBorder="1" applyAlignment="1">
      <alignment vertical="top" wrapText="1"/>
    </xf>
    <xf numFmtId="0" fontId="0" fillId="0" borderId="0" xfId="0" applyAlignment="1">
      <alignment horizontal="center"/>
    </xf>
    <xf numFmtId="14" fontId="0" fillId="20" borderId="24" xfId="0" applyNumberFormat="1" applyFont="1" applyFill="1" applyBorder="1" applyAlignment="1">
      <alignment horizontal="center" vertical="center" wrapText="1"/>
    </xf>
    <xf numFmtId="0" fontId="47" fillId="3" borderId="11" xfId="0" applyFont="1" applyFill="1" applyBorder="1" applyAlignment="1">
      <alignment horizontal="center" vertical="center" wrapText="1"/>
    </xf>
    <xf numFmtId="0" fontId="47" fillId="3" borderId="83" xfId="0" applyFont="1" applyFill="1" applyBorder="1" applyAlignment="1">
      <alignment horizontal="center" vertical="center" wrapText="1"/>
    </xf>
    <xf numFmtId="0" fontId="47" fillId="3" borderId="24" xfId="0" applyFont="1" applyFill="1" applyBorder="1" applyAlignment="1">
      <alignment horizontal="center" vertical="center" wrapText="1"/>
    </xf>
    <xf numFmtId="0" fontId="47" fillId="3" borderId="12" xfId="0" applyFont="1" applyFill="1" applyBorder="1" applyAlignment="1">
      <alignment horizontal="center" vertical="center" wrapText="1"/>
    </xf>
    <xf numFmtId="0" fontId="47" fillId="3" borderId="28" xfId="0" applyFont="1" applyFill="1" applyBorder="1" applyAlignment="1">
      <alignment horizontal="center" vertical="center" wrapText="1"/>
    </xf>
    <xf numFmtId="0" fontId="0" fillId="0" borderId="12" xfId="0" applyBorder="1" applyAlignment="1">
      <alignment horizontal="left" vertical="center"/>
    </xf>
    <xf numFmtId="0" fontId="0" fillId="0" borderId="17" xfId="0" applyBorder="1" applyAlignment="1">
      <alignment horizontal="left" vertical="center"/>
    </xf>
    <xf numFmtId="0" fontId="0" fillId="0" borderId="21" xfId="0" applyBorder="1" applyAlignment="1">
      <alignment horizontal="left" vertical="center"/>
    </xf>
    <xf numFmtId="9" fontId="0" fillId="0" borderId="57" xfId="0" applyNumberFormat="1" applyBorder="1" applyAlignment="1">
      <alignment horizontal="center" vertical="center"/>
    </xf>
    <xf numFmtId="9" fontId="0" fillId="0" borderId="74" xfId="0" applyNumberFormat="1" applyBorder="1" applyAlignment="1">
      <alignment horizontal="center" vertical="center"/>
    </xf>
    <xf numFmtId="9" fontId="0" fillId="0" borderId="36" xfId="0" applyNumberFormat="1" applyBorder="1" applyAlignment="1">
      <alignment horizontal="center" vertical="center"/>
    </xf>
    <xf numFmtId="9" fontId="0" fillId="0" borderId="56" xfId="0" applyNumberFormat="1" applyBorder="1" applyAlignment="1">
      <alignment horizontal="center" vertical="center"/>
    </xf>
    <xf numFmtId="9" fontId="0" fillId="0" borderId="0" xfId="0" applyNumberFormat="1" applyBorder="1" applyAlignment="1">
      <alignment horizontal="center" vertical="center"/>
    </xf>
    <xf numFmtId="9" fontId="0" fillId="0" borderId="75" xfId="0" applyNumberFormat="1" applyBorder="1" applyAlignment="1">
      <alignment horizontal="center" vertical="center"/>
    </xf>
    <xf numFmtId="9" fontId="0" fillId="0" borderId="58" xfId="0" applyNumberFormat="1" applyBorder="1" applyAlignment="1">
      <alignment horizontal="center" vertical="center"/>
    </xf>
    <xf numFmtId="9" fontId="0" fillId="0" borderId="85" xfId="0" applyNumberFormat="1" applyBorder="1" applyAlignment="1">
      <alignment horizontal="center" vertical="center"/>
    </xf>
    <xf numFmtId="9" fontId="0" fillId="0" borderId="37" xfId="0" applyNumberFormat="1" applyBorder="1" applyAlignment="1">
      <alignment horizontal="center" vertical="center"/>
    </xf>
    <xf numFmtId="0" fontId="0" fillId="28" borderId="24" xfId="0" applyFont="1" applyFill="1" applyBorder="1" applyAlignment="1">
      <alignment horizontal="left" vertical="top" wrapText="1"/>
    </xf>
    <xf numFmtId="0" fontId="15" fillId="28" borderId="24" xfId="0" applyFont="1" applyFill="1" applyBorder="1" applyAlignment="1">
      <alignment horizontal="left" vertical="top" wrapText="1"/>
    </xf>
    <xf numFmtId="0" fontId="47" fillId="5" borderId="24" xfId="0" applyFont="1" applyFill="1" applyBorder="1" applyAlignment="1">
      <alignment horizontal="center" vertical="center"/>
    </xf>
    <xf numFmtId="0" fontId="0" fillId="0" borderId="70" xfId="0" applyNumberFormat="1" applyBorder="1" applyAlignment="1">
      <alignment horizontal="center" vertical="center" wrapText="1"/>
    </xf>
    <xf numFmtId="9" fontId="15" fillId="20" borderId="24" xfId="0" applyNumberFormat="1" applyFont="1" applyFill="1" applyBorder="1" applyAlignment="1">
      <alignment horizontal="center" vertical="center"/>
    </xf>
    <xf numFmtId="9" fontId="15" fillId="20" borderId="24" xfId="1" applyFont="1" applyFill="1" applyBorder="1" applyAlignment="1">
      <alignment horizontal="center" vertical="center"/>
    </xf>
    <xf numFmtId="0" fontId="0" fillId="0" borderId="0" xfId="0"/>
    <xf numFmtId="164" fontId="27" fillId="0" borderId="0" xfId="7" applyFont="1" applyAlignment="1">
      <alignment horizontal="center" vertical="center"/>
    </xf>
    <xf numFmtId="10" fontId="0" fillId="0" borderId="0" xfId="1" applyNumberFormat="1" applyFont="1"/>
    <xf numFmtId="0" fontId="2" fillId="20" borderId="24" xfId="0" applyFont="1" applyFill="1" applyBorder="1" applyAlignment="1">
      <alignment horizontal="center" vertical="center" wrapText="1"/>
    </xf>
    <xf numFmtId="9" fontId="8" fillId="0" borderId="12" xfId="1" applyFont="1" applyFill="1" applyBorder="1" applyAlignment="1">
      <alignment horizontal="center" vertical="center" wrapText="1"/>
    </xf>
    <xf numFmtId="0" fontId="6" fillId="0" borderId="24" xfId="0" applyFont="1" applyBorder="1" applyAlignment="1">
      <alignment horizontal="center" vertical="center" wrapText="1"/>
    </xf>
    <xf numFmtId="1" fontId="6" fillId="0" borderId="24" xfId="1" applyNumberFormat="1" applyFont="1" applyBorder="1" applyAlignment="1">
      <alignment horizontal="center" vertical="center" wrapText="1"/>
    </xf>
    <xf numFmtId="9" fontId="0" fillId="0" borderId="70" xfId="0" applyNumberFormat="1" applyFont="1" applyBorder="1" applyAlignment="1">
      <alignment horizontal="center" vertical="center" wrapText="1"/>
    </xf>
    <xf numFmtId="9" fontId="6" fillId="29" borderId="57" xfId="1" applyNumberFormat="1" applyFont="1" applyFill="1" applyBorder="1" applyAlignment="1">
      <alignment horizontal="center" vertical="center" wrapText="1"/>
    </xf>
    <xf numFmtId="9" fontId="6" fillId="0" borderId="57" xfId="1" applyNumberFormat="1" applyFont="1" applyBorder="1" applyAlignment="1">
      <alignment horizontal="center" vertical="center" wrapText="1"/>
    </xf>
    <xf numFmtId="9" fontId="6" fillId="29" borderId="55" xfId="1" applyNumberFormat="1" applyFont="1" applyFill="1" applyBorder="1" applyAlignment="1">
      <alignment horizontal="center" vertical="center" wrapText="1"/>
    </xf>
    <xf numFmtId="9" fontId="6" fillId="0" borderId="55" xfId="1" applyNumberFormat="1" applyFont="1" applyBorder="1" applyAlignment="1">
      <alignment horizontal="center" vertical="center" wrapText="1"/>
    </xf>
    <xf numFmtId="9" fontId="6" fillId="0" borderId="56" xfId="1" applyNumberFormat="1" applyFont="1" applyBorder="1" applyAlignment="1">
      <alignment horizontal="center" vertical="center" wrapText="1"/>
    </xf>
    <xf numFmtId="9" fontId="2" fillId="0" borderId="55" xfId="1" applyNumberFormat="1" applyFont="1" applyBorder="1" applyAlignment="1">
      <alignment horizontal="center" vertical="center" wrapText="1"/>
    </xf>
    <xf numFmtId="9" fontId="2" fillId="20" borderId="55" xfId="1" applyNumberFormat="1" applyFont="1" applyFill="1" applyBorder="1" applyAlignment="1">
      <alignment vertical="center" wrapText="1"/>
    </xf>
    <xf numFmtId="0" fontId="2" fillId="20" borderId="55" xfId="0" applyFont="1" applyFill="1" applyBorder="1" applyAlignment="1">
      <alignment vertical="center" wrapText="1"/>
    </xf>
    <xf numFmtId="0" fontId="2" fillId="20" borderId="55" xfId="0" applyFont="1" applyFill="1" applyBorder="1" applyAlignment="1">
      <alignment horizontal="center" vertical="center" wrapText="1"/>
    </xf>
    <xf numFmtId="9" fontId="6" fillId="20" borderId="57" xfId="1" applyNumberFormat="1" applyFont="1" applyFill="1" applyBorder="1" applyAlignment="1">
      <alignment horizontal="center" vertical="center" wrapText="1"/>
    </xf>
    <xf numFmtId="0" fontId="2" fillId="29" borderId="24" xfId="0" applyFont="1" applyFill="1" applyBorder="1" applyAlignment="1">
      <alignment horizontal="center" vertical="center" wrapText="1"/>
    </xf>
    <xf numFmtId="0" fontId="2" fillId="0" borderId="24" xfId="0" applyFont="1" applyBorder="1" applyAlignment="1">
      <alignment horizontal="center" vertical="center" wrapText="1"/>
    </xf>
    <xf numFmtId="9" fontId="2" fillId="29" borderId="24" xfId="1" applyFont="1" applyFill="1" applyBorder="1" applyAlignment="1">
      <alignment horizontal="center" vertical="center" wrapText="1"/>
    </xf>
    <xf numFmtId="9" fontId="2" fillId="0" borderId="24" xfId="1" applyFont="1" applyBorder="1" applyAlignment="1">
      <alignment horizontal="center" vertical="center" wrapText="1"/>
    </xf>
    <xf numFmtId="9" fontId="0" fillId="29" borderId="24" xfId="1" applyFont="1" applyFill="1" applyBorder="1" applyAlignment="1">
      <alignment horizontal="center" vertical="center" wrapText="1"/>
    </xf>
    <xf numFmtId="0" fontId="2" fillId="0" borderId="24" xfId="0" quotePrefix="1" applyFont="1" applyBorder="1" applyAlignment="1">
      <alignment horizontal="center" vertical="center" wrapText="1"/>
    </xf>
    <xf numFmtId="0" fontId="0" fillId="0" borderId="24" xfId="0" applyFont="1" applyBorder="1" applyAlignment="1">
      <alignment horizontal="center" vertical="center" wrapText="1"/>
    </xf>
    <xf numFmtId="0" fontId="0" fillId="29" borderId="24" xfId="0" applyFont="1" applyFill="1" applyBorder="1" applyAlignment="1">
      <alignment horizontal="center" vertical="center" wrapText="1"/>
    </xf>
    <xf numFmtId="9" fontId="0" fillId="0" borderId="24" xfId="0" applyNumberFormat="1" applyFont="1" applyBorder="1" applyAlignment="1">
      <alignment horizontal="center" vertical="center" wrapText="1"/>
    </xf>
    <xf numFmtId="9" fontId="0" fillId="0" borderId="24" xfId="1" applyNumberFormat="1" applyFont="1" applyBorder="1" applyAlignment="1">
      <alignment horizontal="center" vertical="center" wrapText="1"/>
    </xf>
    <xf numFmtId="9" fontId="2" fillId="28" borderId="24" xfId="0" applyNumberFormat="1" applyFont="1" applyFill="1" applyBorder="1" applyAlignment="1">
      <alignment horizontal="center" vertical="center" wrapText="1"/>
    </xf>
    <xf numFmtId="1" fontId="2" fillId="28" borderId="24" xfId="0" applyNumberFormat="1" applyFont="1" applyFill="1" applyBorder="1" applyAlignment="1">
      <alignment horizontal="center" vertical="center" wrapText="1"/>
    </xf>
    <xf numFmtId="9" fontId="2" fillId="28" borderId="24" xfId="1" applyNumberFormat="1" applyFont="1" applyFill="1" applyBorder="1" applyAlignment="1">
      <alignment horizontal="center" vertical="center" wrapText="1"/>
    </xf>
    <xf numFmtId="1" fontId="34" fillId="28" borderId="24" xfId="0" applyNumberFormat="1" applyFont="1" applyFill="1" applyBorder="1" applyAlignment="1">
      <alignment horizontal="center" vertical="center" wrapText="1"/>
    </xf>
    <xf numFmtId="9" fontId="12" fillId="28" borderId="24" xfId="0" applyNumberFormat="1" applyFont="1" applyFill="1" applyBorder="1" applyAlignment="1">
      <alignment horizontal="center" vertical="center" wrapText="1"/>
    </xf>
    <xf numFmtId="1" fontId="12" fillId="28" borderId="24" xfId="0" applyNumberFormat="1" applyFont="1" applyFill="1" applyBorder="1" applyAlignment="1">
      <alignment horizontal="center" vertical="center" wrapText="1"/>
    </xf>
    <xf numFmtId="1" fontId="12" fillId="28" borderId="24" xfId="1" applyNumberFormat="1" applyFont="1" applyFill="1" applyBorder="1" applyAlignment="1">
      <alignment horizontal="center" vertical="center" wrapText="1"/>
    </xf>
    <xf numFmtId="9" fontId="15" fillId="28" borderId="24" xfId="0" applyNumberFormat="1" applyFont="1" applyFill="1" applyBorder="1" applyAlignment="1">
      <alignment horizontal="center" vertical="center" wrapText="1"/>
    </xf>
    <xf numFmtId="9" fontId="0" fillId="28" borderId="24" xfId="1" applyNumberFormat="1" applyFont="1" applyFill="1" applyBorder="1" applyAlignment="1">
      <alignment horizontal="center" vertical="center" wrapText="1"/>
    </xf>
    <xf numFmtId="9" fontId="35" fillId="28" borderId="24" xfId="1" applyFont="1" applyFill="1" applyBorder="1" applyAlignment="1">
      <alignment horizontal="center" vertical="center"/>
    </xf>
    <xf numFmtId="0" fontId="41" fillId="35" borderId="71" xfId="0" applyFont="1" applyFill="1" applyBorder="1" applyAlignment="1">
      <alignment horizontal="center" vertical="center" wrapText="1"/>
    </xf>
    <xf numFmtId="0" fontId="5" fillId="26" borderId="45" xfId="0" applyFont="1" applyFill="1" applyBorder="1" applyAlignment="1">
      <alignment horizontal="center" vertical="center" wrapText="1"/>
    </xf>
    <xf numFmtId="2" fontId="0" fillId="28" borderId="24" xfId="0" applyNumberFormat="1" applyFont="1" applyFill="1" applyBorder="1" applyAlignment="1">
      <alignment horizontal="left" vertical="top" wrapText="1"/>
    </xf>
    <xf numFmtId="0" fontId="6" fillId="30" borderId="22" xfId="0" applyFont="1" applyFill="1" applyBorder="1" applyAlignment="1">
      <alignment horizontal="center" vertical="center" wrapText="1"/>
    </xf>
    <xf numFmtId="9" fontId="6" fillId="0" borderId="37" xfId="1" applyNumberFormat="1" applyFont="1" applyBorder="1" applyAlignment="1">
      <alignment horizontal="center" vertical="center" wrapText="1"/>
    </xf>
    <xf numFmtId="1" fontId="6" fillId="0" borderId="21" xfId="1" applyNumberFormat="1" applyFont="1" applyBorder="1" applyAlignment="1">
      <alignment horizontal="center" vertical="center" wrapText="1"/>
    </xf>
    <xf numFmtId="9" fontId="6" fillId="0" borderId="21" xfId="1" applyNumberFormat="1" applyFont="1" applyBorder="1" applyAlignment="1">
      <alignment horizontal="center" vertical="center" wrapText="1"/>
    </xf>
    <xf numFmtId="9" fontId="10" fillId="0" borderId="21" xfId="1" applyNumberFormat="1" applyFont="1" applyBorder="1" applyAlignment="1">
      <alignment horizontal="center" vertical="center" wrapText="1"/>
    </xf>
    <xf numFmtId="9" fontId="6" fillId="0" borderId="58" xfId="1" applyNumberFormat="1" applyFont="1" applyBorder="1" applyAlignment="1">
      <alignment horizontal="center" vertical="center" wrapText="1"/>
    </xf>
    <xf numFmtId="0" fontId="6" fillId="29" borderId="64" xfId="0" applyFont="1" applyFill="1" applyBorder="1" applyAlignment="1">
      <alignment horizontal="center" vertical="center" wrapText="1"/>
    </xf>
    <xf numFmtId="0" fontId="0" fillId="0" borderId="38" xfId="0" applyBorder="1"/>
    <xf numFmtId="0" fontId="47" fillId="31" borderId="52" xfId="0" applyFont="1" applyFill="1" applyBorder="1" applyAlignment="1">
      <alignment horizontal="center" vertical="center" wrapText="1"/>
    </xf>
    <xf numFmtId="0" fontId="36" fillId="7" borderId="24" xfId="0" applyFont="1" applyFill="1" applyBorder="1" applyAlignment="1">
      <alignment horizontal="center" vertical="center"/>
    </xf>
    <xf numFmtId="0" fontId="2" fillId="29" borderId="55" xfId="0" applyFont="1" applyFill="1" applyBorder="1" applyAlignment="1">
      <alignment horizontal="center" vertical="center" wrapText="1"/>
    </xf>
    <xf numFmtId="0" fontId="2" fillId="0" borderId="55" xfId="0" applyFont="1" applyBorder="1" applyAlignment="1">
      <alignment horizontal="center" vertical="center" wrapText="1"/>
    </xf>
    <xf numFmtId="9" fontId="2" fillId="29" borderId="55" xfId="0" applyNumberFormat="1" applyFont="1" applyFill="1" applyBorder="1" applyAlignment="1">
      <alignment horizontal="center" vertical="center" wrapText="1"/>
    </xf>
    <xf numFmtId="9" fontId="2" fillId="29" borderId="55" xfId="1" applyFont="1" applyFill="1" applyBorder="1" applyAlignment="1">
      <alignment horizontal="center" vertical="center" wrapText="1"/>
    </xf>
    <xf numFmtId="9" fontId="2" fillId="0" borderId="55" xfId="1" applyFont="1" applyBorder="1" applyAlignment="1">
      <alignment horizontal="center" vertical="center" wrapText="1"/>
    </xf>
    <xf numFmtId="9" fontId="0" fillId="0" borderId="55" xfId="1" applyFont="1" applyBorder="1" applyAlignment="1">
      <alignment horizontal="center" vertical="center" wrapText="1"/>
    </xf>
    <xf numFmtId="9" fontId="2" fillId="0" borderId="55" xfId="0" applyNumberFormat="1" applyFont="1" applyBorder="1" applyAlignment="1">
      <alignment horizontal="center" vertical="center" wrapText="1"/>
    </xf>
    <xf numFmtId="9" fontId="0" fillId="0" borderId="55" xfId="0" applyNumberFormat="1" applyFont="1" applyBorder="1" applyAlignment="1">
      <alignment horizontal="center" vertical="center" wrapText="1"/>
    </xf>
    <xf numFmtId="1" fontId="2" fillId="20" borderId="55" xfId="0" applyNumberFormat="1" applyFont="1" applyFill="1" applyBorder="1" applyAlignment="1">
      <alignment horizontal="center" vertical="center" wrapText="1"/>
    </xf>
    <xf numFmtId="1" fontId="12" fillId="20" borderId="55" xfId="0" applyNumberFormat="1" applyFont="1" applyFill="1" applyBorder="1" applyAlignment="1">
      <alignment horizontal="center" vertical="center" wrapText="1"/>
    </xf>
    <xf numFmtId="0" fontId="0" fillId="28" borderId="64" xfId="0" applyFont="1" applyFill="1" applyBorder="1" applyAlignment="1">
      <alignment horizontal="left" vertical="top" wrapText="1"/>
    </xf>
    <xf numFmtId="0" fontId="15" fillId="28" borderId="64" xfId="0" applyFont="1" applyFill="1" applyBorder="1" applyAlignment="1">
      <alignment horizontal="left" vertical="top" wrapText="1"/>
    </xf>
    <xf numFmtId="0" fontId="6" fillId="0" borderId="19" xfId="0" applyFont="1" applyBorder="1" applyAlignment="1">
      <alignment vertical="center" wrapText="1"/>
    </xf>
    <xf numFmtId="0" fontId="6" fillId="29" borderId="64" xfId="0" applyFont="1" applyFill="1" applyBorder="1" applyAlignment="1">
      <alignment vertical="center" wrapText="1"/>
    </xf>
    <xf numFmtId="9" fontId="6" fillId="0" borderId="36" xfId="1" applyNumberFormat="1" applyFont="1" applyBorder="1" applyAlignment="1">
      <alignment horizontal="center" vertical="center" wrapText="1"/>
    </xf>
    <xf numFmtId="0" fontId="55" fillId="33" borderId="24" xfId="0" applyFont="1" applyFill="1" applyBorder="1" applyAlignment="1">
      <alignment horizontal="center" vertical="center" wrapText="1"/>
    </xf>
    <xf numFmtId="9" fontId="6" fillId="29" borderId="24" xfId="1" applyNumberFormat="1" applyFont="1" applyFill="1" applyBorder="1" applyAlignment="1">
      <alignment horizontal="center" wrapText="1"/>
    </xf>
    <xf numFmtId="165" fontId="2" fillId="20" borderId="21" xfId="1" applyNumberFormat="1" applyFont="1" applyFill="1" applyBorder="1" applyAlignment="1">
      <alignment horizontal="center" vertical="center" wrapText="1"/>
    </xf>
    <xf numFmtId="10" fontId="12" fillId="20" borderId="17" xfId="1" applyNumberFormat="1" applyFont="1" applyFill="1" applyBorder="1" applyAlignment="1">
      <alignment horizontal="center" vertical="center" wrapText="1"/>
    </xf>
    <xf numFmtId="1" fontId="12" fillId="20" borderId="21" xfId="0" applyNumberFormat="1" applyFont="1" applyFill="1" applyBorder="1" applyAlignment="1">
      <alignment horizontal="center" vertical="center" wrapText="1"/>
    </xf>
    <xf numFmtId="0" fontId="12" fillId="20" borderId="21" xfId="0" applyFont="1" applyFill="1" applyBorder="1" applyAlignment="1">
      <alignment horizontal="center" vertical="center" wrapText="1"/>
    </xf>
    <xf numFmtId="0" fontId="2" fillId="20" borderId="21" xfId="0" applyFont="1" applyFill="1" applyBorder="1" applyAlignment="1">
      <alignment horizontal="center" vertical="center" wrapText="1"/>
    </xf>
    <xf numFmtId="14" fontId="2" fillId="20" borderId="58" xfId="0" applyNumberFormat="1" applyFont="1" applyFill="1" applyBorder="1" applyAlignment="1">
      <alignment horizontal="center" vertical="center" wrapText="1"/>
    </xf>
    <xf numFmtId="9" fontId="2" fillId="33" borderId="24" xfId="1" applyFont="1" applyFill="1" applyBorder="1" applyAlignment="1">
      <alignment horizontal="center" vertical="center" wrapText="1"/>
    </xf>
    <xf numFmtId="9" fontId="2" fillId="33" borderId="55" xfId="1" applyFont="1" applyFill="1" applyBorder="1" applyAlignment="1">
      <alignment horizontal="center" vertical="center" wrapText="1"/>
    </xf>
    <xf numFmtId="9" fontId="0" fillId="33" borderId="24" xfId="1" applyNumberFormat="1" applyFont="1" applyFill="1" applyBorder="1" applyAlignment="1">
      <alignment horizontal="center" vertical="center" wrapText="1"/>
    </xf>
    <xf numFmtId="9" fontId="0" fillId="33" borderId="55" xfId="1" applyNumberFormat="1" applyFont="1" applyFill="1" applyBorder="1" applyAlignment="1">
      <alignment horizontal="center" vertical="center" wrapText="1"/>
    </xf>
    <xf numFmtId="0" fontId="2" fillId="33" borderId="24" xfId="0" applyFont="1" applyFill="1" applyBorder="1" applyAlignment="1">
      <alignment horizontal="center" vertical="center" wrapText="1"/>
    </xf>
    <xf numFmtId="10" fontId="12" fillId="33" borderId="12" xfId="1" applyNumberFormat="1" applyFont="1" applyFill="1" applyBorder="1" applyAlignment="1">
      <alignment horizontal="center" vertical="center" wrapText="1"/>
    </xf>
    <xf numFmtId="9" fontId="12" fillId="33" borderId="24" xfId="0" applyNumberFormat="1" applyFont="1" applyFill="1" applyBorder="1" applyAlignment="1">
      <alignment horizontal="center" vertical="center" wrapText="1"/>
    </xf>
    <xf numFmtId="0" fontId="12" fillId="33" borderId="24" xfId="0" applyFont="1" applyFill="1" applyBorder="1" applyAlignment="1">
      <alignment horizontal="center" vertical="center" wrapText="1"/>
    </xf>
    <xf numFmtId="0" fontId="2" fillId="33" borderId="24" xfId="0" applyFont="1" applyFill="1" applyBorder="1" applyAlignment="1">
      <alignment horizontal="left" vertical="center" wrapText="1"/>
    </xf>
    <xf numFmtId="14" fontId="2" fillId="33" borderId="55" xfId="0" applyNumberFormat="1" applyFont="1" applyFill="1" applyBorder="1" applyAlignment="1">
      <alignment horizontal="left" vertical="center" wrapText="1"/>
    </xf>
    <xf numFmtId="9" fontId="2" fillId="33" borderId="24" xfId="0" applyNumberFormat="1" applyFont="1" applyFill="1" applyBorder="1" applyAlignment="1">
      <alignment horizontal="center" vertical="center" wrapText="1"/>
    </xf>
    <xf numFmtId="9" fontId="2" fillId="33" borderId="55" xfId="0" applyNumberFormat="1" applyFont="1" applyFill="1" applyBorder="1" applyAlignment="1">
      <alignment horizontal="center" vertical="center" wrapText="1"/>
    </xf>
    <xf numFmtId="9" fontId="2" fillId="33" borderId="55" xfId="1" applyNumberFormat="1" applyFont="1" applyFill="1" applyBorder="1" applyAlignment="1">
      <alignment horizontal="left" vertical="center" wrapText="1"/>
    </xf>
    <xf numFmtId="0" fontId="2" fillId="33" borderId="55" xfId="0" applyFont="1" applyFill="1" applyBorder="1" applyAlignment="1">
      <alignment horizontal="center" vertical="center" wrapText="1"/>
    </xf>
    <xf numFmtId="0" fontId="2" fillId="33" borderId="24" xfId="1" applyNumberFormat="1" applyFont="1" applyFill="1" applyBorder="1" applyAlignment="1">
      <alignment horizontal="center" vertical="center" wrapText="1"/>
    </xf>
    <xf numFmtId="9" fontId="2" fillId="33" borderId="24" xfId="1" applyNumberFormat="1" applyFont="1" applyFill="1" applyBorder="1" applyAlignment="1">
      <alignment horizontal="center" vertical="center" wrapText="1"/>
    </xf>
    <xf numFmtId="9" fontId="2" fillId="33" borderId="24" xfId="1" applyNumberFormat="1" applyFont="1" applyFill="1" applyBorder="1" applyAlignment="1">
      <alignment horizontal="left" vertical="center" wrapText="1"/>
    </xf>
    <xf numFmtId="1" fontId="2" fillId="33" borderId="24" xfId="0" applyNumberFormat="1" applyFont="1" applyFill="1" applyBorder="1" applyAlignment="1">
      <alignment horizontal="center" vertical="center" wrapText="1"/>
    </xf>
    <xf numFmtId="1" fontId="2" fillId="33" borderId="55" xfId="0" applyNumberFormat="1" applyFont="1" applyFill="1" applyBorder="1" applyAlignment="1">
      <alignment horizontal="center" vertical="center" wrapText="1"/>
    </xf>
    <xf numFmtId="1" fontId="12" fillId="33" borderId="24" xfId="1" applyNumberFormat="1" applyFont="1" applyFill="1" applyBorder="1" applyAlignment="1">
      <alignment horizontal="center" vertical="center" wrapText="1"/>
    </xf>
    <xf numFmtId="9" fontId="12" fillId="33" borderId="24" xfId="1" applyNumberFormat="1" applyFont="1" applyFill="1" applyBorder="1" applyAlignment="1">
      <alignment horizontal="center" vertical="center" wrapText="1"/>
    </xf>
    <xf numFmtId="0" fontId="17" fillId="33" borderId="24" xfId="0" applyFont="1" applyFill="1" applyBorder="1" applyAlignment="1">
      <alignment horizontal="center" vertical="center" wrapText="1"/>
    </xf>
    <xf numFmtId="0" fontId="2" fillId="33" borderId="55" xfId="0" applyFont="1" applyFill="1" applyBorder="1" applyAlignment="1">
      <alignment vertical="center" wrapText="1"/>
    </xf>
    <xf numFmtId="1" fontId="2" fillId="33" borderId="24" xfId="1" applyNumberFormat="1" applyFont="1" applyFill="1" applyBorder="1" applyAlignment="1">
      <alignment horizontal="center" vertical="center" wrapText="1"/>
    </xf>
    <xf numFmtId="1" fontId="2" fillId="33" borderId="55" xfId="1" applyNumberFormat="1" applyFont="1" applyFill="1" applyBorder="1" applyAlignment="1">
      <alignment horizontal="center" vertical="center" wrapText="1"/>
    </xf>
    <xf numFmtId="0" fontId="6" fillId="33" borderId="12" xfId="0" applyFont="1" applyFill="1" applyBorder="1" applyAlignment="1">
      <alignment horizontal="center" vertical="center" wrapText="1"/>
    </xf>
    <xf numFmtId="9" fontId="6" fillId="33" borderId="57" xfId="1" applyNumberFormat="1" applyFont="1" applyFill="1" applyBorder="1" applyAlignment="1">
      <alignment horizontal="center" vertical="center" wrapText="1"/>
    </xf>
    <xf numFmtId="0" fontId="13" fillId="33" borderId="14" xfId="0" applyFont="1" applyFill="1" applyBorder="1" applyAlignment="1">
      <alignment horizontal="center" vertical="center" wrapText="1"/>
    </xf>
    <xf numFmtId="9" fontId="6" fillId="33" borderId="12" xfId="1" applyNumberFormat="1" applyFont="1" applyFill="1" applyBorder="1" applyAlignment="1">
      <alignment horizontal="center" vertical="center" wrapText="1"/>
    </xf>
    <xf numFmtId="9" fontId="12" fillId="20" borderId="17" xfId="1" applyNumberFormat="1" applyFont="1" applyFill="1" applyBorder="1" applyAlignment="1">
      <alignment horizontal="center" vertical="center" wrapText="1"/>
    </xf>
    <xf numFmtId="0" fontId="10" fillId="36" borderId="12" xfId="0" applyFont="1" applyFill="1" applyBorder="1" applyAlignment="1">
      <alignment horizontal="center" vertical="center" wrapText="1"/>
    </xf>
    <xf numFmtId="0" fontId="6" fillId="7" borderId="24" xfId="0" applyFont="1" applyFill="1" applyBorder="1" applyAlignment="1">
      <alignment horizontal="center" vertical="center" wrapText="1"/>
    </xf>
    <xf numFmtId="9" fontId="6" fillId="7" borderId="24" xfId="1" applyNumberFormat="1" applyFont="1" applyFill="1" applyBorder="1" applyAlignment="1">
      <alignment horizontal="center" vertical="center" wrapText="1"/>
    </xf>
    <xf numFmtId="1" fontId="6" fillId="7" borderId="24" xfId="1" applyNumberFormat="1" applyFont="1" applyFill="1" applyBorder="1" applyAlignment="1">
      <alignment horizontal="center" vertical="center" wrapText="1"/>
    </xf>
    <xf numFmtId="9" fontId="6" fillId="7" borderId="24" xfId="1" applyFont="1" applyFill="1" applyBorder="1" applyAlignment="1">
      <alignment horizontal="center" vertical="center" wrapText="1"/>
    </xf>
    <xf numFmtId="9" fontId="2" fillId="7" borderId="24" xfId="0" applyNumberFormat="1" applyFont="1" applyFill="1" applyBorder="1" applyAlignment="1">
      <alignment horizontal="center" vertical="center" wrapText="1"/>
    </xf>
    <xf numFmtId="9" fontId="0" fillId="0" borderId="64" xfId="0" applyNumberFormat="1" applyBorder="1" applyAlignment="1">
      <alignment horizontal="center" vertical="center"/>
    </xf>
    <xf numFmtId="0" fontId="0" fillId="0" borderId="12" xfId="0" applyBorder="1" applyAlignment="1">
      <alignment horizontal="center" vertical="center" wrapText="1"/>
    </xf>
    <xf numFmtId="9" fontId="0" fillId="0" borderId="12" xfId="0" applyNumberFormat="1" applyBorder="1" applyAlignment="1">
      <alignment horizontal="center" vertical="center" wrapText="1"/>
    </xf>
    <xf numFmtId="14" fontId="8" fillId="0" borderId="12" xfId="0" applyNumberFormat="1" applyFont="1" applyBorder="1" applyAlignment="1">
      <alignment horizontal="center" vertical="center"/>
    </xf>
    <xf numFmtId="14" fontId="8" fillId="0" borderId="12" xfId="0" applyNumberFormat="1" applyFont="1" applyBorder="1" applyAlignment="1">
      <alignment horizontal="center" vertical="center" wrapText="1"/>
    </xf>
    <xf numFmtId="0" fontId="34" fillId="28" borderId="24" xfId="0" applyNumberFormat="1" applyFont="1" applyFill="1" applyBorder="1" applyAlignment="1">
      <alignment horizontal="center" vertical="center" wrapText="1"/>
    </xf>
    <xf numFmtId="0" fontId="34" fillId="28" borderId="24" xfId="0" applyFont="1" applyFill="1" applyBorder="1" applyAlignment="1">
      <alignment horizontal="center" vertical="center" wrapText="1"/>
    </xf>
    <xf numFmtId="1" fontId="34" fillId="28" borderId="24" xfId="1" applyNumberFormat="1" applyFont="1" applyFill="1" applyBorder="1" applyAlignment="1">
      <alignment horizontal="center" vertical="center" wrapText="1"/>
    </xf>
    <xf numFmtId="1" fontId="35" fillId="28" borderId="24" xfId="0" applyNumberFormat="1" applyFont="1" applyFill="1" applyBorder="1" applyAlignment="1">
      <alignment horizontal="center" vertical="center" wrapText="1"/>
    </xf>
    <xf numFmtId="9" fontId="6" fillId="0" borderId="12" xfId="1" applyFont="1" applyBorder="1" applyAlignment="1">
      <alignment horizontal="center" vertical="center" wrapText="1"/>
    </xf>
    <xf numFmtId="9" fontId="6" fillId="0" borderId="12" xfId="1" applyFont="1" applyBorder="1" applyAlignment="1">
      <alignment vertical="center" wrapText="1"/>
    </xf>
    <xf numFmtId="0" fontId="7" fillId="5" borderId="12" xfId="0" applyFont="1" applyFill="1" applyBorder="1" applyAlignment="1">
      <alignment horizontal="center" vertical="center" wrapText="1"/>
    </xf>
    <xf numFmtId="0" fontId="19" fillId="0" borderId="12" xfId="0" applyFont="1" applyBorder="1" applyAlignment="1">
      <alignment vertical="center" wrapText="1"/>
    </xf>
    <xf numFmtId="0" fontId="6" fillId="20" borderId="12" xfId="0" applyFont="1" applyFill="1" applyBorder="1" applyAlignment="1">
      <alignment vertical="center" wrapText="1"/>
    </xf>
    <xf numFmtId="0" fontId="10" fillId="7" borderId="24" xfId="0" applyFont="1" applyFill="1" applyBorder="1" applyAlignment="1">
      <alignment vertical="center" wrapText="1"/>
    </xf>
    <xf numFmtId="10" fontId="6" fillId="23" borderId="24" xfId="1" applyNumberFormat="1" applyFont="1" applyFill="1" applyBorder="1" applyAlignment="1">
      <alignment horizontal="center" vertical="center" wrapText="1"/>
    </xf>
    <xf numFmtId="1" fontId="6" fillId="23" borderId="24" xfId="1" applyNumberFormat="1" applyFont="1" applyFill="1" applyBorder="1" applyAlignment="1">
      <alignment horizontal="center" vertical="center" wrapText="1"/>
    </xf>
    <xf numFmtId="9" fontId="6" fillId="23" borderId="24" xfId="1" applyFont="1" applyFill="1" applyBorder="1" applyAlignment="1">
      <alignment vertical="center" wrapText="1"/>
    </xf>
    <xf numFmtId="9" fontId="0" fillId="23" borderId="24" xfId="0" applyNumberFormat="1" applyFill="1" applyBorder="1" applyAlignment="1">
      <alignment horizontal="center" vertical="center" wrapText="1"/>
    </xf>
    <xf numFmtId="14" fontId="8" fillId="23" borderId="24" xfId="0" applyNumberFormat="1" applyFont="1" applyFill="1" applyBorder="1" applyAlignment="1">
      <alignment horizontal="center" vertical="center"/>
    </xf>
    <xf numFmtId="14" fontId="8" fillId="23" borderId="24" xfId="0" applyNumberFormat="1" applyFont="1" applyFill="1" applyBorder="1" applyAlignment="1">
      <alignment horizontal="center" vertical="center" wrapText="1"/>
    </xf>
    <xf numFmtId="9" fontId="8" fillId="23" borderId="24" xfId="1" applyFont="1" applyFill="1" applyBorder="1" applyAlignment="1">
      <alignment horizontal="center" vertical="center" wrapText="1"/>
    </xf>
    <xf numFmtId="9" fontId="0" fillId="23" borderId="24" xfId="1" applyFont="1" applyFill="1" applyBorder="1" applyAlignment="1">
      <alignment horizontal="center" vertical="center"/>
    </xf>
    <xf numFmtId="0" fontId="0" fillId="23" borderId="24" xfId="0" applyFill="1" applyBorder="1"/>
    <xf numFmtId="9" fontId="2" fillId="0" borderId="24" xfId="1" applyFont="1" applyFill="1" applyBorder="1" applyAlignment="1">
      <alignment horizontal="center" vertical="center" wrapText="1"/>
    </xf>
    <xf numFmtId="0" fontId="2" fillId="0" borderId="24" xfId="0" applyFont="1" applyFill="1" applyBorder="1" applyAlignment="1">
      <alignment horizontal="center" vertical="center" wrapText="1"/>
    </xf>
    <xf numFmtId="9" fontId="2" fillId="0" borderId="24" xfId="0" applyNumberFormat="1" applyFont="1" applyFill="1" applyBorder="1" applyAlignment="1">
      <alignment horizontal="center" vertical="center" wrapText="1"/>
    </xf>
    <xf numFmtId="0" fontId="0" fillId="0" borderId="24" xfId="0" applyFont="1" applyFill="1" applyBorder="1" applyAlignment="1">
      <alignment horizontal="left" vertical="top" wrapText="1"/>
    </xf>
    <xf numFmtId="0" fontId="0" fillId="0" borderId="24" xfId="0" applyFont="1" applyBorder="1" applyAlignment="1">
      <alignment horizontal="left" vertical="top" wrapText="1"/>
    </xf>
    <xf numFmtId="0" fontId="0" fillId="0" borderId="24" xfId="0" applyFont="1" applyBorder="1" applyAlignment="1">
      <alignment horizontal="left" vertical="top"/>
    </xf>
    <xf numFmtId="0" fontId="0" fillId="20" borderId="24" xfId="0" applyFont="1" applyFill="1" applyBorder="1" applyAlignment="1">
      <alignment horizontal="left" vertical="top" wrapText="1"/>
    </xf>
    <xf numFmtId="0" fontId="0" fillId="20" borderId="24" xfId="0" applyFont="1" applyFill="1" applyBorder="1" applyAlignment="1">
      <alignment horizontal="left" vertical="top"/>
    </xf>
    <xf numFmtId="0" fontId="0" fillId="0" borderId="12" xfId="0" applyFont="1" applyBorder="1" applyAlignment="1">
      <alignment horizontal="left" vertical="top"/>
    </xf>
    <xf numFmtId="0" fontId="0" fillId="23" borderId="24" xfId="0" applyFont="1" applyFill="1" applyBorder="1" applyAlignment="1">
      <alignment horizontal="left" vertical="top" wrapText="1"/>
    </xf>
    <xf numFmtId="0" fontId="0" fillId="23" borderId="24" xfId="0" applyFont="1" applyFill="1" applyBorder="1" applyAlignment="1">
      <alignment horizontal="left" vertical="top"/>
    </xf>
    <xf numFmtId="9" fontId="0" fillId="20" borderId="24" xfId="0" applyNumberFormat="1" applyFont="1" applyFill="1" applyBorder="1" applyAlignment="1">
      <alignment horizontal="left" vertical="top" wrapText="1"/>
    </xf>
    <xf numFmtId="0" fontId="56" fillId="34" borderId="24" xfId="0" applyFont="1" applyFill="1" applyBorder="1" applyAlignment="1">
      <alignment horizontal="left" vertical="top" wrapText="1"/>
    </xf>
    <xf numFmtId="0" fontId="56" fillId="0" borderId="24" xfId="0" applyFont="1" applyBorder="1" applyAlignment="1">
      <alignment horizontal="left" vertical="top"/>
    </xf>
    <xf numFmtId="0" fontId="3" fillId="11" borderId="44" xfId="0" applyFont="1" applyFill="1" applyBorder="1" applyAlignment="1">
      <alignment horizontal="center" vertical="center" wrapText="1"/>
    </xf>
    <xf numFmtId="0" fontId="0" fillId="28" borderId="55" xfId="0" applyFont="1" applyFill="1" applyBorder="1" applyAlignment="1">
      <alignment horizontal="left" vertical="top" wrapText="1"/>
    </xf>
    <xf numFmtId="0" fontId="15" fillId="28" borderId="55" xfId="0" applyFont="1" applyFill="1" applyBorder="1" applyAlignment="1">
      <alignment horizontal="left" vertical="top" wrapText="1"/>
    </xf>
    <xf numFmtId="0" fontId="3" fillId="32" borderId="24" xfId="0" applyFont="1" applyFill="1" applyBorder="1" applyAlignment="1">
      <alignment horizontal="center" vertical="center" wrapText="1"/>
    </xf>
    <xf numFmtId="0" fontId="5" fillId="24" borderId="24" xfId="0" applyFont="1" applyFill="1" applyBorder="1" applyAlignment="1">
      <alignment horizontal="center" vertical="center" wrapText="1"/>
    </xf>
    <xf numFmtId="0" fontId="27" fillId="28" borderId="24" xfId="0" applyFont="1" applyFill="1" applyBorder="1" applyAlignment="1">
      <alignment horizontal="center" vertical="center"/>
    </xf>
    <xf numFmtId="0" fontId="27" fillId="28" borderId="55" xfId="0" applyFont="1" applyFill="1" applyBorder="1" applyAlignment="1">
      <alignment horizontal="center" vertical="center"/>
    </xf>
    <xf numFmtId="9" fontId="0" fillId="28" borderId="64" xfId="1" applyNumberFormat="1" applyFont="1" applyFill="1" applyBorder="1" applyAlignment="1">
      <alignment horizontal="left" vertical="top" wrapText="1"/>
    </xf>
    <xf numFmtId="9" fontId="0" fillId="28" borderId="24" xfId="1" applyNumberFormat="1" applyFont="1" applyFill="1" applyBorder="1" applyAlignment="1">
      <alignment horizontal="left" vertical="top" wrapText="1"/>
    </xf>
    <xf numFmtId="9" fontId="0" fillId="28" borderId="55" xfId="1" applyNumberFormat="1" applyFont="1" applyFill="1" applyBorder="1" applyAlignment="1">
      <alignment horizontal="left" vertical="top" wrapText="1"/>
    </xf>
    <xf numFmtId="9" fontId="0" fillId="28" borderId="64" xfId="0" applyNumberFormat="1" applyFont="1" applyFill="1" applyBorder="1" applyAlignment="1">
      <alignment horizontal="left" vertical="top" wrapText="1"/>
    </xf>
    <xf numFmtId="9" fontId="0" fillId="28" borderId="24" xfId="0" applyNumberFormat="1" applyFont="1" applyFill="1" applyBorder="1" applyAlignment="1">
      <alignment horizontal="left" vertical="top" wrapText="1"/>
    </xf>
    <xf numFmtId="9" fontId="0" fillId="28" borderId="55" xfId="0" applyNumberFormat="1" applyFont="1" applyFill="1" applyBorder="1" applyAlignment="1">
      <alignment horizontal="left" vertical="top" wrapText="1"/>
    </xf>
    <xf numFmtId="0" fontId="0" fillId="28" borderId="64" xfId="0" applyNumberFormat="1" applyFont="1" applyFill="1" applyBorder="1" applyAlignment="1">
      <alignment horizontal="left" vertical="top" wrapText="1"/>
    </xf>
    <xf numFmtId="0" fontId="0" fillId="28" borderId="24" xfId="0" applyNumberFormat="1" applyFont="1" applyFill="1" applyBorder="1" applyAlignment="1">
      <alignment horizontal="left" vertical="top" wrapText="1"/>
    </xf>
    <xf numFmtId="9" fontId="27" fillId="28" borderId="55" xfId="0" applyNumberFormat="1" applyFont="1" applyFill="1" applyBorder="1" applyAlignment="1">
      <alignment horizontal="left" vertical="top" wrapText="1"/>
    </xf>
    <xf numFmtId="9" fontId="15" fillId="28" borderId="64" xfId="0" applyNumberFormat="1" applyFont="1" applyFill="1" applyBorder="1" applyAlignment="1">
      <alignment horizontal="left" vertical="top" wrapText="1"/>
    </xf>
    <xf numFmtId="9" fontId="15" fillId="28" borderId="24" xfId="0" applyNumberFormat="1" applyFont="1" applyFill="1" applyBorder="1" applyAlignment="1">
      <alignment horizontal="left" vertical="top" wrapText="1"/>
    </xf>
    <xf numFmtId="9" fontId="15" fillId="28" borderId="55" xfId="0" applyNumberFormat="1" applyFont="1" applyFill="1" applyBorder="1" applyAlignment="1">
      <alignment horizontal="left" vertical="top" wrapText="1"/>
    </xf>
    <xf numFmtId="9" fontId="61" fillId="28" borderId="55" xfId="0" applyNumberFormat="1" applyFont="1" applyFill="1" applyBorder="1" applyAlignment="1">
      <alignment horizontal="left" vertical="top" wrapText="1"/>
    </xf>
    <xf numFmtId="0" fontId="61" fillId="28" borderId="64" xfId="0" applyFont="1" applyFill="1" applyBorder="1" applyAlignment="1">
      <alignment horizontal="left" vertical="top" wrapText="1"/>
    </xf>
    <xf numFmtId="0" fontId="61" fillId="28" borderId="24" xfId="0" applyFont="1" applyFill="1" applyBorder="1" applyAlignment="1">
      <alignment horizontal="left" vertical="top" wrapText="1"/>
    </xf>
    <xf numFmtId="0" fontId="61" fillId="28" borderId="55" xfId="0" applyFont="1" applyFill="1" applyBorder="1" applyAlignment="1">
      <alignment horizontal="left" vertical="top" wrapText="1"/>
    </xf>
    <xf numFmtId="9" fontId="15" fillId="28" borderId="55" xfId="1" applyNumberFormat="1" applyFont="1" applyFill="1" applyBorder="1" applyAlignment="1">
      <alignment horizontal="left" vertical="top" wrapText="1"/>
    </xf>
    <xf numFmtId="9" fontId="15" fillId="28" borderId="64" xfId="1" applyNumberFormat="1" applyFont="1" applyFill="1" applyBorder="1" applyAlignment="1">
      <alignment horizontal="left" vertical="top" wrapText="1"/>
    </xf>
    <xf numFmtId="9" fontId="15" fillId="28" borderId="24" xfId="1" applyNumberFormat="1" applyFont="1" applyFill="1" applyBorder="1" applyAlignment="1">
      <alignment horizontal="left" vertical="top" wrapText="1"/>
    </xf>
    <xf numFmtId="9" fontId="6" fillId="0" borderId="24" xfId="1" applyFont="1" applyFill="1" applyBorder="1" applyAlignment="1">
      <alignment horizontal="center" vertical="center" wrapText="1"/>
    </xf>
    <xf numFmtId="0" fontId="5" fillId="8" borderId="53" xfId="0" applyFont="1" applyFill="1" applyBorder="1" applyAlignment="1">
      <alignment horizontal="center" vertical="center" wrapText="1"/>
    </xf>
    <xf numFmtId="0" fontId="5" fillId="8" borderId="10" xfId="0" applyFont="1" applyFill="1" applyBorder="1" applyAlignment="1">
      <alignment horizontal="center" vertical="center" wrapText="1"/>
    </xf>
    <xf numFmtId="0" fontId="2" fillId="23" borderId="24" xfId="0" applyFont="1" applyFill="1" applyBorder="1" applyAlignment="1">
      <alignment horizontal="center" vertical="center" wrapText="1"/>
    </xf>
    <xf numFmtId="9" fontId="2" fillId="23" borderId="24" xfId="0" applyNumberFormat="1" applyFont="1" applyFill="1" applyBorder="1" applyAlignment="1">
      <alignment horizontal="center" vertical="center" wrapText="1"/>
    </xf>
    <xf numFmtId="0" fontId="3" fillId="17" borderId="52" xfId="0" applyFont="1" applyFill="1" applyBorder="1" applyAlignment="1">
      <alignment horizontal="center" vertical="center" wrapText="1"/>
    </xf>
    <xf numFmtId="0" fontId="3" fillId="17" borderId="53" xfId="0" applyFont="1" applyFill="1" applyBorder="1" applyAlignment="1">
      <alignment horizontal="center" vertical="center" wrapText="1"/>
    </xf>
    <xf numFmtId="0" fontId="3" fillId="17" borderId="10" xfId="0" applyFont="1" applyFill="1" applyBorder="1" applyAlignment="1">
      <alignment horizontal="center" vertical="center" wrapText="1"/>
    </xf>
    <xf numFmtId="0" fontId="3" fillId="2" borderId="40" xfId="0" applyFont="1" applyFill="1" applyBorder="1" applyAlignment="1">
      <alignment horizontal="center" vertical="center" wrapText="1"/>
    </xf>
    <xf numFmtId="0" fontId="3" fillId="2" borderId="41" xfId="0" applyFont="1" applyFill="1" applyBorder="1" applyAlignment="1">
      <alignment horizontal="center" vertical="center" wrapText="1"/>
    </xf>
    <xf numFmtId="0" fontId="3" fillId="2" borderId="42" xfId="0" applyFont="1" applyFill="1" applyBorder="1" applyAlignment="1">
      <alignment horizontal="center" vertical="center" wrapText="1"/>
    </xf>
    <xf numFmtId="9" fontId="6" fillId="0" borderId="12" xfId="1" applyFont="1" applyFill="1" applyBorder="1" applyAlignment="1">
      <alignment horizontal="center" vertical="center" wrapText="1"/>
    </xf>
    <xf numFmtId="9" fontId="6" fillId="0" borderId="21" xfId="1" applyFont="1" applyFill="1" applyBorder="1" applyAlignment="1">
      <alignment horizontal="center" vertical="center" wrapText="1"/>
    </xf>
    <xf numFmtId="9" fontId="2" fillId="0" borderId="12" xfId="0" applyNumberFormat="1" applyFont="1" applyFill="1" applyBorder="1" applyAlignment="1">
      <alignment horizontal="center" vertical="center" wrapText="1"/>
    </xf>
    <xf numFmtId="9" fontId="2" fillId="0" borderId="21" xfId="0" applyNumberFormat="1" applyFont="1" applyFill="1" applyBorder="1" applyAlignment="1">
      <alignment horizontal="center" vertical="center" wrapText="1"/>
    </xf>
    <xf numFmtId="9" fontId="2" fillId="0" borderId="57" xfId="0" applyNumberFormat="1" applyFont="1" applyFill="1" applyBorder="1" applyAlignment="1">
      <alignment horizontal="center" vertical="center" wrapText="1"/>
    </xf>
    <xf numFmtId="9" fontId="2" fillId="0" borderId="58" xfId="0" applyNumberFormat="1" applyFont="1" applyFill="1" applyBorder="1" applyAlignment="1">
      <alignment horizontal="center" vertical="center" wrapText="1"/>
    </xf>
    <xf numFmtId="9" fontId="2" fillId="0" borderId="18" xfId="0" applyNumberFormat="1"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38" xfId="0" applyFont="1" applyFill="1" applyBorder="1" applyAlignment="1">
      <alignment horizontal="center" vertical="center" wrapText="1"/>
    </xf>
    <xf numFmtId="0" fontId="7" fillId="3" borderId="12" xfId="0" applyFont="1" applyFill="1" applyBorder="1" applyAlignment="1">
      <alignment horizontal="center" vertical="center" wrapText="1"/>
    </xf>
    <xf numFmtId="0" fontId="7" fillId="3" borderId="21"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21" xfId="0" applyFont="1" applyFill="1" applyBorder="1" applyAlignment="1">
      <alignment horizontal="center" vertical="center" wrapText="1"/>
    </xf>
    <xf numFmtId="1" fontId="6" fillId="0" borderId="12" xfId="1" applyNumberFormat="1" applyFont="1" applyFill="1" applyBorder="1" applyAlignment="1">
      <alignment horizontal="center" vertical="center" wrapText="1"/>
    </xf>
    <xf numFmtId="1" fontId="6" fillId="0" borderId="21" xfId="1" applyNumberFormat="1" applyFont="1" applyFill="1" applyBorder="1" applyAlignment="1">
      <alignment horizontal="center" vertical="center" wrapText="1"/>
    </xf>
    <xf numFmtId="1" fontId="6" fillId="0" borderId="17" xfId="1" applyNumberFormat="1" applyFont="1" applyFill="1" applyBorder="1" applyAlignment="1">
      <alignment horizontal="center" vertical="center" wrapText="1"/>
    </xf>
    <xf numFmtId="9" fontId="6" fillId="0" borderId="17" xfId="1" applyFont="1" applyFill="1" applyBorder="1" applyAlignment="1">
      <alignment horizontal="center" vertical="center" wrapText="1"/>
    </xf>
    <xf numFmtId="9" fontId="6" fillId="0" borderId="24" xfId="1" applyFont="1" applyFill="1" applyBorder="1" applyAlignment="1">
      <alignment horizontal="center" vertical="center" wrapText="1"/>
    </xf>
    <xf numFmtId="9" fontId="2" fillId="0" borderId="24" xfId="1" applyFont="1" applyFill="1" applyBorder="1" applyAlignment="1">
      <alignment horizontal="center" vertical="center" wrapText="1"/>
    </xf>
    <xf numFmtId="9" fontId="2" fillId="0" borderId="55" xfId="1" applyFont="1" applyFill="1" applyBorder="1" applyAlignment="1">
      <alignment horizontal="center" vertical="center" wrapText="1"/>
    </xf>
    <xf numFmtId="9" fontId="2" fillId="0" borderId="13" xfId="1" applyFont="1" applyFill="1" applyBorder="1" applyAlignment="1">
      <alignment horizontal="center" vertical="center" wrapText="1"/>
    </xf>
    <xf numFmtId="9" fontId="2" fillId="0" borderId="18" xfId="1" applyFont="1" applyFill="1" applyBorder="1" applyAlignment="1">
      <alignment horizontal="center" vertical="center" wrapText="1"/>
    </xf>
    <xf numFmtId="9" fontId="2" fillId="0" borderId="28" xfId="1" applyFont="1" applyFill="1" applyBorder="1" applyAlignment="1">
      <alignment horizontal="center" vertical="center" wrapText="1"/>
    </xf>
    <xf numFmtId="9" fontId="2" fillId="0" borderId="38" xfId="1" applyFont="1" applyFill="1" applyBorder="1" applyAlignment="1">
      <alignment horizontal="center" vertical="center" wrapText="1"/>
    </xf>
    <xf numFmtId="0" fontId="7" fillId="3" borderId="28" xfId="0" applyFont="1" applyFill="1" applyBorder="1" applyAlignment="1">
      <alignment horizontal="center" vertical="center" wrapText="1"/>
    </xf>
    <xf numFmtId="0" fontId="7" fillId="3" borderId="38" xfId="0" applyFont="1" applyFill="1" applyBorder="1" applyAlignment="1">
      <alignment horizontal="center" vertical="center" wrapText="1"/>
    </xf>
    <xf numFmtId="0" fontId="7" fillId="3" borderId="29" xfId="0" applyFont="1" applyFill="1" applyBorder="1" applyAlignment="1">
      <alignment horizontal="center" vertical="center" wrapText="1"/>
    </xf>
    <xf numFmtId="0" fontId="6" fillId="0" borderId="17" xfId="0" applyFont="1" applyFill="1" applyBorder="1" applyAlignment="1">
      <alignment horizontal="center" vertical="center" wrapText="1"/>
    </xf>
    <xf numFmtId="9" fontId="6" fillId="0" borderId="15" xfId="1" applyFont="1" applyFill="1" applyBorder="1" applyAlignment="1">
      <alignment horizontal="center" vertical="center" wrapText="1"/>
    </xf>
    <xf numFmtId="9" fontId="6" fillId="0" borderId="20" xfId="1" applyFont="1" applyFill="1" applyBorder="1" applyAlignment="1">
      <alignment horizontal="center" vertical="center" wrapText="1"/>
    </xf>
    <xf numFmtId="0" fontId="7" fillId="3" borderId="13" xfId="0" applyFont="1" applyFill="1" applyBorder="1" applyAlignment="1">
      <alignment horizontal="center" vertical="center" wrapText="1"/>
    </xf>
    <xf numFmtId="0" fontId="7" fillId="3" borderId="18" xfId="0" applyFont="1" applyFill="1" applyBorder="1" applyAlignment="1">
      <alignment horizontal="center" vertical="center" wrapText="1"/>
    </xf>
    <xf numFmtId="0" fontId="7" fillId="3" borderId="16"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22" xfId="0" applyFont="1" applyFill="1" applyBorder="1" applyAlignment="1">
      <alignment horizontal="center" vertical="center" wrapText="1"/>
    </xf>
    <xf numFmtId="9" fontId="6" fillId="0" borderId="23" xfId="1" applyFont="1" applyFill="1" applyBorder="1" applyAlignment="1">
      <alignment horizontal="center" vertical="center" wrapText="1"/>
    </xf>
    <xf numFmtId="10" fontId="2" fillId="0" borderId="13" xfId="0" applyNumberFormat="1" applyFont="1" applyFill="1" applyBorder="1" applyAlignment="1">
      <alignment horizontal="center" vertical="center" wrapText="1"/>
    </xf>
    <xf numFmtId="10" fontId="2" fillId="0" borderId="18" xfId="0" applyNumberFormat="1" applyFont="1" applyFill="1" applyBorder="1" applyAlignment="1">
      <alignment horizontal="center" vertical="center" wrapText="1"/>
    </xf>
    <xf numFmtId="10" fontId="2" fillId="0" borderId="16" xfId="0" applyNumberFormat="1" applyFont="1" applyFill="1" applyBorder="1" applyAlignment="1">
      <alignment horizontal="center" vertical="center" wrapText="1"/>
    </xf>
    <xf numFmtId="9" fontId="2" fillId="0" borderId="13" xfId="0" applyNumberFormat="1" applyFont="1" applyFill="1" applyBorder="1" applyAlignment="1">
      <alignment horizontal="center" vertical="center" wrapText="1"/>
    </xf>
    <xf numFmtId="9" fontId="2" fillId="0" borderId="16" xfId="0" applyNumberFormat="1" applyFont="1" applyFill="1" applyBorder="1" applyAlignment="1">
      <alignment horizontal="center" vertical="center" wrapText="1"/>
    </xf>
    <xf numFmtId="9" fontId="2" fillId="0" borderId="28" xfId="0" applyNumberFormat="1" applyFont="1" applyFill="1" applyBorder="1" applyAlignment="1">
      <alignment horizontal="center" vertical="center" wrapText="1"/>
    </xf>
    <xf numFmtId="9" fontId="2" fillId="0" borderId="38" xfId="0" applyNumberFormat="1" applyFont="1" applyFill="1" applyBorder="1" applyAlignment="1">
      <alignment horizontal="center" vertical="center" wrapText="1"/>
    </xf>
    <xf numFmtId="9" fontId="2" fillId="0" borderId="29" xfId="0" applyNumberFormat="1" applyFont="1" applyFill="1" applyBorder="1" applyAlignment="1">
      <alignment horizontal="center" vertical="center" wrapText="1"/>
    </xf>
    <xf numFmtId="9" fontId="6" fillId="0" borderId="28" xfId="1" applyFont="1" applyFill="1" applyBorder="1" applyAlignment="1">
      <alignment horizontal="center" vertical="center" wrapText="1"/>
    </xf>
    <xf numFmtId="9" fontId="6" fillId="0" borderId="38" xfId="1" applyFont="1" applyFill="1" applyBorder="1" applyAlignment="1">
      <alignment horizontal="center" vertical="center" wrapText="1"/>
    </xf>
    <xf numFmtId="9" fontId="6" fillId="0" borderId="29" xfId="1" applyFont="1" applyFill="1" applyBorder="1" applyAlignment="1">
      <alignment horizontal="center" vertical="center" wrapText="1"/>
    </xf>
    <xf numFmtId="0" fontId="2" fillId="0" borderId="0" xfId="0" applyFont="1" applyAlignment="1">
      <alignment horizontal="left" wrapText="1"/>
    </xf>
    <xf numFmtId="9" fontId="6" fillId="0" borderId="13" xfId="1" applyFont="1" applyFill="1" applyBorder="1" applyAlignment="1">
      <alignment horizontal="center" vertical="center" wrapText="1"/>
    </xf>
    <xf numFmtId="9" fontId="6" fillId="0" borderId="18" xfId="1" applyFont="1" applyFill="1" applyBorder="1" applyAlignment="1">
      <alignment horizontal="center" vertical="center" wrapText="1"/>
    </xf>
    <xf numFmtId="9" fontId="6" fillId="0" borderId="16" xfId="1" applyFont="1" applyFill="1" applyBorder="1" applyAlignment="1">
      <alignment horizontal="center" vertical="center" wrapText="1"/>
    </xf>
    <xf numFmtId="9" fontId="2" fillId="0" borderId="12" xfId="1" applyFont="1" applyFill="1" applyBorder="1" applyAlignment="1">
      <alignment horizontal="center" vertical="center" wrapText="1"/>
    </xf>
    <xf numFmtId="9" fontId="2" fillId="0" borderId="17" xfId="1" applyFont="1" applyFill="1" applyBorder="1" applyAlignment="1">
      <alignment horizontal="center" vertical="center" wrapText="1"/>
    </xf>
    <xf numFmtId="9" fontId="2" fillId="0" borderId="21" xfId="1" applyFont="1" applyFill="1" applyBorder="1" applyAlignment="1">
      <alignment horizontal="center" vertical="center" wrapText="1"/>
    </xf>
    <xf numFmtId="9" fontId="2" fillId="0" borderId="15" xfId="1" applyFont="1" applyFill="1" applyBorder="1" applyAlignment="1">
      <alignment horizontal="center" vertical="center" wrapText="1"/>
    </xf>
    <xf numFmtId="9" fontId="2" fillId="0" borderId="20" xfId="1" applyFont="1" applyFill="1" applyBorder="1" applyAlignment="1">
      <alignment horizontal="center" vertical="center" wrapText="1"/>
    </xf>
    <xf numFmtId="9" fontId="2" fillId="0" borderId="23" xfId="1"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0" borderId="29"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2" fillId="0" borderId="22" xfId="0" applyFont="1" applyFill="1" applyBorder="1" applyAlignment="1">
      <alignment horizontal="center" vertical="center" wrapText="1"/>
    </xf>
    <xf numFmtId="10" fontId="2" fillId="0" borderId="12" xfId="1" applyNumberFormat="1" applyFont="1" applyFill="1" applyBorder="1" applyAlignment="1">
      <alignment horizontal="center" vertical="center" wrapText="1"/>
    </xf>
    <xf numFmtId="10" fontId="2" fillId="0" borderId="17" xfId="1" applyNumberFormat="1" applyFont="1" applyFill="1" applyBorder="1" applyAlignment="1">
      <alignment horizontal="center" vertical="center" wrapText="1"/>
    </xf>
    <xf numFmtId="10" fontId="2" fillId="0" borderId="21" xfId="1" applyNumberFormat="1" applyFont="1" applyFill="1" applyBorder="1" applyAlignment="1">
      <alignment horizontal="center" vertical="center" wrapText="1"/>
    </xf>
    <xf numFmtId="1" fontId="2" fillId="0" borderId="12" xfId="1" applyNumberFormat="1" applyFont="1" applyFill="1" applyBorder="1" applyAlignment="1">
      <alignment horizontal="center" vertical="center" wrapText="1"/>
    </xf>
    <xf numFmtId="1" fontId="2" fillId="0" borderId="17" xfId="1" applyNumberFormat="1" applyFont="1" applyFill="1" applyBorder="1" applyAlignment="1">
      <alignment horizontal="center" vertical="center" wrapText="1"/>
    </xf>
    <xf numFmtId="1" fontId="2" fillId="0" borderId="21" xfId="1" applyNumberFormat="1" applyFont="1" applyFill="1" applyBorder="1" applyAlignment="1">
      <alignment horizontal="center" vertical="center" wrapText="1"/>
    </xf>
    <xf numFmtId="0" fontId="2" fillId="14" borderId="14" xfId="0" applyFont="1" applyFill="1" applyBorder="1" applyAlignment="1">
      <alignment horizontal="center" vertical="center" wrapText="1"/>
    </xf>
    <xf numFmtId="0" fontId="2" fillId="14" borderId="19" xfId="0" applyFont="1" applyFill="1" applyBorder="1" applyAlignment="1">
      <alignment horizontal="center" vertical="center" wrapText="1"/>
    </xf>
    <xf numFmtId="0" fontId="2" fillId="14" borderId="22" xfId="0" applyFont="1" applyFill="1" applyBorder="1" applyAlignment="1">
      <alignment horizontal="center" vertical="center" wrapText="1"/>
    </xf>
    <xf numFmtId="9" fontId="12" fillId="0" borderId="12" xfId="1" applyFont="1" applyFill="1" applyBorder="1" applyAlignment="1">
      <alignment horizontal="center" vertical="center" wrapText="1"/>
    </xf>
    <xf numFmtId="9" fontId="12" fillId="0" borderId="17" xfId="1" applyFont="1" applyFill="1" applyBorder="1" applyAlignment="1">
      <alignment horizontal="center" vertical="center" wrapText="1"/>
    </xf>
    <xf numFmtId="9" fontId="12" fillId="0" borderId="21" xfId="1" applyFont="1" applyFill="1" applyBorder="1" applyAlignment="1">
      <alignment horizontal="center" vertical="center" wrapText="1"/>
    </xf>
    <xf numFmtId="0" fontId="12" fillId="0" borderId="14"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22" xfId="0" applyFont="1" applyFill="1" applyBorder="1" applyAlignment="1">
      <alignment horizontal="center" vertical="center" wrapText="1"/>
    </xf>
    <xf numFmtId="9" fontId="2" fillId="0" borderId="27" xfId="1" applyFont="1" applyFill="1" applyBorder="1" applyAlignment="1">
      <alignment horizontal="center" vertical="center" wrapText="1"/>
    </xf>
    <xf numFmtId="1" fontId="2" fillId="0" borderId="26" xfId="1" applyNumberFormat="1" applyFont="1" applyFill="1" applyBorder="1" applyAlignment="1">
      <alignment horizontal="center" vertical="center" wrapText="1"/>
    </xf>
    <xf numFmtId="9" fontId="2" fillId="0" borderId="26" xfId="1" applyFont="1" applyFill="1" applyBorder="1" applyAlignment="1">
      <alignment horizontal="center" vertical="center" wrapText="1"/>
    </xf>
    <xf numFmtId="9" fontId="12" fillId="0" borderId="26" xfId="1" applyFont="1" applyFill="1" applyBorder="1" applyAlignment="1">
      <alignment horizontal="center" vertical="center" wrapText="1"/>
    </xf>
    <xf numFmtId="0" fontId="12" fillId="0" borderId="25"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2" xfId="0" applyFont="1" applyFill="1" applyBorder="1" applyAlignment="1">
      <alignment horizontal="center" vertical="center" wrapText="1"/>
    </xf>
    <xf numFmtId="10" fontId="2" fillId="0" borderId="26" xfId="1" applyNumberFormat="1" applyFont="1" applyFill="1" applyBorder="1" applyAlignment="1">
      <alignment horizontal="center" vertical="center" wrapText="1"/>
    </xf>
    <xf numFmtId="0" fontId="2" fillId="0" borderId="12" xfId="0" applyFont="1" applyFill="1" applyBorder="1" applyAlignment="1">
      <alignment horizontal="left" vertical="center" wrapText="1"/>
    </xf>
    <xf numFmtId="0" fontId="2" fillId="0" borderId="21" xfId="0" applyFont="1" applyFill="1" applyBorder="1" applyAlignment="1">
      <alignment horizontal="left" vertical="center" wrapText="1"/>
    </xf>
    <xf numFmtId="14" fontId="2" fillId="0" borderId="15" xfId="0" applyNumberFormat="1" applyFont="1" applyFill="1" applyBorder="1" applyAlignment="1">
      <alignment horizontal="left" vertical="center" wrapText="1"/>
    </xf>
    <xf numFmtId="14" fontId="2" fillId="0" borderId="23" xfId="0" applyNumberFormat="1" applyFont="1" applyFill="1" applyBorder="1" applyAlignment="1">
      <alignment horizontal="left" vertical="center" wrapText="1"/>
    </xf>
    <xf numFmtId="0" fontId="2" fillId="0" borderId="13" xfId="0" applyFont="1" applyFill="1" applyBorder="1" applyAlignment="1">
      <alignment horizontal="center" vertical="center" wrapText="1"/>
    </xf>
    <xf numFmtId="0" fontId="2" fillId="0" borderId="28"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2" fillId="0" borderId="14" xfId="0" applyFont="1" applyFill="1" applyBorder="1" applyAlignment="1">
      <alignment vertical="center" wrapText="1"/>
    </xf>
    <xf numFmtId="0" fontId="2" fillId="0" borderId="22" xfId="0" applyFont="1" applyFill="1" applyBorder="1" applyAlignment="1">
      <alignment vertical="center" wrapText="1"/>
    </xf>
    <xf numFmtId="0" fontId="2" fillId="0" borderId="12" xfId="0" applyFont="1" applyFill="1" applyBorder="1" applyAlignment="1">
      <alignment horizontal="center" vertical="center" wrapText="1"/>
    </xf>
    <xf numFmtId="0" fontId="2" fillId="0" borderId="21" xfId="0" applyFont="1" applyFill="1" applyBorder="1" applyAlignment="1">
      <alignment horizontal="center" vertical="center" wrapText="1"/>
    </xf>
    <xf numFmtId="9" fontId="2" fillId="0" borderId="29" xfId="1" applyFont="1" applyFill="1" applyBorder="1" applyAlignment="1">
      <alignment horizontal="center" vertical="center" wrapText="1"/>
    </xf>
    <xf numFmtId="0" fontId="2" fillId="0" borderId="12" xfId="0" applyFont="1" applyFill="1" applyBorder="1" applyAlignment="1">
      <alignment vertical="center" wrapText="1"/>
    </xf>
    <xf numFmtId="0" fontId="2" fillId="0" borderId="17" xfId="0" applyFont="1" applyFill="1" applyBorder="1" applyAlignment="1">
      <alignment vertical="center" wrapText="1"/>
    </xf>
    <xf numFmtId="0" fontId="2" fillId="0" borderId="21" xfId="0" applyFont="1" applyFill="1" applyBorder="1" applyAlignment="1">
      <alignment vertical="center" wrapText="1"/>
    </xf>
    <xf numFmtId="0" fontId="17" fillId="0" borderId="12" xfId="0" applyFont="1" applyFill="1" applyBorder="1" applyAlignment="1">
      <alignment horizontal="left" vertical="center" wrapText="1"/>
    </xf>
    <xf numFmtId="0" fontId="17" fillId="0" borderId="17" xfId="0" applyFont="1" applyFill="1" applyBorder="1" applyAlignment="1">
      <alignment horizontal="left" vertical="center" wrapText="1"/>
    </xf>
    <xf numFmtId="0" fontId="17" fillId="0" borderId="21" xfId="0" applyFont="1" applyFill="1" applyBorder="1" applyAlignment="1">
      <alignment horizontal="left" vertical="center" wrapText="1"/>
    </xf>
    <xf numFmtId="9" fontId="2" fillId="0" borderId="12" xfId="1" applyFont="1" applyFill="1" applyBorder="1" applyAlignment="1">
      <alignment horizontal="left" vertical="center" wrapText="1"/>
    </xf>
    <xf numFmtId="9" fontId="2" fillId="0" borderId="21" xfId="1" applyFont="1" applyFill="1" applyBorder="1" applyAlignment="1">
      <alignment horizontal="left" vertical="center" wrapText="1"/>
    </xf>
    <xf numFmtId="9" fontId="2" fillId="0" borderId="16" xfId="1" applyFont="1" applyFill="1" applyBorder="1" applyAlignment="1">
      <alignment horizontal="center" vertical="center" wrapText="1"/>
    </xf>
    <xf numFmtId="0" fontId="18" fillId="0" borderId="36" xfId="0" applyFont="1" applyFill="1" applyBorder="1" applyAlignment="1">
      <alignment vertical="center" wrapText="1"/>
    </xf>
    <xf numFmtId="0" fontId="18" fillId="0" borderId="37" xfId="0" applyFont="1" applyFill="1" applyBorder="1" applyAlignment="1">
      <alignment vertical="center" wrapText="1"/>
    </xf>
    <xf numFmtId="0" fontId="2" fillId="0" borderId="12" xfId="1" applyNumberFormat="1" applyFont="1" applyFill="1" applyBorder="1" applyAlignment="1">
      <alignment horizontal="center" vertical="center" wrapText="1"/>
    </xf>
    <xf numFmtId="0" fontId="2" fillId="0" borderId="21" xfId="1" applyNumberFormat="1" applyFont="1" applyFill="1" applyBorder="1" applyAlignment="1">
      <alignment horizontal="center" vertical="center" wrapText="1"/>
    </xf>
    <xf numFmtId="1" fontId="12" fillId="0" borderId="12" xfId="1" applyNumberFormat="1" applyFont="1" applyFill="1" applyBorder="1" applyAlignment="1">
      <alignment horizontal="center" vertical="center" wrapText="1"/>
    </xf>
    <xf numFmtId="1" fontId="12" fillId="0" borderId="17" xfId="1" applyNumberFormat="1" applyFont="1" applyFill="1" applyBorder="1" applyAlignment="1">
      <alignment horizontal="center" vertical="center" wrapText="1"/>
    </xf>
    <xf numFmtId="1" fontId="12" fillId="0" borderId="21" xfId="1" applyNumberFormat="1" applyFont="1" applyFill="1" applyBorder="1" applyAlignment="1">
      <alignment horizontal="center" vertical="center" wrapText="1"/>
    </xf>
    <xf numFmtId="9" fontId="2" fillId="0" borderId="17" xfId="1" applyFont="1" applyFill="1" applyBorder="1" applyAlignment="1">
      <alignment horizontal="left" vertical="center" wrapText="1"/>
    </xf>
    <xf numFmtId="9" fontId="2" fillId="0" borderId="15" xfId="1" applyFont="1" applyFill="1" applyBorder="1" applyAlignment="1">
      <alignment horizontal="left" vertical="center" wrapText="1"/>
    </xf>
    <xf numFmtId="9" fontId="2" fillId="0" borderId="20" xfId="1" applyFont="1" applyFill="1" applyBorder="1" applyAlignment="1">
      <alignment horizontal="left" vertical="center" wrapText="1"/>
    </xf>
    <xf numFmtId="9" fontId="2" fillId="0" borderId="23" xfId="1" applyFont="1" applyFill="1" applyBorder="1" applyAlignment="1">
      <alignment horizontal="left" vertical="center" wrapText="1"/>
    </xf>
    <xf numFmtId="0" fontId="16" fillId="3" borderId="13"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16" xfId="0" applyFont="1" applyFill="1" applyBorder="1" applyAlignment="1">
      <alignment horizontal="center" vertical="center" wrapText="1"/>
    </xf>
    <xf numFmtId="0" fontId="17" fillId="0" borderId="14" xfId="0" applyFont="1" applyFill="1" applyBorder="1" applyAlignment="1">
      <alignment horizontal="left" vertical="center" wrapText="1"/>
    </xf>
    <xf numFmtId="0" fontId="17" fillId="0" borderId="19" xfId="0" applyFont="1" applyFill="1" applyBorder="1" applyAlignment="1">
      <alignment horizontal="left" vertical="center" wrapText="1"/>
    </xf>
    <xf numFmtId="0" fontId="17" fillId="0" borderId="22" xfId="0" applyFont="1" applyFill="1" applyBorder="1" applyAlignment="1">
      <alignment horizontal="left" vertical="center" wrapText="1"/>
    </xf>
    <xf numFmtId="2" fontId="2" fillId="0" borderId="38" xfId="0" applyNumberFormat="1" applyFont="1" applyFill="1" applyBorder="1" applyAlignment="1">
      <alignment horizontal="center" vertical="center" wrapText="1"/>
    </xf>
    <xf numFmtId="2" fontId="2" fillId="0" borderId="29" xfId="0" applyNumberFormat="1" applyFont="1" applyFill="1" applyBorder="1" applyAlignment="1">
      <alignment horizontal="center" vertical="center" wrapText="1"/>
    </xf>
    <xf numFmtId="0" fontId="2" fillId="0" borderId="14" xfId="0" applyFont="1" applyFill="1" applyBorder="1" applyAlignment="1">
      <alignment horizontal="left" vertical="center" wrapText="1"/>
    </xf>
    <xf numFmtId="0" fontId="2" fillId="0" borderId="19" xfId="0" applyFont="1" applyFill="1" applyBorder="1" applyAlignment="1">
      <alignment horizontal="left" vertical="center" wrapText="1"/>
    </xf>
    <xf numFmtId="0" fontId="2" fillId="0" borderId="22" xfId="0" applyFont="1" applyFill="1" applyBorder="1" applyAlignment="1">
      <alignment horizontal="left" vertical="center" wrapText="1"/>
    </xf>
    <xf numFmtId="0" fontId="2" fillId="0" borderId="17" xfId="0" applyFont="1" applyFill="1" applyBorder="1" applyAlignment="1">
      <alignment horizontal="center" vertical="center" wrapText="1"/>
    </xf>
    <xf numFmtId="0" fontId="2" fillId="0" borderId="17" xfId="0" applyFont="1" applyFill="1" applyBorder="1" applyAlignment="1">
      <alignment horizontal="left" vertical="center" wrapText="1"/>
    </xf>
    <xf numFmtId="2" fontId="2" fillId="0" borderId="18" xfId="0" applyNumberFormat="1" applyFont="1" applyFill="1" applyBorder="1" applyAlignment="1">
      <alignment horizontal="center" vertical="center" wrapText="1"/>
    </xf>
    <xf numFmtId="2" fontId="2" fillId="0" borderId="16" xfId="0" applyNumberFormat="1" applyFont="1" applyFill="1" applyBorder="1" applyAlignment="1">
      <alignment horizontal="center" vertical="center" wrapText="1"/>
    </xf>
    <xf numFmtId="0" fontId="2" fillId="0" borderId="19" xfId="0" applyFont="1" applyFill="1" applyBorder="1" applyAlignment="1">
      <alignment vertical="center" wrapText="1"/>
    </xf>
    <xf numFmtId="165" fontId="2" fillId="0" borderId="13" xfId="0" applyNumberFormat="1" applyFont="1" applyFill="1" applyBorder="1" applyAlignment="1">
      <alignment horizontal="center" vertical="center" wrapText="1"/>
    </xf>
    <xf numFmtId="165" fontId="2" fillId="0" borderId="14" xfId="1" applyNumberFormat="1" applyFont="1" applyFill="1" applyBorder="1" applyAlignment="1">
      <alignment horizontal="left" vertical="center" wrapText="1"/>
    </xf>
    <xf numFmtId="165" fontId="2" fillId="0" borderId="22" xfId="1" applyNumberFormat="1"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25" xfId="0" applyFont="1" applyFill="1" applyBorder="1" applyAlignment="1">
      <alignment vertical="center" wrapText="1"/>
    </xf>
    <xf numFmtId="0" fontId="6" fillId="0" borderId="30" xfId="0" applyFont="1" applyFill="1" applyBorder="1" applyAlignment="1">
      <alignment horizontal="center" vertical="center" wrapText="1"/>
    </xf>
    <xf numFmtId="9" fontId="6" fillId="0" borderId="31" xfId="1" applyFont="1" applyFill="1" applyBorder="1" applyAlignment="1">
      <alignment horizontal="center" vertical="center" wrapText="1"/>
    </xf>
    <xf numFmtId="1" fontId="6" fillId="0" borderId="31" xfId="1" applyNumberFormat="1" applyFont="1" applyFill="1" applyBorder="1" applyAlignment="1">
      <alignment horizontal="center" vertical="center" wrapText="1"/>
    </xf>
    <xf numFmtId="9" fontId="13" fillId="0" borderId="12" xfId="1" applyFont="1" applyFill="1" applyBorder="1" applyAlignment="1">
      <alignment horizontal="center" vertical="center" wrapText="1"/>
    </xf>
    <xf numFmtId="9" fontId="13" fillId="0" borderId="17" xfId="1" applyFont="1" applyFill="1" applyBorder="1" applyAlignment="1">
      <alignment horizontal="center" vertical="center" wrapText="1"/>
    </xf>
    <xf numFmtId="9" fontId="13" fillId="0" borderId="21" xfId="1" applyFont="1" applyFill="1" applyBorder="1" applyAlignment="1">
      <alignment horizontal="center" vertical="center" wrapText="1"/>
    </xf>
    <xf numFmtId="0" fontId="13" fillId="0" borderId="14" xfId="0" applyFont="1" applyFill="1" applyBorder="1" applyAlignment="1">
      <alignment horizontal="center" vertical="center" wrapText="1"/>
    </xf>
    <xf numFmtId="0" fontId="13" fillId="0" borderId="19"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6" fillId="0" borderId="31" xfId="0" applyFont="1" applyFill="1" applyBorder="1" applyAlignment="1">
      <alignment horizontal="center" vertical="center" wrapText="1"/>
    </xf>
    <xf numFmtId="9" fontId="6" fillId="0" borderId="32" xfId="1" applyFont="1" applyFill="1" applyBorder="1" applyAlignment="1">
      <alignment horizontal="center" vertical="center" wrapText="1"/>
    </xf>
    <xf numFmtId="165" fontId="46" fillId="20" borderId="12" xfId="1" applyNumberFormat="1" applyFont="1" applyFill="1" applyBorder="1" applyAlignment="1">
      <alignment horizontal="center" vertical="center" wrapText="1"/>
    </xf>
    <xf numFmtId="165" fontId="46" fillId="20" borderId="17" xfId="1" applyNumberFormat="1" applyFont="1" applyFill="1" applyBorder="1" applyAlignment="1">
      <alignment horizontal="center" vertical="center" wrapText="1"/>
    </xf>
    <xf numFmtId="165" fontId="46" fillId="20" borderId="21" xfId="1" applyNumberFormat="1" applyFont="1" applyFill="1" applyBorder="1" applyAlignment="1">
      <alignment horizontal="center" vertical="center" wrapText="1"/>
    </xf>
    <xf numFmtId="0" fontId="46" fillId="20" borderId="12" xfId="0" applyFont="1" applyFill="1" applyBorder="1" applyAlignment="1">
      <alignment horizontal="center" vertical="center" wrapText="1"/>
    </xf>
    <xf numFmtId="0" fontId="46" fillId="20" borderId="17" xfId="0" applyFont="1" applyFill="1" applyBorder="1" applyAlignment="1">
      <alignment horizontal="center" vertical="center" wrapText="1"/>
    </xf>
    <xf numFmtId="0" fontId="46" fillId="20" borderId="21" xfId="0" applyFont="1" applyFill="1" applyBorder="1" applyAlignment="1">
      <alignment horizontal="center" vertical="center" wrapText="1"/>
    </xf>
    <xf numFmtId="9" fontId="46" fillId="20" borderId="15" xfId="1" applyFont="1" applyFill="1" applyBorder="1" applyAlignment="1">
      <alignment horizontal="center" vertical="center" wrapText="1"/>
    </xf>
    <xf numFmtId="9" fontId="46" fillId="20" borderId="20" xfId="1" applyFont="1" applyFill="1" applyBorder="1" applyAlignment="1">
      <alignment horizontal="center" vertical="center" wrapText="1"/>
    </xf>
    <xf numFmtId="9" fontId="46" fillId="20" borderId="23" xfId="1" applyFont="1" applyFill="1" applyBorder="1" applyAlignment="1">
      <alignment horizontal="center" vertical="center" wrapText="1"/>
    </xf>
    <xf numFmtId="9" fontId="44" fillId="20" borderId="13" xfId="0" applyNumberFormat="1" applyFont="1" applyFill="1" applyBorder="1" applyAlignment="1">
      <alignment horizontal="center" vertical="center" wrapText="1"/>
    </xf>
    <xf numFmtId="9" fontId="44" fillId="20" borderId="18" xfId="0" applyNumberFormat="1" applyFont="1" applyFill="1" applyBorder="1" applyAlignment="1">
      <alignment horizontal="center" vertical="center" wrapText="1"/>
    </xf>
    <xf numFmtId="9" fontId="44" fillId="20" borderId="16" xfId="0" applyNumberFormat="1" applyFont="1" applyFill="1" applyBorder="1" applyAlignment="1">
      <alignment horizontal="center" vertical="center" wrapText="1"/>
    </xf>
    <xf numFmtId="9" fontId="44" fillId="0" borderId="13" xfId="0" applyNumberFormat="1" applyFont="1" applyFill="1" applyBorder="1" applyAlignment="1">
      <alignment horizontal="center" vertical="center" wrapText="1"/>
    </xf>
    <xf numFmtId="9" fontId="44" fillId="0" borderId="18" xfId="0" applyNumberFormat="1" applyFont="1" applyFill="1" applyBorder="1" applyAlignment="1">
      <alignment horizontal="center" vertical="center" wrapText="1"/>
    </xf>
    <xf numFmtId="9" fontId="44" fillId="0" borderId="16" xfId="0" applyNumberFormat="1" applyFont="1" applyFill="1" applyBorder="1" applyAlignment="1">
      <alignment horizontal="center" vertical="center" wrapText="1"/>
    </xf>
    <xf numFmtId="0" fontId="44" fillId="20" borderId="13" xfId="0" applyFont="1" applyFill="1" applyBorder="1" applyAlignment="1">
      <alignment horizontal="center" vertical="center" wrapText="1"/>
    </xf>
    <xf numFmtId="0" fontId="44" fillId="20" borderId="18" xfId="0" applyFont="1" applyFill="1" applyBorder="1" applyAlignment="1">
      <alignment horizontal="center" vertical="center" wrapText="1"/>
    </xf>
    <xf numFmtId="0" fontId="44" fillId="20" borderId="16" xfId="0" applyFont="1" applyFill="1" applyBorder="1" applyAlignment="1">
      <alignment horizontal="center" vertical="center" wrapText="1"/>
    </xf>
    <xf numFmtId="9" fontId="44" fillId="0" borderId="13" xfId="0" applyNumberFormat="1" applyFont="1" applyBorder="1" applyAlignment="1">
      <alignment horizontal="center" vertical="center" wrapText="1"/>
    </xf>
    <xf numFmtId="0" fontId="44" fillId="0" borderId="18" xfId="0" applyFont="1" applyBorder="1" applyAlignment="1">
      <alignment horizontal="center" vertical="center" wrapText="1"/>
    </xf>
    <xf numFmtId="0" fontId="44" fillId="0" borderId="16" xfId="0" applyFont="1" applyBorder="1" applyAlignment="1">
      <alignment horizontal="center" vertical="center" wrapText="1"/>
    </xf>
    <xf numFmtId="1" fontId="46" fillId="20" borderId="12" xfId="1" applyNumberFormat="1" applyFont="1" applyFill="1" applyBorder="1" applyAlignment="1">
      <alignment horizontal="center" vertical="center" wrapText="1"/>
    </xf>
    <xf numFmtId="1" fontId="46" fillId="20" borderId="17" xfId="1" applyNumberFormat="1" applyFont="1" applyFill="1" applyBorder="1" applyAlignment="1">
      <alignment horizontal="center" vertical="center" wrapText="1"/>
    </xf>
    <xf numFmtId="1" fontId="46" fillId="20" borderId="21" xfId="1" applyNumberFormat="1" applyFont="1" applyFill="1" applyBorder="1" applyAlignment="1">
      <alignment horizontal="center" vertical="center" wrapText="1"/>
    </xf>
    <xf numFmtId="9" fontId="46" fillId="20" borderId="12" xfId="1" applyFont="1" applyFill="1" applyBorder="1" applyAlignment="1">
      <alignment horizontal="center" vertical="center" wrapText="1"/>
    </xf>
    <xf numFmtId="9" fontId="46" fillId="20" borderId="17" xfId="1" applyFont="1" applyFill="1" applyBorder="1" applyAlignment="1">
      <alignment horizontal="center" vertical="center" wrapText="1"/>
    </xf>
    <xf numFmtId="9" fontId="46" fillId="20" borderId="21" xfId="1" applyFont="1" applyFill="1" applyBorder="1" applyAlignment="1">
      <alignment horizontal="center" vertical="center" wrapText="1"/>
    </xf>
    <xf numFmtId="0" fontId="44" fillId="20" borderId="12" xfId="0" applyFont="1" applyFill="1" applyBorder="1" applyAlignment="1">
      <alignment horizontal="center" vertical="center" wrapText="1"/>
    </xf>
    <xf numFmtId="0" fontId="44" fillId="20" borderId="17" xfId="0" applyFont="1" applyFill="1" applyBorder="1" applyAlignment="1">
      <alignment horizontal="center" vertical="center" wrapText="1"/>
    </xf>
    <xf numFmtId="0" fontId="44" fillId="20" borderId="21" xfId="0" applyFont="1" applyFill="1" applyBorder="1" applyAlignment="1">
      <alignment horizontal="center" vertical="center" wrapText="1"/>
    </xf>
    <xf numFmtId="0" fontId="44" fillId="0" borderId="13" xfId="0" applyFont="1" applyBorder="1" applyAlignment="1">
      <alignment horizontal="center" vertical="center" wrapText="1"/>
    </xf>
    <xf numFmtId="0" fontId="47" fillId="3" borderId="13" xfId="0" applyFont="1" applyFill="1" applyBorder="1" applyAlignment="1">
      <alignment horizontal="center" vertical="center" wrapText="1"/>
    </xf>
    <xf numFmtId="0" fontId="47" fillId="3" borderId="18" xfId="0" applyFont="1" applyFill="1" applyBorder="1" applyAlignment="1">
      <alignment horizontal="center" vertical="center" wrapText="1"/>
    </xf>
    <xf numFmtId="0" fontId="47" fillId="3" borderId="16" xfId="0" applyFont="1" applyFill="1" applyBorder="1" applyAlignment="1">
      <alignment horizontal="center" vertical="center" wrapText="1"/>
    </xf>
    <xf numFmtId="0" fontId="46" fillId="0" borderId="14" xfId="0" applyFont="1" applyFill="1" applyBorder="1" applyAlignment="1">
      <alignment horizontal="center" vertical="center" wrapText="1"/>
    </xf>
    <xf numFmtId="0" fontId="46" fillId="0" borderId="19" xfId="0" applyFont="1" applyFill="1" applyBorder="1" applyAlignment="1">
      <alignment horizontal="center" vertical="center" wrapText="1"/>
    </xf>
    <xf numFmtId="0" fontId="46" fillId="0" borderId="22" xfId="0" applyFont="1" applyFill="1" applyBorder="1" applyAlignment="1">
      <alignment horizontal="center" vertical="center" wrapText="1"/>
    </xf>
    <xf numFmtId="0" fontId="2" fillId="0" borderId="24" xfId="0" applyFont="1" applyFill="1" applyBorder="1" applyAlignment="1">
      <alignment horizontal="center" vertical="center" wrapText="1"/>
    </xf>
    <xf numFmtId="9" fontId="6" fillId="0" borderId="55" xfId="1" applyFont="1" applyFill="1" applyBorder="1" applyAlignment="1">
      <alignment horizontal="center" vertical="center" wrapText="1"/>
    </xf>
    <xf numFmtId="9" fontId="6" fillId="0" borderId="57" xfId="1" applyFont="1" applyFill="1" applyBorder="1" applyAlignment="1">
      <alignment horizontal="center" vertical="center" wrapText="1"/>
    </xf>
    <xf numFmtId="9" fontId="6" fillId="0" borderId="56" xfId="1" applyFont="1" applyFill="1" applyBorder="1" applyAlignment="1">
      <alignment horizontal="center" vertical="center" wrapText="1"/>
    </xf>
    <xf numFmtId="9" fontId="6" fillId="0" borderId="58" xfId="1" applyFont="1" applyFill="1" applyBorder="1" applyAlignment="1">
      <alignment horizontal="center" vertical="center" wrapText="1"/>
    </xf>
    <xf numFmtId="10" fontId="2" fillId="0" borderId="24" xfId="0" applyNumberFormat="1" applyFont="1" applyFill="1" applyBorder="1" applyAlignment="1">
      <alignment horizontal="center" vertical="center"/>
    </xf>
    <xf numFmtId="1" fontId="6" fillId="0" borderId="24" xfId="1" applyNumberFormat="1" applyFont="1" applyFill="1" applyBorder="1" applyAlignment="1">
      <alignment horizontal="center" vertical="center" wrapText="1"/>
    </xf>
    <xf numFmtId="10" fontId="2" fillId="0" borderId="12" xfId="0" applyNumberFormat="1" applyFont="1" applyFill="1" applyBorder="1" applyAlignment="1">
      <alignment horizontal="center" vertical="center"/>
    </xf>
    <xf numFmtId="10" fontId="2" fillId="0" borderId="17" xfId="0" applyNumberFormat="1" applyFont="1" applyFill="1" applyBorder="1" applyAlignment="1">
      <alignment horizontal="center" vertical="center"/>
    </xf>
    <xf numFmtId="10" fontId="2" fillId="0" borderId="21" xfId="0" applyNumberFormat="1" applyFont="1" applyFill="1" applyBorder="1" applyAlignment="1">
      <alignment horizontal="center" vertical="center"/>
    </xf>
    <xf numFmtId="9" fontId="2" fillId="0" borderId="57" xfId="1" applyFont="1" applyFill="1" applyBorder="1" applyAlignment="1">
      <alignment horizontal="center" vertical="center" wrapText="1"/>
    </xf>
    <xf numFmtId="9" fontId="2" fillId="0" borderId="56" xfId="1" applyFont="1" applyFill="1" applyBorder="1" applyAlignment="1">
      <alignment horizontal="center" vertical="center" wrapText="1"/>
    </xf>
    <xf numFmtId="9" fontId="2" fillId="0" borderId="58" xfId="1" applyFont="1" applyFill="1" applyBorder="1" applyAlignment="1">
      <alignment horizontal="center" vertical="center" wrapText="1"/>
    </xf>
    <xf numFmtId="10" fontId="2" fillId="0" borderId="12" xfId="0" applyNumberFormat="1" applyFont="1" applyFill="1" applyBorder="1" applyAlignment="1">
      <alignment horizontal="center" vertical="center" wrapText="1"/>
    </xf>
    <xf numFmtId="10" fontId="2" fillId="0" borderId="17" xfId="0" applyNumberFormat="1" applyFont="1" applyFill="1" applyBorder="1" applyAlignment="1">
      <alignment horizontal="center" vertical="center" wrapText="1"/>
    </xf>
    <xf numFmtId="10" fontId="2" fillId="0" borderId="21" xfId="0" applyNumberFormat="1" applyFont="1" applyFill="1" applyBorder="1" applyAlignment="1">
      <alignment horizontal="center" vertical="center" wrapText="1"/>
    </xf>
    <xf numFmtId="9" fontId="2" fillId="0" borderId="59" xfId="1" applyFont="1" applyFill="1" applyBorder="1" applyAlignment="1">
      <alignment horizontal="center" vertical="center" wrapText="1"/>
    </xf>
    <xf numFmtId="1" fontId="6" fillId="0" borderId="26" xfId="1" applyNumberFormat="1" applyFont="1" applyFill="1" applyBorder="1" applyAlignment="1">
      <alignment horizontal="center" vertical="center" wrapText="1"/>
    </xf>
    <xf numFmtId="9" fontId="6" fillId="0" borderId="26" xfId="1" applyFont="1" applyFill="1" applyBorder="1" applyAlignment="1">
      <alignment horizontal="center" vertical="center" wrapText="1"/>
    </xf>
    <xf numFmtId="9" fontId="6" fillId="0" borderId="27" xfId="1" applyFont="1" applyFill="1" applyBorder="1" applyAlignment="1">
      <alignment horizontal="center" vertical="center" wrapText="1"/>
    </xf>
    <xf numFmtId="0" fontId="6" fillId="0" borderId="25" xfId="0" applyFont="1" applyFill="1" applyBorder="1" applyAlignment="1">
      <alignment horizontal="center" vertical="center" wrapText="1"/>
    </xf>
    <xf numFmtId="9" fontId="2" fillId="0" borderId="24" xfId="0" applyNumberFormat="1" applyFont="1" applyFill="1" applyBorder="1" applyAlignment="1">
      <alignment horizontal="center" vertical="center" wrapText="1"/>
    </xf>
    <xf numFmtId="9" fontId="2" fillId="0" borderId="55" xfId="0" applyNumberFormat="1" applyFont="1" applyFill="1" applyBorder="1" applyAlignment="1">
      <alignment horizontal="center" vertical="center" wrapText="1"/>
    </xf>
    <xf numFmtId="0" fontId="7" fillId="3" borderId="24" xfId="0" applyFont="1" applyFill="1" applyBorder="1" applyAlignment="1">
      <alignment horizontal="center" vertical="center" wrapText="1"/>
    </xf>
    <xf numFmtId="0" fontId="6" fillId="0" borderId="24"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6" fillId="14" borderId="24" xfId="0" applyFont="1" applyFill="1" applyBorder="1" applyAlignment="1">
      <alignment horizontal="center" vertical="center" wrapText="1"/>
    </xf>
    <xf numFmtId="10" fontId="6" fillId="0" borderId="26" xfId="1" applyNumberFormat="1" applyFont="1" applyFill="1" applyBorder="1" applyAlignment="1">
      <alignment horizontal="center" vertical="center" wrapText="1"/>
    </xf>
    <xf numFmtId="10" fontId="6" fillId="0" borderId="24" xfId="1" applyNumberFormat="1" applyFont="1" applyFill="1" applyBorder="1" applyAlignment="1">
      <alignment horizontal="center" vertical="center" wrapText="1"/>
    </xf>
    <xf numFmtId="14" fontId="8" fillId="0" borderId="14" xfId="0" applyNumberFormat="1" applyFont="1" applyFill="1" applyBorder="1" applyAlignment="1">
      <alignment horizontal="center" vertical="center" wrapText="1"/>
    </xf>
    <xf numFmtId="14" fontId="8" fillId="0" borderId="19" xfId="0" applyNumberFormat="1" applyFont="1" applyFill="1" applyBorder="1" applyAlignment="1">
      <alignment horizontal="center" vertical="center" wrapText="1"/>
    </xf>
    <xf numFmtId="14" fontId="8" fillId="0" borderId="22" xfId="0" applyNumberFormat="1" applyFont="1" applyFill="1" applyBorder="1" applyAlignment="1">
      <alignment horizontal="center" vertical="center" wrapText="1"/>
    </xf>
    <xf numFmtId="14" fontId="8" fillId="0" borderId="12" xfId="0" applyNumberFormat="1" applyFont="1" applyFill="1" applyBorder="1" applyAlignment="1">
      <alignment horizontal="center" vertical="center" wrapText="1"/>
    </xf>
    <xf numFmtId="14" fontId="8" fillId="0" borderId="17" xfId="0" applyNumberFormat="1" applyFont="1" applyFill="1" applyBorder="1" applyAlignment="1">
      <alignment horizontal="center" vertical="center" wrapText="1"/>
    </xf>
    <xf numFmtId="14" fontId="8" fillId="0" borderId="21" xfId="0" applyNumberFormat="1" applyFont="1" applyFill="1" applyBorder="1" applyAlignment="1">
      <alignment horizontal="center" vertical="center" wrapText="1"/>
    </xf>
    <xf numFmtId="0" fontId="2" fillId="23" borderId="12" xfId="0" applyFont="1" applyFill="1" applyBorder="1" applyAlignment="1">
      <alignment horizontal="center" vertical="center" wrapText="1"/>
    </xf>
    <xf numFmtId="0" fontId="2" fillId="23" borderId="17" xfId="0" applyFont="1" applyFill="1" applyBorder="1" applyAlignment="1">
      <alignment horizontal="center" vertical="center" wrapText="1"/>
    </xf>
    <xf numFmtId="0" fontId="2" fillId="23" borderId="21" xfId="0" applyFont="1" applyFill="1" applyBorder="1" applyAlignment="1">
      <alignment horizontal="center" vertical="center" wrapText="1"/>
    </xf>
    <xf numFmtId="9" fontId="8" fillId="0" borderId="12" xfId="1" applyFont="1" applyFill="1" applyBorder="1" applyAlignment="1">
      <alignment horizontal="center" vertical="center" wrapText="1"/>
    </xf>
    <xf numFmtId="9" fontId="8" fillId="0" borderId="17" xfId="1" applyFont="1" applyFill="1" applyBorder="1" applyAlignment="1">
      <alignment horizontal="center" vertical="center" wrapText="1"/>
    </xf>
    <xf numFmtId="9" fontId="8" fillId="0" borderId="21" xfId="1" applyFont="1" applyFill="1" applyBorder="1" applyAlignment="1">
      <alignment horizontal="center" vertical="center" wrapText="1"/>
    </xf>
    <xf numFmtId="0" fontId="0" fillId="0" borderId="24" xfId="0" applyBorder="1" applyAlignment="1">
      <alignment horizontal="center" vertical="center" wrapText="1"/>
    </xf>
    <xf numFmtId="0" fontId="0" fillId="0" borderId="13" xfId="0" applyBorder="1" applyAlignment="1">
      <alignment horizontal="center" vertical="center" wrapText="1"/>
    </xf>
    <xf numFmtId="0" fontId="0" fillId="0" borderId="18" xfId="0" applyBorder="1" applyAlignment="1">
      <alignment horizontal="center" vertical="center" wrapText="1"/>
    </xf>
    <xf numFmtId="0" fontId="0" fillId="0" borderId="68" xfId="0" applyBorder="1" applyAlignment="1">
      <alignment horizontal="center" vertical="center" wrapText="1"/>
    </xf>
    <xf numFmtId="0" fontId="2" fillId="0" borderId="52" xfId="0" applyFont="1" applyFill="1" applyBorder="1" applyAlignment="1">
      <alignment horizontal="center" vertical="center" wrapText="1"/>
    </xf>
    <xf numFmtId="9" fontId="2" fillId="0" borderId="44"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5" borderId="2" xfId="0" applyFont="1" applyFill="1" applyBorder="1" applyAlignment="1">
      <alignment horizontal="center" vertical="center"/>
    </xf>
    <xf numFmtId="0" fontId="5" fillId="5" borderId="3" xfId="0" applyFont="1" applyFill="1" applyBorder="1" applyAlignment="1">
      <alignment horizontal="center" vertical="center"/>
    </xf>
    <xf numFmtId="14" fontId="8" fillId="0" borderId="25" xfId="0" applyNumberFormat="1" applyFont="1" applyFill="1" applyBorder="1" applyAlignment="1">
      <alignment horizontal="center" vertical="center"/>
    </xf>
    <xf numFmtId="14" fontId="8" fillId="0" borderId="19" xfId="0" applyNumberFormat="1" applyFont="1" applyFill="1" applyBorder="1" applyAlignment="1">
      <alignment horizontal="center" vertical="center"/>
    </xf>
    <xf numFmtId="14" fontId="8" fillId="0" borderId="22" xfId="0" applyNumberFormat="1" applyFont="1" applyFill="1" applyBorder="1" applyAlignment="1">
      <alignment horizontal="center" vertical="center"/>
    </xf>
    <xf numFmtId="14" fontId="8" fillId="0" borderId="26" xfId="0" applyNumberFormat="1" applyFont="1" applyFill="1" applyBorder="1" applyAlignment="1">
      <alignment horizontal="center" vertical="center" wrapText="1"/>
    </xf>
    <xf numFmtId="9" fontId="2" fillId="0" borderId="45" xfId="1" applyFont="1" applyFill="1" applyBorder="1" applyAlignment="1">
      <alignment horizontal="center" vertical="center" wrapText="1"/>
    </xf>
    <xf numFmtId="9" fontId="2" fillId="0" borderId="60" xfId="1" applyFont="1" applyFill="1" applyBorder="1" applyAlignment="1">
      <alignment horizontal="center" vertical="center" wrapText="1"/>
    </xf>
    <xf numFmtId="9" fontId="2" fillId="0" borderId="61" xfId="1" applyFont="1" applyFill="1" applyBorder="1" applyAlignment="1">
      <alignment horizontal="center" vertical="center" wrapText="1"/>
    </xf>
    <xf numFmtId="0" fontId="49" fillId="20" borderId="12" xfId="0" applyFont="1" applyFill="1" applyBorder="1" applyAlignment="1">
      <alignment horizontal="center" vertical="center" wrapText="1"/>
    </xf>
    <xf numFmtId="0" fontId="49" fillId="20" borderId="17" xfId="0" applyFont="1" applyFill="1" applyBorder="1" applyAlignment="1">
      <alignment horizontal="center" vertical="center" wrapText="1"/>
    </xf>
    <xf numFmtId="0" fontId="49" fillId="20" borderId="21" xfId="0" applyFont="1" applyFill="1" applyBorder="1" applyAlignment="1">
      <alignment horizontal="center" vertical="center" wrapText="1"/>
    </xf>
    <xf numFmtId="0" fontId="44" fillId="0" borderId="25" xfId="0" applyFont="1" applyFill="1" applyBorder="1" applyAlignment="1">
      <alignment horizontal="center" vertical="center" wrapText="1"/>
    </xf>
    <xf numFmtId="0" fontId="44" fillId="0" borderId="19" xfId="0" applyFont="1" applyFill="1" applyBorder="1" applyAlignment="1">
      <alignment horizontal="center" vertical="center" wrapText="1"/>
    </xf>
    <xf numFmtId="0" fontId="44" fillId="0" borderId="22" xfId="0" applyFont="1" applyFill="1" applyBorder="1" applyAlignment="1">
      <alignment horizontal="center" vertical="center" wrapText="1"/>
    </xf>
    <xf numFmtId="165" fontId="46" fillId="20" borderId="26" xfId="1" applyNumberFormat="1" applyFont="1" applyFill="1" applyBorder="1" applyAlignment="1">
      <alignment horizontal="center" vertical="center" wrapText="1"/>
    </xf>
    <xf numFmtId="1" fontId="46" fillId="20" borderId="26" xfId="1" applyNumberFormat="1" applyFont="1" applyFill="1" applyBorder="1" applyAlignment="1">
      <alignment horizontal="center" vertical="center" wrapText="1"/>
    </xf>
    <xf numFmtId="9" fontId="46" fillId="20" borderId="26" xfId="1" applyFont="1" applyFill="1" applyBorder="1" applyAlignment="1">
      <alignment horizontal="center" vertical="center" wrapText="1"/>
    </xf>
    <xf numFmtId="0" fontId="44" fillId="20" borderId="26" xfId="0" applyFont="1" applyFill="1" applyBorder="1" applyAlignment="1">
      <alignment horizontal="center" vertical="center" wrapText="1"/>
    </xf>
    <xf numFmtId="9" fontId="46" fillId="20" borderId="27" xfId="1" applyFont="1" applyFill="1" applyBorder="1" applyAlignment="1">
      <alignment horizontal="center" vertical="center" wrapText="1"/>
    </xf>
    <xf numFmtId="0" fontId="44" fillId="0" borderId="14" xfId="0" applyFont="1" applyFill="1" applyBorder="1" applyAlignment="1">
      <alignment horizontal="center" vertical="center" wrapText="1"/>
    </xf>
    <xf numFmtId="0" fontId="50" fillId="20" borderId="12" xfId="0" applyFont="1" applyFill="1" applyBorder="1" applyAlignment="1">
      <alignment horizontal="center" vertical="center" wrapText="1"/>
    </xf>
    <xf numFmtId="0" fontId="50" fillId="20" borderId="21" xfId="0" applyFont="1" applyFill="1" applyBorder="1" applyAlignment="1">
      <alignment horizontal="center" vertical="center" wrapText="1"/>
    </xf>
    <xf numFmtId="0" fontId="50" fillId="20" borderId="17" xfId="0" applyFont="1" applyFill="1" applyBorder="1" applyAlignment="1">
      <alignment horizontal="center" vertical="center" wrapText="1"/>
    </xf>
    <xf numFmtId="0" fontId="36" fillId="7" borderId="55" xfId="0" applyFont="1" applyFill="1" applyBorder="1" applyAlignment="1">
      <alignment horizontal="center" vertical="center" wrapText="1"/>
    </xf>
    <xf numFmtId="0" fontId="36" fillId="7" borderId="67" xfId="0" applyFont="1" applyFill="1" applyBorder="1" applyAlignment="1">
      <alignment horizontal="center" vertical="center"/>
    </xf>
    <xf numFmtId="0" fontId="36" fillId="7" borderId="64" xfId="0" applyFont="1" applyFill="1" applyBorder="1" applyAlignment="1">
      <alignment horizontal="center" vertical="center"/>
    </xf>
    <xf numFmtId="9" fontId="45" fillId="20" borderId="12" xfId="1" applyFont="1" applyFill="1" applyBorder="1" applyAlignment="1">
      <alignment horizontal="center" vertical="center" wrapText="1"/>
    </xf>
    <xf numFmtId="9" fontId="45" fillId="20" borderId="17" xfId="1" applyFont="1" applyFill="1" applyBorder="1" applyAlignment="1">
      <alignment horizontal="center" vertical="center" wrapText="1"/>
    </xf>
    <xf numFmtId="9" fontId="45" fillId="20" borderId="21" xfId="1" applyFont="1" applyFill="1" applyBorder="1" applyAlignment="1">
      <alignment horizontal="center" vertical="center" wrapText="1"/>
    </xf>
    <xf numFmtId="0" fontId="0" fillId="20" borderId="0" xfId="0" applyFill="1" applyAlignment="1">
      <alignment horizontal="center"/>
    </xf>
    <xf numFmtId="0" fontId="0" fillId="20" borderId="0" xfId="0" applyFill="1" applyBorder="1" applyAlignment="1">
      <alignment horizontal="center"/>
    </xf>
    <xf numFmtId="9" fontId="6" fillId="0" borderId="24" xfId="1" applyFont="1" applyBorder="1" applyAlignment="1">
      <alignment horizontal="center" vertical="center" wrapText="1"/>
    </xf>
    <xf numFmtId="9" fontId="6" fillId="20" borderId="24" xfId="1" applyFont="1" applyFill="1" applyBorder="1" applyAlignment="1">
      <alignment horizontal="center" vertical="center" wrapText="1"/>
    </xf>
    <xf numFmtId="1" fontId="6" fillId="0" borderId="24" xfId="1" applyNumberFormat="1" applyFont="1" applyBorder="1" applyAlignment="1">
      <alignment horizontal="center" vertical="center" wrapText="1"/>
    </xf>
    <xf numFmtId="0" fontId="6" fillId="0" borderId="24" xfId="0" applyFont="1" applyBorder="1" applyAlignment="1">
      <alignment horizontal="center" vertical="center" wrapText="1"/>
    </xf>
    <xf numFmtId="0" fontId="7" fillId="3" borderId="55" xfId="0" applyFont="1" applyFill="1" applyBorder="1" applyAlignment="1">
      <alignment horizontal="center" vertical="center" wrapText="1"/>
    </xf>
    <xf numFmtId="0" fontId="47" fillId="3" borderId="24" xfId="0" applyFont="1" applyFill="1" applyBorder="1" applyAlignment="1">
      <alignment horizontal="center" vertical="center" wrapText="1"/>
    </xf>
    <xf numFmtId="0" fontId="12" fillId="20" borderId="24" xfId="0" applyFont="1" applyFill="1" applyBorder="1" applyAlignment="1">
      <alignment horizontal="center" vertical="center" wrapText="1"/>
    </xf>
    <xf numFmtId="0" fontId="2" fillId="20" borderId="24" xfId="0" applyFont="1" applyFill="1" applyBorder="1" applyAlignment="1">
      <alignment horizontal="center" vertical="center" wrapText="1"/>
    </xf>
    <xf numFmtId="9" fontId="12" fillId="20" borderId="24" xfId="1" applyFont="1" applyFill="1" applyBorder="1" applyAlignment="1">
      <alignment horizontal="center" vertical="center" wrapText="1"/>
    </xf>
    <xf numFmtId="9" fontId="2" fillId="20" borderId="24" xfId="1" applyFont="1" applyFill="1" applyBorder="1" applyAlignment="1">
      <alignment horizontal="center" vertical="center" wrapText="1"/>
    </xf>
    <xf numFmtId="0" fontId="17" fillId="20" borderId="24" xfId="0" applyFont="1" applyFill="1" applyBorder="1" applyAlignment="1">
      <alignment horizontal="center" vertical="center" wrapText="1"/>
    </xf>
    <xf numFmtId="0" fontId="0" fillId="20" borderId="24" xfId="0" applyFill="1" applyBorder="1" applyAlignment="1">
      <alignment horizontal="center"/>
    </xf>
    <xf numFmtId="0" fontId="6" fillId="20" borderId="24" xfId="0" applyFont="1" applyFill="1" applyBorder="1" applyAlignment="1">
      <alignment horizontal="center" vertical="center" wrapText="1"/>
    </xf>
    <xf numFmtId="9" fontId="6" fillId="0" borderId="12" xfId="1" applyFont="1" applyBorder="1" applyAlignment="1">
      <alignment horizontal="center" vertical="center" wrapText="1"/>
    </xf>
    <xf numFmtId="0" fontId="7" fillId="31" borderId="62" xfId="0" applyFont="1" applyFill="1" applyBorder="1" applyAlignment="1">
      <alignment horizontal="center" vertical="center" wrapText="1"/>
    </xf>
    <xf numFmtId="0" fontId="7" fillId="31" borderId="24" xfId="0" applyFont="1" applyFill="1" applyBorder="1" applyAlignment="1">
      <alignment horizontal="center" vertical="center" wrapText="1"/>
    </xf>
    <xf numFmtId="0" fontId="7" fillId="31" borderId="63" xfId="0" applyFont="1" applyFill="1" applyBorder="1" applyAlignment="1">
      <alignment horizontal="center" vertical="center" wrapText="1"/>
    </xf>
    <xf numFmtId="9" fontId="6" fillId="23" borderId="24" xfId="1" applyFont="1" applyFill="1" applyBorder="1" applyAlignment="1">
      <alignment horizontal="center" vertical="center" wrapText="1"/>
    </xf>
  </cellXfs>
  <cellStyles count="8">
    <cellStyle name="20% - Énfasis3" xfId="4" builtinId="38"/>
    <cellStyle name="40% - Énfasis5" xfId="5" builtinId="47"/>
    <cellStyle name="Millares" xfId="7" builtinId="3"/>
    <cellStyle name="Millares 2" xfId="6"/>
    <cellStyle name="Normal" xfId="0" builtinId="0"/>
    <cellStyle name="Normal 2" xfId="2"/>
    <cellStyle name="Normal 3" xfId="3"/>
    <cellStyle name="Porcentaje" xfId="1" builtinId="5"/>
  </cellStyles>
  <dxfs count="1450">
    <dxf>
      <alignment horizontal="general" wrapText="1" readingOrder="0"/>
    </dxf>
    <dxf>
      <alignment horizontal="general" wrapText="1" readingOrder="0"/>
    </dxf>
    <dxf>
      <alignment horizontal="center" vertic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numFmt numFmtId="13" formatCode="0%"/>
    </dxf>
    <dxf>
      <numFmt numFmtId="13" formatCode="0%"/>
    </dxf>
    <dxf>
      <alignment wrapText="1" readingOrder="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3" formatCode="0%"/>
    </dxf>
    <dxf>
      <numFmt numFmtId="13" formatCode="0%"/>
    </dxf>
    <dxf>
      <alignment horizontal="center" readingOrder="0"/>
    </dxf>
    <dxf>
      <alignment horizontal="center" readingOrder="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1" formatCode="0"/>
    </dxf>
    <dxf>
      <numFmt numFmtId="0" formatCode="General"/>
    </dxf>
    <dxf>
      <numFmt numFmtId="0" formatCode="General"/>
    </dxf>
    <dxf>
      <numFmt numFmtId="0" formatCode="General"/>
    </dxf>
    <dxf>
      <alignment horizontal="center" readingOrder="0"/>
    </dxf>
    <dxf>
      <alignment horizontal="center" readingOrder="0"/>
    </dxf>
    <dxf>
      <alignment horizontal="general" readingOrder="0"/>
    </dxf>
    <dxf>
      <numFmt numFmtId="0" formatCode="General"/>
    </dxf>
    <dxf>
      <numFmt numFmtId="0" formatCode="General"/>
    </dxf>
    <dxf>
      <numFmt numFmtId="0" formatCode="General"/>
    </dxf>
    <dxf>
      <numFmt numFmtId="13" formatCode="0%"/>
    </dxf>
    <dxf>
      <numFmt numFmtId="13" formatCode="0%"/>
    </dxf>
    <dxf>
      <numFmt numFmtId="0" formatCode="General"/>
    </dxf>
    <dxf>
      <numFmt numFmtId="1" formatCode="0"/>
    </dxf>
    <dxf>
      <font>
        <color auto="1"/>
      </font>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center" readingOrder="0"/>
    </dxf>
    <dxf>
      <font>
        <color auto="1"/>
      </font>
    </dxf>
    <dxf>
      <alignment horizontal="center"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center"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vertical="center" readingOrder="0"/>
    </dxf>
    <dxf>
      <alignment vertical="bottom" readingOrder="0"/>
    </dxf>
    <dxf>
      <alignment vertical="center" readingOrder="0"/>
    </dxf>
    <dxf>
      <alignment vertical="bottom" readingOrder="0"/>
    </dxf>
    <dxf>
      <font>
        <b/>
      </font>
    </dxf>
    <dxf>
      <font>
        <b/>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font>
        <color auto="1"/>
      </font>
    </dxf>
    <dxf>
      <border>
        <left style="medium">
          <color theme="0"/>
        </left>
        <right style="medium">
          <color theme="0"/>
        </right>
        <top style="medium">
          <color theme="0"/>
        </top>
        <bottom style="medium">
          <color theme="0"/>
        </bottom>
        <vertical style="medium">
          <color theme="0"/>
        </vertic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center" readingOrder="0"/>
    </dxf>
    <dxf>
      <alignment horizontal="center" readingOrder="0"/>
    </dxf>
    <dxf>
      <numFmt numFmtId="13" formatCode="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bottom" readingOrder="0"/>
    </dxf>
    <dxf>
      <alignment vertical="bottom" readingOrder="0"/>
    </dxf>
    <dxf>
      <alignment vertical="bottom" readingOrder="0"/>
    </dxf>
    <dxf>
      <alignment wrapText="1" readingOrder="0"/>
    </dxf>
    <dxf>
      <alignment wrapText="1" readingOrder="0"/>
    </dxf>
    <dxf>
      <alignment horizontal="center" readingOrder="0"/>
    </dxf>
    <dxf>
      <alignment vertic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3" formatCode="0%"/>
    </dxf>
    <dxf>
      <alignment horizontal="center" readingOrder="0"/>
    </dxf>
    <dxf>
      <alignment horizontal="center" readingOrder="0"/>
    </dxf>
    <dxf>
      <numFmt numFmtId="0" formatCode="General"/>
    </dxf>
    <dxf>
      <numFmt numFmtId="0" formatCode="General"/>
    </dxf>
    <dxf>
      <numFmt numFmtId="0" formatCode="General"/>
    </dxf>
    <dxf>
      <numFmt numFmtId="0" formatCode="General"/>
    </dxf>
    <dxf>
      <numFmt numFmtId="0" formatCode="General"/>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1" formatCode="0"/>
    </dxf>
    <dxf>
      <numFmt numFmtId="0" formatCode="General"/>
    </dxf>
    <dxf>
      <numFmt numFmtId="0" formatCode="General"/>
    </dxf>
    <dxf>
      <numFmt numFmtId="0" formatCode="General"/>
    </dxf>
    <dxf>
      <alignment horizontal="center" readingOrder="0"/>
    </dxf>
    <dxf>
      <alignment horizontal="center" readingOrder="0"/>
    </dxf>
    <dxf>
      <alignment horizontal="general" readingOrder="0"/>
    </dxf>
    <dxf>
      <numFmt numFmtId="0" formatCode="General"/>
    </dxf>
    <dxf>
      <numFmt numFmtId="0" formatCode="General"/>
    </dxf>
    <dxf>
      <numFmt numFmtId="0" formatCode="General"/>
    </dxf>
    <dxf>
      <numFmt numFmtId="13" formatCode="0%"/>
    </dxf>
    <dxf>
      <numFmt numFmtId="13" formatCode="0%"/>
    </dxf>
    <dxf>
      <numFmt numFmtId="0" formatCode="General"/>
    </dxf>
    <dxf>
      <numFmt numFmtId="1" formatCode="0"/>
    </dxf>
    <dxf>
      <font>
        <color auto="1"/>
      </font>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font>
        <color auto="1"/>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center" readingOrder="0"/>
    </dxf>
    <dxf>
      <font>
        <color auto="1"/>
      </font>
    </dxf>
    <dxf>
      <alignment horizontal="center"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center" readingOrder="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numFmt numFmtId="1" formatCode="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vertical="center" readingOrder="0"/>
    </dxf>
    <dxf>
      <alignment vertical="bottom" readingOrder="0"/>
    </dxf>
    <dxf>
      <alignment vertical="center" readingOrder="0"/>
    </dxf>
    <dxf>
      <alignment vertical="bottom" readingOrder="0"/>
    </dxf>
    <dxf>
      <font>
        <b/>
      </font>
    </dxf>
    <dxf>
      <font>
        <b/>
      </font>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font>
        <color auto="1"/>
      </font>
    </dxf>
    <dxf>
      <font>
        <color auto="1"/>
      </font>
    </dxf>
    <dxf>
      <border>
        <left style="medium">
          <color theme="0"/>
        </left>
        <right style="medium">
          <color theme="0"/>
        </right>
        <top style="medium">
          <color theme="0"/>
        </top>
        <bottom style="medium">
          <color theme="0"/>
        </bottom>
        <vertical style="medium">
          <color theme="0"/>
        </vertic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border>
        <left style="medium">
          <color theme="6" tint="-0.24994659260841701"/>
        </left>
        <right style="medium">
          <color theme="6" tint="-0.24994659260841701"/>
        </right>
        <top style="medium">
          <color theme="6" tint="-0.24994659260841701"/>
        </top>
        <bottom style="medium">
          <color theme="6" tint="-0.24994659260841701"/>
        </bottom>
        <vertical style="medium">
          <color theme="6" tint="-0.24994659260841701"/>
        </vertical>
        <horizontal style="medium">
          <color theme="6" tint="-0.24994659260841701"/>
        </horizontal>
      </border>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center" readingOrder="0"/>
    </dxf>
    <dxf>
      <alignment horizontal="center" readingOrder="0"/>
    </dxf>
    <dxf>
      <numFmt numFmtId="13" formatCode="0%"/>
    </dxf>
    <dxf>
      <alignment horizontal="left" readingOrder="0"/>
    </dxf>
    <dxf>
      <alignment horizontal="left" readingOrder="0"/>
    </dxf>
    <dxf>
      <alignment horizontal="left" readingOrder="0"/>
    </dxf>
    <dxf>
      <alignment horizontal="left"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1"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vertical style="thin">
          <color indexed="64"/>
        </vertical>
        <horizontal style="thin">
          <color indexed="64"/>
        </horizont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microsoft.com/office/2007/relationships/slicerCache" Target="slicerCaches/slicerCache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externalLink" Target="externalLinks/externalLink5.xml"/><Relationship Id="rId17" Type="http://schemas.microsoft.com/office/2007/relationships/slicerCache" Target="slicerCaches/slicerCache1.xml"/><Relationship Id="rId2" Type="http://schemas.openxmlformats.org/officeDocument/2006/relationships/worksheet" Target="worksheets/sheet2.xml"/><Relationship Id="rId16" Type="http://schemas.openxmlformats.org/officeDocument/2006/relationships/pivotCacheDefinition" Target="pivotCache/pivotCacheDefinition2.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4.xml"/><Relationship Id="rId5" Type="http://schemas.openxmlformats.org/officeDocument/2006/relationships/worksheet" Target="worksheets/sheet5.xml"/><Relationship Id="rId15" Type="http://schemas.openxmlformats.org/officeDocument/2006/relationships/pivotCacheDefinition" Target="pivotCache/pivotCacheDefinition1.xml"/><Relationship Id="rId23" Type="http://schemas.openxmlformats.org/officeDocument/2006/relationships/calcChain" Target="calcChain.xml"/><Relationship Id="rId10" Type="http://schemas.openxmlformats.org/officeDocument/2006/relationships/externalLink" Target="externalLinks/externalLink3.xml"/><Relationship Id="rId19" Type="http://schemas.microsoft.com/office/2007/relationships/slicerCache" Target="slicerCaches/slicerCache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externalLink" Target="externalLinks/externalLink7.xml"/><Relationship Id="rId22"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openxmlformats.org/officeDocument/2006/relationships/chartUserShapes" Target="../drawings/drawing3.xml"/><Relationship Id="rId1" Type="http://schemas.openxmlformats.org/officeDocument/2006/relationships/themeOverride" Target="../theme/themeOverride1.xml"/></Relationships>
</file>

<file path=xl/charts/_rels/chart5.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3" Type="http://schemas.openxmlformats.org/officeDocument/2006/relationships/themeOverride" Target="../theme/themeOverride2.xml"/><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8.xml.rels><?xml version="1.0" encoding="UTF-8" standalone="yes"?>
<Relationships xmlns="http://schemas.openxmlformats.org/package/2006/relationships"><Relationship Id="rId3" Type="http://schemas.openxmlformats.org/officeDocument/2006/relationships/themeOverride" Target="../theme/themeOverride3.xml"/><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Indicadores!$BU$21</c:f>
          <c:strCache>
            <c:ptCount val="1"/>
            <c:pt idx="0">
              <c:v>Cumplimiento Productos y Actividades</c:v>
            </c:pt>
          </c:strCache>
        </c:strRef>
      </c:tx>
      <c:layout>
        <c:manualLayout>
          <c:xMode val="edge"/>
          <c:yMode val="edge"/>
          <c:x val="1.801377952755906E-2"/>
          <c:y val="2.7777777777777776E-2"/>
        </c:manualLayout>
      </c:layout>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manualLayout>
          <c:layoutTarget val="inner"/>
          <c:xMode val="edge"/>
          <c:yMode val="edge"/>
          <c:x val="6.3031839350962765E-2"/>
          <c:y val="0.12457770299324898"/>
          <c:w val="0.80377749574045887"/>
          <c:h val="0.67016835004480113"/>
        </c:manualLayout>
      </c:layout>
      <c:barChart>
        <c:barDir val="col"/>
        <c:grouping val="clustered"/>
        <c:varyColors val="0"/>
        <c:ser>
          <c:idx val="0"/>
          <c:order val="0"/>
          <c:tx>
            <c:strRef>
              <c:f>Indicadores!$BT$15</c:f>
              <c:strCache>
                <c:ptCount val="1"/>
                <c:pt idx="0">
                  <c:v>Productos</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Indicadores!$BU$14:$CC$14</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Logística</c:v>
                </c:pt>
                <c:pt idx="7">
                  <c:v>8. Subdirección de Gestión Corporativa</c:v>
                </c:pt>
                <c:pt idx="8">
                  <c:v>9. Subdirección de Gestión Humana</c:v>
                </c:pt>
              </c:strCache>
            </c:strRef>
          </c:cat>
          <c:val>
            <c:numRef>
              <c:f>Indicadores!$BU$15:$CC$15</c:f>
              <c:numCache>
                <c:formatCode>0%</c:formatCode>
                <c:ptCount val="9"/>
                <c:pt idx="0">
                  <c:v>1</c:v>
                </c:pt>
                <c:pt idx="1">
                  <c:v>0.9</c:v>
                </c:pt>
                <c:pt idx="2">
                  <c:v>0.93877551020408156</c:v>
                </c:pt>
                <c:pt idx="3">
                  <c:v>0.875</c:v>
                </c:pt>
                <c:pt idx="4">
                  <c:v>0.86312500000000014</c:v>
                </c:pt>
                <c:pt idx="5">
                  <c:v>0.56615384615384623</c:v>
                </c:pt>
                <c:pt idx="6">
                  <c:v>0.73333333333333339</c:v>
                </c:pt>
                <c:pt idx="7">
                  <c:v>0.60044444444444445</c:v>
                </c:pt>
                <c:pt idx="8">
                  <c:v>0.76</c:v>
                </c:pt>
              </c:numCache>
            </c:numRef>
          </c:val>
          <c:extLst>
            <c:ext xmlns:c16="http://schemas.microsoft.com/office/drawing/2014/chart" uri="{C3380CC4-5D6E-409C-BE32-E72D297353CC}">
              <c16:uniqueId val="{00000000-F2E9-46F9-B921-D60EFA55435E}"/>
            </c:ext>
          </c:extLst>
        </c:ser>
        <c:ser>
          <c:idx val="1"/>
          <c:order val="1"/>
          <c:tx>
            <c:strRef>
              <c:f>Indicadores!$BT$16</c:f>
              <c:strCache>
                <c:ptCount val="1"/>
                <c:pt idx="0">
                  <c:v>Actividades</c:v>
                </c:pt>
              </c:strCache>
            </c:strRef>
          </c:tx>
          <c:spPr>
            <a:solidFill>
              <a:schemeClr val="accent3"/>
            </a:solidFill>
            <a:ln>
              <a:noFill/>
            </a:ln>
            <a:effectLst/>
          </c:spPr>
          <c:invertIfNegative val="0"/>
          <c:dLbls>
            <c:dLbl>
              <c:idx val="0"/>
              <c:layout>
                <c:manualLayout>
                  <c:x val="1.4422040284335634E-2"/>
                  <c:y val="4.882970035402883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918-45E6-A61E-9CA2821000B9}"/>
                </c:ext>
              </c:extLst>
            </c:dLbl>
            <c:spPr>
              <a:noFill/>
              <a:ln>
                <a:noFill/>
              </a:ln>
              <a:effectLst/>
            </c:spPr>
            <c:txPr>
              <a:bodyPr rot="0" spcFirstLastPara="1" vertOverflow="ellipsis" vert="horz" wrap="square" lIns="38100" tIns="19050" rIns="38100" bIns="19050" anchor="b" anchorCtr="0">
                <a:spAutoFit/>
              </a:bodyPr>
              <a:lstStyle/>
              <a:p>
                <a:pPr>
                  <a:defRPr sz="8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Indicadores!$BU$14:$CC$14</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Logística</c:v>
                </c:pt>
                <c:pt idx="7">
                  <c:v>8. Subdirección de Gestión Corporativa</c:v>
                </c:pt>
                <c:pt idx="8">
                  <c:v>9. Subdirección de Gestión Humana</c:v>
                </c:pt>
              </c:strCache>
            </c:strRef>
          </c:cat>
          <c:val>
            <c:numRef>
              <c:f>Indicadores!$BU$16:$CC$16</c:f>
              <c:numCache>
                <c:formatCode>0%</c:formatCode>
                <c:ptCount val="9"/>
                <c:pt idx="0">
                  <c:v>1</c:v>
                </c:pt>
                <c:pt idx="1">
                  <c:v>0.96500000000000008</c:v>
                </c:pt>
                <c:pt idx="2">
                  <c:v>0.81911764705882362</c:v>
                </c:pt>
                <c:pt idx="3">
                  <c:v>0.76428571428571423</c:v>
                </c:pt>
                <c:pt idx="4">
                  <c:v>0.68611111111111112</c:v>
                </c:pt>
                <c:pt idx="5">
                  <c:v>0.65625</c:v>
                </c:pt>
                <c:pt idx="6">
                  <c:v>0.76857142857142857</c:v>
                </c:pt>
                <c:pt idx="7">
                  <c:v>0.72638888888888886</c:v>
                </c:pt>
                <c:pt idx="8">
                  <c:v>0.75555555555555554</c:v>
                </c:pt>
              </c:numCache>
            </c:numRef>
          </c:val>
          <c:extLst>
            <c:ext xmlns:c16="http://schemas.microsoft.com/office/drawing/2014/chart" uri="{C3380CC4-5D6E-409C-BE32-E72D297353CC}">
              <c16:uniqueId val="{00000001-F2E9-46F9-B921-D60EFA55435E}"/>
            </c:ext>
          </c:extLst>
        </c:ser>
        <c:dLbls>
          <c:showLegendKey val="0"/>
          <c:showVal val="0"/>
          <c:showCatName val="0"/>
          <c:showSerName val="0"/>
          <c:showPercent val="0"/>
          <c:showBubbleSize val="0"/>
        </c:dLbls>
        <c:gapWidth val="219"/>
        <c:overlap val="-27"/>
        <c:axId val="108421328"/>
        <c:axId val="108421720"/>
      </c:barChart>
      <c:catAx>
        <c:axId val="10842132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1" i="0" u="none" strike="noStrike" kern="1200" baseline="0">
                <a:solidFill>
                  <a:schemeClr val="tx1">
                    <a:lumMod val="65000"/>
                    <a:lumOff val="35000"/>
                  </a:schemeClr>
                </a:solidFill>
                <a:latin typeface="+mn-lt"/>
                <a:ea typeface="+mn-ea"/>
                <a:cs typeface="+mn-cs"/>
              </a:defRPr>
            </a:pPr>
            <a:endParaRPr lang="es-CO"/>
          </a:p>
        </c:txPr>
        <c:crossAx val="108421720"/>
        <c:crosses val="autoZero"/>
        <c:auto val="1"/>
        <c:lblAlgn val="ctr"/>
        <c:lblOffset val="100"/>
        <c:noMultiLvlLbl val="0"/>
      </c:catAx>
      <c:valAx>
        <c:axId val="108421720"/>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8421328"/>
        <c:crosses val="autoZero"/>
        <c:crossBetween val="between"/>
      </c:valAx>
      <c:spPr>
        <a:solidFill>
          <a:schemeClr val="bg1">
            <a:lumMod val="95000"/>
          </a:schemeClr>
        </a:solidFill>
        <a:ln>
          <a:noFill/>
        </a:ln>
        <a:effectLst/>
      </c:spPr>
    </c:plotArea>
    <c:legend>
      <c:legendPos val="r"/>
      <c:layout>
        <c:manualLayout>
          <c:xMode val="edge"/>
          <c:yMode val="edge"/>
          <c:x val="0.87942862034021541"/>
          <c:y val="0.45098075190252951"/>
          <c:w val="0.10434658433990705"/>
          <c:h val="9.8300629371896348E-2"/>
        </c:manualLayout>
      </c:layout>
      <c:overlay val="0"/>
      <c:spPr>
        <a:solidFill>
          <a:schemeClr val="bg1">
            <a:lumMod val="85000"/>
          </a:schemeClr>
        </a:solid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gradFill flip="none" rotWithShape="1">
      <a:gsLst>
        <a:gs pos="0">
          <a:schemeClr val="bg1">
            <a:lumMod val="95000"/>
            <a:shade val="30000"/>
            <a:satMod val="115000"/>
          </a:schemeClr>
        </a:gs>
        <a:gs pos="50000">
          <a:schemeClr val="bg1">
            <a:lumMod val="95000"/>
            <a:shade val="67500"/>
            <a:satMod val="115000"/>
          </a:schemeClr>
        </a:gs>
        <a:gs pos="100000">
          <a:schemeClr val="bg1">
            <a:lumMod val="95000"/>
            <a:shade val="100000"/>
            <a:satMod val="115000"/>
          </a:schemeClr>
        </a:gs>
      </a:gsLst>
      <a:path path="circle">
        <a:fillToRect l="100000" t="100000"/>
      </a:path>
      <a:tileRect r="-100000" b="-100000"/>
    </a:gradFill>
    <a:ln w="9525" cap="flat" cmpd="sng" algn="ctr">
      <a:solidFill>
        <a:schemeClr val="tx1">
          <a:lumMod val="15000"/>
          <a:lumOff val="85000"/>
        </a:schemeClr>
      </a:solidFill>
      <a:round/>
    </a:ln>
    <a:effectLst/>
    <a:scene3d>
      <a:camera prst="orthographicFront"/>
      <a:lightRig rig="threePt" dir="t"/>
    </a:scene3d>
    <a:sp3d>
      <a:bevelT/>
    </a:sp3d>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CO" b="1"/>
              <a:t>Indicadores</a:t>
            </a:r>
            <a:r>
              <a:rPr lang="es-CO" b="1" baseline="0"/>
              <a:t> de Cumplimiento</a:t>
            </a:r>
            <a:endParaRPr lang="es-CO"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strRef>
              <c:f>Indicadores!$B$44</c:f>
              <c:strCache>
                <c:ptCount val="1"/>
                <c:pt idx="0">
                  <c:v>5. Subdirección de Gestión del Riesgo</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Indicadores!$CE$10</c:f>
              <c:numCache>
                <c:formatCode>0%</c:formatCode>
                <c:ptCount val="1"/>
                <c:pt idx="0">
                  <c:v>0.86312500000000014</c:v>
                </c:pt>
              </c:numCache>
            </c:numRef>
          </c:val>
          <c:extLst>
            <c:ext xmlns:c16="http://schemas.microsoft.com/office/drawing/2014/chart" uri="{C3380CC4-5D6E-409C-BE32-E72D297353CC}">
              <c16:uniqueId val="{00000000-ED60-4A9C-A1F9-ED04DE13019A}"/>
            </c:ext>
          </c:extLst>
        </c:ser>
        <c:ser>
          <c:idx val="1"/>
          <c:order val="1"/>
          <c:tx>
            <c:strRef>
              <c:f>Indicadores!$C$44</c:f>
              <c:strCache>
                <c:ptCount val="1"/>
                <c:pt idx="0">
                  <c:v>5. Subdirección de Gestión del Riesgo</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val>
            <c:numRef>
              <c:f>Indicadores!$CF$10</c:f>
              <c:numCache>
                <c:formatCode>0%</c:formatCode>
                <c:ptCount val="1"/>
                <c:pt idx="0">
                  <c:v>0.47734375000000012</c:v>
                </c:pt>
              </c:numCache>
            </c:numRef>
          </c:val>
          <c:extLst>
            <c:ext xmlns:c16="http://schemas.microsoft.com/office/drawing/2014/chart" uri="{C3380CC4-5D6E-409C-BE32-E72D297353CC}">
              <c16:uniqueId val="{00000001-ED60-4A9C-A1F9-ED04DE13019A}"/>
            </c:ext>
          </c:extLst>
        </c:ser>
        <c:dLbls>
          <c:showLegendKey val="0"/>
          <c:showVal val="0"/>
          <c:showCatName val="0"/>
          <c:showSerName val="0"/>
          <c:showPercent val="0"/>
          <c:showBubbleSize val="0"/>
        </c:dLbls>
        <c:gapWidth val="140"/>
        <c:overlap val="-25"/>
        <c:axId val="108419760"/>
        <c:axId val="108423288"/>
      </c:barChart>
      <c:catAx>
        <c:axId val="108419760"/>
        <c:scaling>
          <c:orientation val="minMax"/>
        </c:scaling>
        <c:delete val="1"/>
        <c:axPos val="b"/>
        <c:majorTickMark val="none"/>
        <c:minorTickMark val="none"/>
        <c:tickLblPos val="nextTo"/>
        <c:crossAx val="108423288"/>
        <c:crosses val="autoZero"/>
        <c:auto val="1"/>
        <c:lblAlgn val="ctr"/>
        <c:lblOffset val="100"/>
        <c:noMultiLvlLbl val="0"/>
      </c:catAx>
      <c:valAx>
        <c:axId val="10842328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108419760"/>
        <c:crosses val="autoZero"/>
        <c:crossBetween val="between"/>
      </c:valAx>
      <c:spPr>
        <a:solidFill>
          <a:schemeClr val="bg1">
            <a:lumMod val="95000"/>
          </a:schemeClr>
        </a:solid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a:scene3d>
      <a:camera prst="orthographicFront"/>
      <a:lightRig rig="threePt" dir="t"/>
    </a:scene3d>
    <a:sp3d>
      <a:bevelT/>
    </a:sp3d>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doughnut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63DB-4F55-8A4E-1901579201B3}"/>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03-63DB-4F55-8A4E-1901579201B3}"/>
              </c:ext>
            </c:extLst>
          </c:dPt>
          <c:val>
            <c:numRef>
              <c:f>Indicadores!$CF$15:$CF$16</c:f>
              <c:numCache>
                <c:formatCode>General</c:formatCode>
                <c:ptCount val="2"/>
                <c:pt idx="0">
                  <c:v>61</c:v>
                </c:pt>
                <c:pt idx="1">
                  <c:v>9</c:v>
                </c:pt>
              </c:numCache>
            </c:numRef>
          </c:val>
          <c:extLst>
            <c:ext xmlns:c16="http://schemas.microsoft.com/office/drawing/2014/chart" uri="{C3380CC4-5D6E-409C-BE32-E72D297353CC}">
              <c16:uniqueId val="{00000000-74A3-44D5-B63A-6ED402180880}"/>
            </c:ext>
          </c:extLst>
        </c:ser>
        <c:dLbls>
          <c:showLegendKey val="0"/>
          <c:showVal val="0"/>
          <c:showCatName val="0"/>
          <c:showSerName val="0"/>
          <c:showPercent val="0"/>
          <c:showBubbleSize val="0"/>
          <c:showLeaderLines val="1"/>
        </c:dLbls>
        <c:firstSliceAng val="0"/>
        <c:holeSize val="85"/>
      </c:doughnutChart>
      <c:spPr>
        <a:noFill/>
        <a:ln>
          <a:noFill/>
        </a:ln>
        <a:effectLst/>
      </c:spPr>
    </c:plotArea>
    <c:plotVisOnly val="1"/>
    <c:dispBlanksAs val="gap"/>
    <c:showDLblsOverMax val="0"/>
  </c:chart>
  <c:spPr>
    <a:noFill/>
    <a:ln w="9525" cap="flat" cmpd="sng" algn="ctr">
      <a:noFill/>
      <a:round/>
    </a:ln>
    <a:effectLst/>
  </c:spPr>
  <c:txPr>
    <a:bodyPr/>
    <a:lstStyle/>
    <a:p>
      <a:pPr>
        <a:defRPr/>
      </a:pPr>
      <a:endParaRPr lang="es-CO"/>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a:lstStyle/>
          <a:p>
            <a:pPr>
              <a:defRPr sz="1400">
                <a:solidFill>
                  <a:sysClr val="windowText" lastClr="000000"/>
                </a:solidFill>
              </a:defRPr>
            </a:pPr>
            <a:r>
              <a:rPr lang="es-CO" sz="1400">
                <a:solidFill>
                  <a:sysClr val="windowText" lastClr="000000"/>
                </a:solidFill>
              </a:rPr>
              <a:t>Plan</a:t>
            </a:r>
            <a:r>
              <a:rPr lang="es-CO" sz="1400" baseline="0">
                <a:solidFill>
                  <a:sysClr val="windowText" lastClr="000000"/>
                </a:solidFill>
              </a:rPr>
              <a:t> de acción 2do trimestre 2019</a:t>
            </a:r>
            <a:endParaRPr lang="es-CO" sz="1400">
              <a:solidFill>
                <a:sysClr val="windowText" lastClr="000000"/>
              </a:solidFill>
            </a:endParaRPr>
          </a:p>
        </c:rich>
      </c:tx>
      <c:overlay val="0"/>
    </c:title>
    <c:autoTitleDeleted val="0"/>
    <c:plotArea>
      <c:layout>
        <c:manualLayout>
          <c:layoutTarget val="inner"/>
          <c:xMode val="edge"/>
          <c:yMode val="edge"/>
          <c:x val="0.19209170282286142"/>
          <c:y val="0.19667520794640656"/>
          <c:w val="0.61724566763539412"/>
          <c:h val="0.81666762109281799"/>
        </c:manualLayout>
      </c:layout>
      <c:doughnutChart>
        <c:varyColors val="1"/>
        <c:ser>
          <c:idx val="0"/>
          <c:order val="0"/>
          <c:tx>
            <c:strRef>
              <c:f>Tablas!$D$441</c:f>
              <c:strCache>
                <c:ptCount val="1"/>
                <c:pt idx="0">
                  <c:v>ESCALA</c:v>
                </c:pt>
              </c:strCache>
            </c:strRef>
          </c:tx>
          <c:spPr>
            <a:gradFill>
              <a:gsLst>
                <a:gs pos="0">
                  <a:srgbClr val="FFFF00"/>
                </a:gs>
                <a:gs pos="0">
                  <a:srgbClr val="FFF200"/>
                </a:gs>
                <a:gs pos="0">
                  <a:srgbClr val="FF7A00"/>
                </a:gs>
                <a:gs pos="0">
                  <a:srgbClr val="FF0300"/>
                </a:gs>
              </a:gsLst>
              <a:lin ang="5400000" scaled="0"/>
            </a:gradFill>
            <a:scene3d>
              <a:camera prst="orthographicFront"/>
              <a:lightRig rig="threePt" dir="t"/>
            </a:scene3d>
            <a:sp3d>
              <a:bevelT/>
            </a:sp3d>
          </c:spPr>
          <c:dPt>
            <c:idx val="1"/>
            <c:bubble3D val="0"/>
            <c:spPr>
              <a:solidFill>
                <a:srgbClr val="FF0000"/>
              </a:solidFill>
              <a:scene3d>
                <a:camera prst="orthographicFront"/>
                <a:lightRig rig="threePt" dir="t"/>
              </a:scene3d>
              <a:sp3d>
                <a:bevelT/>
              </a:sp3d>
            </c:spPr>
            <c:extLst>
              <c:ext xmlns:c16="http://schemas.microsoft.com/office/drawing/2014/chart" uri="{C3380CC4-5D6E-409C-BE32-E72D297353CC}">
                <c16:uniqueId val="{00000001-1683-402E-85E0-F2556DDAD567}"/>
              </c:ext>
            </c:extLst>
          </c:dPt>
          <c:dPt>
            <c:idx val="2"/>
            <c:bubble3D val="0"/>
            <c:spPr>
              <a:gradFill flip="none" rotWithShape="1">
                <a:gsLst>
                  <a:gs pos="54000">
                    <a:srgbClr val="FFC000"/>
                  </a:gs>
                  <a:gs pos="30000">
                    <a:srgbClr val="FF0000"/>
                  </a:gs>
                  <a:gs pos="0">
                    <a:srgbClr val="FF0300"/>
                  </a:gs>
                </a:gsLst>
                <a:lin ang="18900000" scaled="1"/>
                <a:tileRect/>
              </a:gradFill>
              <a:scene3d>
                <a:camera prst="orthographicFront"/>
                <a:lightRig rig="threePt" dir="t"/>
              </a:scene3d>
              <a:sp3d>
                <a:bevelT/>
              </a:sp3d>
            </c:spPr>
            <c:extLst>
              <c:ext xmlns:c16="http://schemas.microsoft.com/office/drawing/2014/chart" uri="{C3380CC4-5D6E-409C-BE32-E72D297353CC}">
                <c16:uniqueId val="{00000003-1683-402E-85E0-F2556DDAD567}"/>
              </c:ext>
            </c:extLst>
          </c:dPt>
          <c:dPt>
            <c:idx val="3"/>
            <c:bubble3D val="0"/>
            <c:spPr>
              <a:solidFill>
                <a:srgbClr val="FFC000"/>
              </a:solidFill>
              <a:scene3d>
                <a:camera prst="orthographicFront"/>
                <a:lightRig rig="threePt" dir="t"/>
              </a:scene3d>
              <a:sp3d>
                <a:bevelT/>
              </a:sp3d>
            </c:spPr>
            <c:extLst>
              <c:ext xmlns:c16="http://schemas.microsoft.com/office/drawing/2014/chart" uri="{C3380CC4-5D6E-409C-BE32-E72D297353CC}">
                <c16:uniqueId val="{00000005-1683-402E-85E0-F2556DDAD567}"/>
              </c:ext>
            </c:extLst>
          </c:dPt>
          <c:dPt>
            <c:idx val="4"/>
            <c:bubble3D val="0"/>
            <c:spPr>
              <a:gradFill flip="none" rotWithShape="1">
                <a:gsLst>
                  <a:gs pos="0">
                    <a:srgbClr val="FFC000"/>
                  </a:gs>
                  <a:gs pos="62000">
                    <a:srgbClr val="FFFF00"/>
                  </a:gs>
                  <a:gs pos="14000">
                    <a:srgbClr val="FFC000"/>
                  </a:gs>
                </a:gsLst>
                <a:lin ang="0" scaled="1"/>
                <a:tileRect/>
              </a:gradFill>
              <a:scene3d>
                <a:camera prst="orthographicFront"/>
                <a:lightRig rig="threePt" dir="t"/>
              </a:scene3d>
              <a:sp3d>
                <a:bevelT/>
              </a:sp3d>
            </c:spPr>
            <c:extLst>
              <c:ext xmlns:c16="http://schemas.microsoft.com/office/drawing/2014/chart" uri="{C3380CC4-5D6E-409C-BE32-E72D297353CC}">
                <c16:uniqueId val="{00000007-1683-402E-85E0-F2556DDAD567}"/>
              </c:ext>
            </c:extLst>
          </c:dPt>
          <c:dPt>
            <c:idx val="5"/>
            <c:bubble3D val="0"/>
            <c:spPr>
              <a:solidFill>
                <a:srgbClr val="FFFF00"/>
              </a:solidFill>
              <a:scene3d>
                <a:camera prst="orthographicFront"/>
                <a:lightRig rig="threePt" dir="t"/>
              </a:scene3d>
              <a:sp3d>
                <a:bevelT/>
              </a:sp3d>
            </c:spPr>
            <c:extLst>
              <c:ext xmlns:c16="http://schemas.microsoft.com/office/drawing/2014/chart" uri="{C3380CC4-5D6E-409C-BE32-E72D297353CC}">
                <c16:uniqueId val="{00000009-1683-402E-85E0-F2556DDAD567}"/>
              </c:ext>
            </c:extLst>
          </c:dPt>
          <c:dPt>
            <c:idx val="6"/>
            <c:bubble3D val="0"/>
            <c:spPr>
              <a:solidFill>
                <a:srgbClr val="FFFF00"/>
              </a:solidFill>
              <a:scene3d>
                <a:camera prst="orthographicFront"/>
                <a:lightRig rig="threePt" dir="t"/>
              </a:scene3d>
              <a:sp3d>
                <a:bevelT/>
              </a:sp3d>
            </c:spPr>
            <c:extLst>
              <c:ext xmlns:c16="http://schemas.microsoft.com/office/drawing/2014/chart" uri="{C3380CC4-5D6E-409C-BE32-E72D297353CC}">
                <c16:uniqueId val="{0000000B-1683-402E-85E0-F2556DDAD567}"/>
              </c:ext>
            </c:extLst>
          </c:dPt>
          <c:dPt>
            <c:idx val="7"/>
            <c:bubble3D val="0"/>
            <c:spPr>
              <a:gradFill flip="none" rotWithShape="1">
                <a:gsLst>
                  <a:gs pos="33000">
                    <a:srgbClr val="FFFF00"/>
                  </a:gs>
                  <a:gs pos="48000">
                    <a:srgbClr val="FFF200"/>
                  </a:gs>
                  <a:gs pos="64000">
                    <a:srgbClr val="00CC00"/>
                  </a:gs>
                </a:gsLst>
                <a:lin ang="2700000" scaled="1"/>
                <a:tileRect/>
              </a:gradFill>
              <a:scene3d>
                <a:camera prst="orthographicFront"/>
                <a:lightRig rig="threePt" dir="t"/>
              </a:scene3d>
              <a:sp3d>
                <a:bevelT/>
              </a:sp3d>
            </c:spPr>
            <c:extLst>
              <c:ext xmlns:c16="http://schemas.microsoft.com/office/drawing/2014/chart" uri="{C3380CC4-5D6E-409C-BE32-E72D297353CC}">
                <c16:uniqueId val="{0000000D-1683-402E-85E0-F2556DDAD567}"/>
              </c:ext>
            </c:extLst>
          </c:dPt>
          <c:dPt>
            <c:idx val="8"/>
            <c:bubble3D val="0"/>
            <c:spPr>
              <a:solidFill>
                <a:srgbClr val="00CC00"/>
              </a:solidFill>
              <a:scene3d>
                <a:camera prst="orthographicFront"/>
                <a:lightRig rig="threePt" dir="t"/>
              </a:scene3d>
              <a:sp3d>
                <a:bevelT/>
              </a:sp3d>
            </c:spPr>
            <c:extLst>
              <c:ext xmlns:c16="http://schemas.microsoft.com/office/drawing/2014/chart" uri="{C3380CC4-5D6E-409C-BE32-E72D297353CC}">
                <c16:uniqueId val="{0000000F-1683-402E-85E0-F2556DDAD567}"/>
              </c:ext>
            </c:extLst>
          </c:dPt>
          <c:dPt>
            <c:idx val="9"/>
            <c:bubble3D val="0"/>
            <c:spPr>
              <a:noFill/>
              <a:ln>
                <a:noFill/>
              </a:ln>
              <a:scene3d>
                <a:camera prst="orthographicFront"/>
                <a:lightRig rig="threePt" dir="t"/>
              </a:scene3d>
              <a:sp3d>
                <a:bevelT/>
              </a:sp3d>
            </c:spPr>
            <c:extLst>
              <c:ext xmlns:c16="http://schemas.microsoft.com/office/drawing/2014/chart" uri="{C3380CC4-5D6E-409C-BE32-E72D297353CC}">
                <c16:uniqueId val="{00000011-1683-402E-85E0-F2556DDAD567}"/>
              </c:ext>
            </c:extLst>
          </c:dPt>
          <c:dLbls>
            <c:dLbl>
              <c:idx val="9"/>
              <c:delete val="1"/>
              <c:extLst>
                <c:ext xmlns:c15="http://schemas.microsoft.com/office/drawing/2012/chart" uri="{CE6537A1-D6FC-4f65-9D91-7224C49458BB}"/>
                <c:ext xmlns:c16="http://schemas.microsoft.com/office/drawing/2014/chart" uri="{C3380CC4-5D6E-409C-BE32-E72D297353CC}">
                  <c16:uniqueId val="{00000011-1683-402E-85E0-F2556DDAD567}"/>
                </c:ext>
              </c:extLst>
            </c:dLbl>
            <c:spPr>
              <a:noFill/>
              <a:ln>
                <a:noFill/>
              </a:ln>
              <a:effectLst/>
            </c:spPr>
            <c:txPr>
              <a:bodyPr/>
              <a:lstStyle/>
              <a:p>
                <a:pPr>
                  <a:defRPr>
                    <a:solidFill>
                      <a:schemeClr val="tx1"/>
                    </a:solidFill>
                  </a:defRPr>
                </a:pPr>
                <a:endParaRPr lang="es-CO"/>
              </a:p>
            </c:txPr>
            <c:showLegendKey val="0"/>
            <c:showVal val="0"/>
            <c:showCatName val="1"/>
            <c:showSerName val="0"/>
            <c:showPercent val="0"/>
            <c:showBubbleSize val="0"/>
            <c:separator>; </c:separator>
            <c:showLeaderLines val="1"/>
            <c:extLst>
              <c:ext xmlns:c15="http://schemas.microsoft.com/office/drawing/2012/chart" uri="{CE6537A1-D6FC-4f65-9D91-7224C49458BB}"/>
            </c:extLst>
          </c:dLbls>
          <c:cat>
            <c:numRef>
              <c:f>Tablas!$C$442:$C$451</c:f>
              <c:numCache>
                <c:formatCode>0%</c:formatCode>
                <c:ptCount val="10"/>
                <c:pt idx="0">
                  <c:v>0.1</c:v>
                </c:pt>
                <c:pt idx="1">
                  <c:v>0.2</c:v>
                </c:pt>
                <c:pt idx="2">
                  <c:v>0.3</c:v>
                </c:pt>
                <c:pt idx="3">
                  <c:v>0.4</c:v>
                </c:pt>
                <c:pt idx="4">
                  <c:v>0.5</c:v>
                </c:pt>
                <c:pt idx="5">
                  <c:v>0.6</c:v>
                </c:pt>
                <c:pt idx="6">
                  <c:v>0.7</c:v>
                </c:pt>
                <c:pt idx="7">
                  <c:v>0.8</c:v>
                </c:pt>
                <c:pt idx="8">
                  <c:v>0.9</c:v>
                </c:pt>
                <c:pt idx="9">
                  <c:v>1</c:v>
                </c:pt>
              </c:numCache>
            </c:numRef>
          </c:cat>
          <c:val>
            <c:numRef>
              <c:f>Tablas!$D$442:$D$451</c:f>
              <c:numCache>
                <c:formatCode>General</c:formatCode>
                <c:ptCount val="10"/>
                <c:pt idx="0">
                  <c:v>1</c:v>
                </c:pt>
                <c:pt idx="1">
                  <c:v>1</c:v>
                </c:pt>
                <c:pt idx="2">
                  <c:v>1</c:v>
                </c:pt>
                <c:pt idx="3">
                  <c:v>1</c:v>
                </c:pt>
                <c:pt idx="4">
                  <c:v>1</c:v>
                </c:pt>
                <c:pt idx="5">
                  <c:v>1</c:v>
                </c:pt>
                <c:pt idx="6">
                  <c:v>1</c:v>
                </c:pt>
                <c:pt idx="7">
                  <c:v>1</c:v>
                </c:pt>
                <c:pt idx="8">
                  <c:v>1</c:v>
                </c:pt>
                <c:pt idx="9">
                  <c:v>9</c:v>
                </c:pt>
              </c:numCache>
            </c:numRef>
          </c:val>
          <c:extLst>
            <c:ext xmlns:c16="http://schemas.microsoft.com/office/drawing/2014/chart" uri="{C3380CC4-5D6E-409C-BE32-E72D297353CC}">
              <c16:uniqueId val="{00000012-1683-402E-85E0-F2556DDAD567}"/>
            </c:ext>
          </c:extLst>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Tablas!$B$454</c:f>
              <c:strCache>
                <c:ptCount val="1"/>
                <c:pt idx="0">
                  <c:v>Puntos</c:v>
                </c:pt>
              </c:strCache>
            </c:strRef>
          </c:tx>
          <c:spPr>
            <a:ln w="28575">
              <a:headEnd type="diamond"/>
              <a:tailEnd type="stealth"/>
            </a:ln>
          </c:spPr>
          <c:marker>
            <c:symbol val="none"/>
          </c:marker>
          <c:dPt>
            <c:idx val="0"/>
            <c:bubble3D val="0"/>
            <c:spPr>
              <a:ln w="28575">
                <a:headEnd type="diamond" w="lg" len="med"/>
                <a:tailEnd type="stealth"/>
              </a:ln>
            </c:spPr>
            <c:extLst>
              <c:ext xmlns:c16="http://schemas.microsoft.com/office/drawing/2014/chart" uri="{C3380CC4-5D6E-409C-BE32-E72D297353CC}">
                <c16:uniqueId val="{00000014-1683-402E-85E0-F2556DDAD567}"/>
              </c:ext>
            </c:extLst>
          </c:dPt>
          <c:dPt>
            <c:idx val="1"/>
            <c:bubble3D val="0"/>
            <c:spPr>
              <a:ln w="28575">
                <a:solidFill>
                  <a:srgbClr val="0070C0"/>
                </a:solidFill>
                <a:headEnd type="diamond"/>
                <a:tailEnd type="stealth"/>
              </a:ln>
            </c:spPr>
            <c:extLst>
              <c:ext xmlns:c16="http://schemas.microsoft.com/office/drawing/2014/chart" uri="{C3380CC4-5D6E-409C-BE32-E72D297353CC}">
                <c16:uniqueId val="{00000016-1683-402E-85E0-F2556DDAD567}"/>
              </c:ext>
            </c:extLst>
          </c:dPt>
          <c:xVal>
            <c:numRef>
              <c:f>Tablas!$C$455:$C$456</c:f>
              <c:numCache>
                <c:formatCode>General</c:formatCode>
                <c:ptCount val="2"/>
                <c:pt idx="0">
                  <c:v>0</c:v>
                </c:pt>
                <c:pt idx="1">
                  <c:v>0.84076329195770594</c:v>
                </c:pt>
              </c:numCache>
            </c:numRef>
          </c:xVal>
          <c:yVal>
            <c:numRef>
              <c:f>Tablas!$D$455:$D$456</c:f>
              <c:numCache>
                <c:formatCode>General</c:formatCode>
                <c:ptCount val="2"/>
                <c:pt idx="0">
                  <c:v>0</c:v>
                </c:pt>
                <c:pt idx="1">
                  <c:v>0.54140288777992429</c:v>
                </c:pt>
              </c:numCache>
            </c:numRef>
          </c:yVal>
          <c:smooth val="1"/>
          <c:extLst>
            <c:ext xmlns:c16="http://schemas.microsoft.com/office/drawing/2014/chart" uri="{C3380CC4-5D6E-409C-BE32-E72D297353CC}">
              <c16:uniqueId val="{00000017-1683-402E-85E0-F2556DDAD567}"/>
            </c:ext>
          </c:extLst>
        </c:ser>
        <c:dLbls>
          <c:showLegendKey val="0"/>
          <c:showVal val="0"/>
          <c:showCatName val="0"/>
          <c:showSerName val="0"/>
          <c:showPercent val="0"/>
          <c:showBubbleSize val="0"/>
        </c:dLbls>
        <c:axId val="394143088"/>
        <c:axId val="394142696"/>
      </c:scatterChart>
      <c:valAx>
        <c:axId val="394142696"/>
        <c:scaling>
          <c:orientation val="minMax"/>
          <c:max val="1"/>
          <c:min val="-1"/>
        </c:scaling>
        <c:delete val="1"/>
        <c:axPos val="l"/>
        <c:numFmt formatCode="General" sourceLinked="1"/>
        <c:majorTickMark val="out"/>
        <c:minorTickMark val="none"/>
        <c:tickLblPos val="nextTo"/>
        <c:crossAx val="394143088"/>
        <c:crosses val="autoZero"/>
        <c:crossBetween val="midCat"/>
        <c:majorUnit val="0.5"/>
        <c:minorUnit val="4.0000000000000008E-2"/>
      </c:valAx>
      <c:valAx>
        <c:axId val="394143088"/>
        <c:scaling>
          <c:orientation val="minMax"/>
          <c:max val="1"/>
          <c:min val="-1"/>
        </c:scaling>
        <c:delete val="1"/>
        <c:axPos val="b"/>
        <c:numFmt formatCode="General" sourceLinked="1"/>
        <c:majorTickMark val="out"/>
        <c:minorTickMark val="none"/>
        <c:tickLblPos val="nextTo"/>
        <c:crossAx val="394142696"/>
        <c:crosses val="autoZero"/>
        <c:crossBetween val="midCat"/>
      </c:valAx>
      <c:spPr>
        <a:noFill/>
        <a:ln>
          <a:noFill/>
        </a:ln>
      </c:spPr>
    </c:plotArea>
    <c:plotVisOnly val="1"/>
    <c:dispBlanksAs val="gap"/>
    <c:showDLblsOverMax val="0"/>
  </c:chart>
  <c:spPr>
    <a:gradFill flip="none" rotWithShape="1">
      <a:gsLst>
        <a:gs pos="0">
          <a:sysClr val="window" lastClr="FFFFFF">
            <a:lumMod val="75000"/>
            <a:shade val="30000"/>
            <a:satMod val="115000"/>
          </a:sysClr>
        </a:gs>
        <a:gs pos="50000">
          <a:sysClr val="window" lastClr="FFFFFF">
            <a:lumMod val="75000"/>
            <a:shade val="67500"/>
            <a:satMod val="115000"/>
          </a:sysClr>
        </a:gs>
        <a:gs pos="100000">
          <a:sysClr val="window" lastClr="FFFFFF">
            <a:lumMod val="75000"/>
            <a:shade val="100000"/>
            <a:satMod val="115000"/>
          </a:sysClr>
        </a:gs>
      </a:gsLst>
      <a:path path="circle">
        <a:fillToRect t="100000" r="100000"/>
      </a:path>
      <a:tileRect l="-100000" b="-100000"/>
    </a:gradFill>
    <a:scene3d>
      <a:camera prst="orthographicFront"/>
      <a:lightRig rig="threePt" dir="t"/>
    </a:scene3d>
    <a:sp3d>
      <a:bevelT/>
    </a:sp3d>
  </c:spPr>
  <c:txPr>
    <a:bodyPr/>
    <a:lstStyle/>
    <a:p>
      <a:pPr>
        <a:defRPr>
          <a:solidFill>
            <a:schemeClr val="bg1"/>
          </a:solidFill>
        </a:defRPr>
      </a:pPr>
      <a:endParaRPr lang="es-CO"/>
    </a:p>
  </c:txPr>
  <c:printSettings>
    <c:headerFooter/>
    <c:pageMargins b="0.75" l="0.7" r="0.7" t="0.75" header="0.3" footer="0.3"/>
    <c:pageSetup orientation="portrait"/>
  </c:printSettings>
  <c:userShapes r:id="rId2"/>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[PLAN DE ACCIÓN II TRIMESTRE 2019 (3) (1).xlsx]Tablas!Tabla Ejecución</c:name>
    <c:fmtId val="16"/>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US" b="1"/>
              <a:t>Estado</a:t>
            </a:r>
            <a:r>
              <a:rPr lang="en-US" b="1" baseline="0"/>
              <a:t> de Ejecución</a:t>
            </a:r>
            <a:endParaRPr lang="en-US"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
      </c:pivotFmt>
      <c:pivotFmt>
        <c:idx val="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manualLayout>
          <c:layoutTarget val="inner"/>
          <c:xMode val="edge"/>
          <c:yMode val="edge"/>
          <c:x val="0.22554435220484317"/>
          <c:y val="0.15319444444444447"/>
          <c:w val="0.71187685914260712"/>
          <c:h val="0.72088764946048411"/>
        </c:manualLayout>
      </c:layout>
      <c:barChart>
        <c:barDir val="bar"/>
        <c:grouping val="clustered"/>
        <c:varyColors val="0"/>
        <c:ser>
          <c:idx val="0"/>
          <c:order val="0"/>
          <c:tx>
            <c:strRef>
              <c:f>Tablas!$B$30</c:f>
              <c:strCache>
                <c:ptCount val="1"/>
                <c:pt idx="0">
                  <c:v>Total</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Tablas!$A$31:$A$34</c:f>
              <c:strCache>
                <c:ptCount val="3"/>
                <c:pt idx="0">
                  <c:v>EN EJECUCIÓN</c:v>
                </c:pt>
                <c:pt idx="1">
                  <c:v>SIN EJECUTAR</c:v>
                </c:pt>
                <c:pt idx="2">
                  <c:v>CUMPLIDO</c:v>
                </c:pt>
              </c:strCache>
            </c:strRef>
          </c:cat>
          <c:val>
            <c:numRef>
              <c:f>Tablas!$B$31:$B$34</c:f>
              <c:numCache>
                <c:formatCode>General</c:formatCode>
                <c:ptCount val="3"/>
                <c:pt idx="0">
                  <c:v>61</c:v>
                </c:pt>
                <c:pt idx="1">
                  <c:v>9</c:v>
                </c:pt>
                <c:pt idx="2">
                  <c:v>2</c:v>
                </c:pt>
              </c:numCache>
            </c:numRef>
          </c:val>
          <c:extLst>
            <c:ext xmlns:c16="http://schemas.microsoft.com/office/drawing/2014/chart" uri="{C3380CC4-5D6E-409C-BE32-E72D297353CC}">
              <c16:uniqueId val="{00000000-89CE-4C9F-9608-9BA5917AE390}"/>
            </c:ext>
          </c:extLst>
        </c:ser>
        <c:dLbls>
          <c:dLblPos val="outEnd"/>
          <c:showLegendKey val="0"/>
          <c:showVal val="1"/>
          <c:showCatName val="0"/>
          <c:showSerName val="0"/>
          <c:showPercent val="0"/>
          <c:showBubbleSize val="0"/>
        </c:dLbls>
        <c:gapWidth val="219"/>
        <c:axId val="394144264"/>
        <c:axId val="491910992"/>
      </c:barChart>
      <c:catAx>
        <c:axId val="394144264"/>
        <c:scaling>
          <c:orientation val="minMax"/>
        </c:scaling>
        <c:delete val="0"/>
        <c:axPos val="l"/>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91910992"/>
        <c:crosses val="autoZero"/>
        <c:auto val="1"/>
        <c:lblAlgn val="ctr"/>
        <c:lblOffset val="100"/>
        <c:noMultiLvlLbl val="0"/>
      </c:catAx>
      <c:valAx>
        <c:axId val="49191099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94144264"/>
        <c:crosses val="autoZero"/>
        <c:crossBetween val="between"/>
      </c:valAx>
      <c:spPr>
        <a:solidFill>
          <a:schemeClr val="bg1">
            <a:lumMod val="95000"/>
          </a:schemeClr>
        </a:solidFill>
        <a:ln>
          <a:noFill/>
        </a:ln>
        <a:effectLst/>
      </c:spPr>
    </c:plotArea>
    <c:plotVisOnly val="1"/>
    <c:dispBlanksAs val="gap"/>
    <c:showDLblsOverMax val="0"/>
  </c:chart>
  <c:spPr>
    <a:solidFill>
      <a:schemeClr val="bg1">
        <a:lumMod val="85000"/>
      </a:schemeClr>
    </a:solidFill>
    <a:ln w="9525" cap="flat" cmpd="sng" algn="ctr">
      <a:solidFill>
        <a:schemeClr val="tx1">
          <a:lumMod val="15000"/>
          <a:lumOff val="85000"/>
        </a:schemeClr>
      </a:solidFill>
      <a:round/>
    </a:ln>
    <a:effectLst/>
    <a:scene3d>
      <a:camera prst="orthographicFront"/>
      <a:lightRig rig="threePt" dir="t"/>
    </a:scene3d>
    <a:sp3d>
      <a:bevelT/>
    </a:sp3d>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Categories val="1"/>
        <c14:dropZoneData val="1"/>
      </c14:pivotOptions>
    </c:ext>
    <c:ext xmlns:c16="http://schemas.microsoft.com/office/drawing/2014/chart" uri="{E28EC0CA-F0BB-4C9C-879D-F8772B89E7AC}">
      <c16:pivotOptions16>
        <c16:showExpandCollapseFieldButtons val="1"/>
      </c16:pivotOptions16>
    </c:ext>
  </c:extLst>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[PLAN DE ACCIÓN II TRIMESTRE 2019 (3) (1).xlsx]Tablas!Productos Periodo</c:name>
    <c:fmtId val="3"/>
  </c:pivotSource>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CO" sz="1200" b="1" i="0" baseline="0">
                <a:effectLst/>
              </a:rPr>
              <a:t>Programado vs Resultado PRODUCTO 2do trimestre 2019</a:t>
            </a:r>
            <a:endParaRPr lang="es-CO" sz="1200">
              <a:effectLst/>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marker>
          <c:spPr>
            <a:solidFill>
              <a:schemeClr val="accent1"/>
            </a:solidFill>
            <a:ln w="9525">
              <a:solidFill>
                <a:schemeClr val="accent1"/>
              </a:solidFill>
            </a:ln>
            <a:effectLst/>
          </c:spPr>
        </c:marker>
      </c:pivotFmt>
      <c:pivotFmt>
        <c:idx val="4"/>
        <c:spPr>
          <a:solidFill>
            <a:schemeClr val="accent1"/>
          </a:solidFill>
          <a:ln>
            <a:noFill/>
          </a:ln>
          <a:effectLst/>
        </c:spPr>
        <c:marker>
          <c:spPr>
            <a:solidFill>
              <a:schemeClr val="accent1"/>
            </a:solidFill>
            <a:ln w="9525">
              <a:solidFill>
                <a:schemeClr val="accent1"/>
              </a:solidFill>
            </a:ln>
            <a:effectLst/>
          </c:spPr>
        </c:marker>
      </c:pivotFmt>
      <c:pivotFmt>
        <c:idx val="5"/>
        <c:spPr>
          <a:solidFill>
            <a:schemeClr val="accent1"/>
          </a:solidFill>
          <a:ln>
            <a:noFill/>
          </a:ln>
          <a:effectLst/>
        </c:spPr>
        <c:marker>
          <c:spPr>
            <a:solidFill>
              <a:sysClr val="windowText" lastClr="000000"/>
            </a:solidFill>
            <a:ln w="9525">
              <a:solidFill>
                <a:srgbClr val="9BBB59">
                  <a:lumMod val="75000"/>
                </a:srgbClr>
              </a:solidFill>
            </a:ln>
            <a:effectLst/>
          </c:spPr>
        </c:marker>
      </c:pivotFmt>
      <c:pivotFmt>
        <c:idx val="6"/>
        <c:spPr>
          <a:solidFill>
            <a:schemeClr val="accent1"/>
          </a:solidFill>
          <a:ln w="28575" cap="rnd">
            <a:solidFill>
              <a:schemeClr val="accent1"/>
            </a:solidFill>
            <a:round/>
          </a:ln>
          <a:effectLst/>
        </c:spPr>
      </c:pivotFmt>
      <c:pivotFmt>
        <c:idx val="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w="28575" cap="rnd" cmpd="dbl">
            <a:solidFill>
              <a:srgbClr val="00B050"/>
            </a:solidFill>
            <a:round/>
          </a:ln>
          <a:effectLst/>
        </c:spPr>
        <c:marker>
          <c:symbol val="circle"/>
          <c:size val="5"/>
          <c:spPr>
            <a:solidFill>
              <a:schemeClr val="accent3"/>
            </a:solidFill>
            <a:ln w="9525">
              <a:solidFill>
                <a:schemeClr val="accent3"/>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2"/>
                  </a:solidFill>
                  <a:latin typeface="+mn-lt"/>
                  <a:ea typeface="+mn-ea"/>
                  <a:cs typeface="+mn-cs"/>
                </a:defRPr>
              </a:pPr>
              <a:endParaRPr lang="es-CO"/>
            </a:p>
          </c:txPr>
          <c:dLblPos val="t"/>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1"/>
          </a:solidFill>
          <a:ln w="28575" cap="rnd" cmpd="dbl">
            <a:solidFill>
              <a:srgbClr val="00B050"/>
            </a:solidFill>
            <a:round/>
          </a:ln>
          <a:effectLst/>
        </c:spPr>
        <c:marker>
          <c:symbol val="circle"/>
          <c:size val="5"/>
          <c:spPr>
            <a:solidFill>
              <a:schemeClr val="accent3"/>
            </a:solidFill>
            <a:ln w="9525">
              <a:solidFill>
                <a:schemeClr val="accent3"/>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2"/>
                  </a:solidFill>
                  <a:latin typeface="+mn-lt"/>
                  <a:ea typeface="+mn-ea"/>
                  <a:cs typeface="+mn-cs"/>
                </a:defRPr>
              </a:pPr>
              <a:endParaRPr lang="es-CO"/>
            </a:p>
          </c:txPr>
          <c:dLblPos val="t"/>
          <c:showLegendKey val="0"/>
          <c:showVal val="1"/>
          <c:showCatName val="0"/>
          <c:showSerName val="0"/>
          <c:showPercent val="0"/>
          <c:showBubbleSize val="0"/>
          <c:extLst>
            <c:ext xmlns:c15="http://schemas.microsoft.com/office/drawing/2012/chart" uri="{CE6537A1-D6FC-4f65-9D91-7224C49458BB}"/>
          </c:extLst>
        </c:dLbl>
      </c:pivotFmt>
      <c:pivotFmt>
        <c:idx val="1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w="25400">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t" anchorCtr="0">
              <a:spAutoFit/>
            </a:bodyPr>
            <a:lstStyle/>
            <a:p>
              <a:pPr>
                <a:defRPr sz="900" b="1" i="0" u="none" strike="noStrike" kern="1200" baseline="0">
                  <a:solidFill>
                    <a:schemeClr val="tx2"/>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solidFill>
          <a:ln w="28575" cap="rnd">
            <a:solidFill>
              <a:srgbClr val="00B050"/>
            </a:solidFill>
            <a:round/>
          </a:ln>
          <a:effectLst/>
        </c:spPr>
        <c:marker>
          <c:spPr>
            <a:solidFill>
              <a:schemeClr val="accent1"/>
            </a:solidFill>
            <a:ln w="9525">
              <a:solidFill>
                <a:schemeClr val="accent1"/>
              </a:solidFill>
            </a:ln>
            <a:effectLst/>
          </c:spPr>
        </c:marker>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solidFill>
          <a:ln>
            <a:solidFill>
              <a:srgbClr val="00B050"/>
            </a:solid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pivotFmt>
      <c:pivotFmt>
        <c:idx val="24"/>
        <c:spPr>
          <a:solidFill>
            <a:schemeClr val="accent1"/>
          </a:solidFill>
          <a:ln>
            <a:noFill/>
          </a:ln>
          <a:effectLst/>
        </c:spPr>
        <c:marker>
          <c:symbol val="none"/>
        </c:marker>
      </c:pivotFmt>
      <c:pivotFmt>
        <c:idx val="25"/>
        <c:spPr>
          <a:solidFill>
            <a:schemeClr val="accent1"/>
          </a:solidFill>
          <a:ln w="28575" cap="rnd">
            <a:solidFill>
              <a:srgbClr val="C00000"/>
            </a:solidFill>
            <a:round/>
          </a:ln>
          <a:effectLst/>
        </c:spPr>
        <c:marker>
          <c:symbol val="circle"/>
          <c:size val="5"/>
          <c:spPr>
            <a:solidFill>
              <a:sysClr val="windowText" lastClr="000000"/>
            </a:solidFill>
            <a:ln w="9525">
              <a:solidFill>
                <a:schemeClr val="accent1"/>
              </a:solidFill>
            </a:ln>
            <a:effectLst/>
          </c:spPr>
        </c:marker>
      </c:pivotFmt>
      <c:pivotFmt>
        <c:idx val="26"/>
        <c:spPr>
          <a:solidFill>
            <a:schemeClr val="accent1"/>
          </a:solidFill>
          <a:ln w="25400">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C00000"/>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28"/>
        <c:spPr>
          <a:solidFill>
            <a:schemeClr val="accent1"/>
          </a:solidFill>
          <a:ln w="25400">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Tablas!$B$54</c:f>
              <c:strCache>
                <c:ptCount val="1"/>
                <c:pt idx="0">
                  <c:v>Programado 2do tri.</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Tablas!$A$55:$A$63</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Logística</c:v>
                </c:pt>
                <c:pt idx="7">
                  <c:v>8. Subdirección de Gestión Corporativa</c:v>
                </c:pt>
                <c:pt idx="8">
                  <c:v>9. Subdirección de Gestión Humana</c:v>
                </c:pt>
              </c:strCache>
            </c:strRef>
          </c:cat>
          <c:val>
            <c:numRef>
              <c:f>Tablas!$B$55:$B$63</c:f>
              <c:numCache>
                <c:formatCode>0%</c:formatCode>
                <c:ptCount val="9"/>
                <c:pt idx="0">
                  <c:v>1</c:v>
                </c:pt>
                <c:pt idx="1">
                  <c:v>1</c:v>
                </c:pt>
                <c:pt idx="2">
                  <c:v>0.875</c:v>
                </c:pt>
                <c:pt idx="3">
                  <c:v>1</c:v>
                </c:pt>
                <c:pt idx="4">
                  <c:v>0.9375</c:v>
                </c:pt>
                <c:pt idx="5">
                  <c:v>1</c:v>
                </c:pt>
                <c:pt idx="6">
                  <c:v>1</c:v>
                </c:pt>
                <c:pt idx="7">
                  <c:v>0.9375</c:v>
                </c:pt>
                <c:pt idx="8">
                  <c:v>1</c:v>
                </c:pt>
              </c:numCache>
            </c:numRef>
          </c:val>
          <c:extLst>
            <c:ext xmlns:c16="http://schemas.microsoft.com/office/drawing/2014/chart" uri="{C3380CC4-5D6E-409C-BE32-E72D297353CC}">
              <c16:uniqueId val="{00000000-570A-469D-84E5-1151584A7E14}"/>
            </c:ext>
          </c:extLst>
        </c:ser>
        <c:ser>
          <c:idx val="1"/>
          <c:order val="1"/>
          <c:tx>
            <c:strRef>
              <c:f>Tablas!$C$54</c:f>
              <c:strCache>
                <c:ptCount val="1"/>
                <c:pt idx="0">
                  <c:v>Avance Ponderado 2do tri.</c:v>
                </c:pt>
              </c:strCache>
            </c:strRef>
          </c:tx>
          <c:spPr>
            <a:solidFill>
              <a:schemeClr val="accent2"/>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Tablas!$A$55:$A$63</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Logística</c:v>
                </c:pt>
                <c:pt idx="7">
                  <c:v>8. Subdirección de Gestión Corporativa</c:v>
                </c:pt>
                <c:pt idx="8">
                  <c:v>9. Subdirección de Gestión Humana</c:v>
                </c:pt>
              </c:strCache>
            </c:strRef>
          </c:cat>
          <c:val>
            <c:numRef>
              <c:f>Tablas!$C$55:$C$63</c:f>
              <c:numCache>
                <c:formatCode>0%</c:formatCode>
                <c:ptCount val="9"/>
                <c:pt idx="0">
                  <c:v>1</c:v>
                </c:pt>
                <c:pt idx="1">
                  <c:v>0.9</c:v>
                </c:pt>
                <c:pt idx="2">
                  <c:v>0.8214285714285714</c:v>
                </c:pt>
                <c:pt idx="3">
                  <c:v>0.875</c:v>
                </c:pt>
                <c:pt idx="4">
                  <c:v>0.86312500000000014</c:v>
                </c:pt>
                <c:pt idx="5">
                  <c:v>0.56615384615384623</c:v>
                </c:pt>
                <c:pt idx="6">
                  <c:v>0.79999999999999993</c:v>
                </c:pt>
                <c:pt idx="7">
                  <c:v>0.56291666666666662</c:v>
                </c:pt>
                <c:pt idx="8">
                  <c:v>0.76000000000000012</c:v>
                </c:pt>
              </c:numCache>
            </c:numRef>
          </c:val>
          <c:extLst>
            <c:ext xmlns:c16="http://schemas.microsoft.com/office/drawing/2014/chart" uri="{C3380CC4-5D6E-409C-BE32-E72D297353CC}">
              <c16:uniqueId val="{00000001-570A-469D-84E5-1151584A7E14}"/>
            </c:ext>
          </c:extLst>
        </c:ser>
        <c:ser>
          <c:idx val="2"/>
          <c:order val="2"/>
          <c:tx>
            <c:strRef>
              <c:f>Tablas!$D$54</c:f>
              <c:strCache>
                <c:ptCount val="1"/>
                <c:pt idx="0">
                  <c:v>Cumplimiento Producto 2do tri.</c:v>
                </c:pt>
              </c:strCache>
            </c:strRef>
          </c:tx>
          <c:spPr>
            <a:solidFill>
              <a:schemeClr val="accent3"/>
            </a:solidFill>
            <a:ln w="25400">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rgbClr val="C00000"/>
                    </a:solidFill>
                    <a:latin typeface="+mn-lt"/>
                    <a:ea typeface="+mn-ea"/>
                    <a:cs typeface="+mn-cs"/>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Tablas!$A$55:$A$63</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Logística</c:v>
                </c:pt>
                <c:pt idx="7">
                  <c:v>8. Subdirección de Gestión Corporativa</c:v>
                </c:pt>
                <c:pt idx="8">
                  <c:v>9. Subdirección de Gestión Humana</c:v>
                </c:pt>
              </c:strCache>
            </c:strRef>
          </c:cat>
          <c:val>
            <c:numRef>
              <c:f>Tablas!$D$55:$D$63</c:f>
              <c:numCache>
                <c:formatCode>0%</c:formatCode>
                <c:ptCount val="9"/>
                <c:pt idx="0">
                  <c:v>1</c:v>
                </c:pt>
                <c:pt idx="1">
                  <c:v>0.9</c:v>
                </c:pt>
                <c:pt idx="2">
                  <c:v>0.93877551020408156</c:v>
                </c:pt>
                <c:pt idx="3">
                  <c:v>0.875</c:v>
                </c:pt>
                <c:pt idx="4">
                  <c:v>0.92066666666666686</c:v>
                </c:pt>
                <c:pt idx="5">
                  <c:v>0.56615384615384623</c:v>
                </c:pt>
                <c:pt idx="6">
                  <c:v>0.79999999999999993</c:v>
                </c:pt>
                <c:pt idx="7">
                  <c:v>0.60044444444444445</c:v>
                </c:pt>
                <c:pt idx="8">
                  <c:v>0.76000000000000012</c:v>
                </c:pt>
              </c:numCache>
            </c:numRef>
          </c:val>
          <c:extLst>
            <c:ext xmlns:c16="http://schemas.microsoft.com/office/drawing/2014/chart" uri="{C3380CC4-5D6E-409C-BE32-E72D297353CC}">
              <c16:uniqueId val="{00000002-570A-469D-84E5-1151584A7E14}"/>
            </c:ext>
          </c:extLst>
        </c:ser>
        <c:dLbls>
          <c:showLegendKey val="0"/>
          <c:showVal val="1"/>
          <c:showCatName val="0"/>
          <c:showSerName val="0"/>
          <c:showPercent val="0"/>
          <c:showBubbleSize val="0"/>
        </c:dLbls>
        <c:gapWidth val="219"/>
        <c:axId val="491912560"/>
        <c:axId val="491912952"/>
      </c:barChart>
      <c:catAx>
        <c:axId val="49191256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91912952"/>
        <c:crosses val="autoZero"/>
        <c:auto val="1"/>
        <c:lblAlgn val="ctr"/>
        <c:lblOffset val="100"/>
        <c:noMultiLvlLbl val="0"/>
      </c:catAx>
      <c:valAx>
        <c:axId val="491912952"/>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91912560"/>
        <c:crosses val="autoZero"/>
        <c:crossBetween val="between"/>
      </c:valAx>
      <c:spPr>
        <a:solidFill>
          <a:schemeClr val="accent3">
            <a:lumMod val="20000"/>
            <a:lumOff val="80000"/>
          </a:schemeClr>
        </a:solidFill>
        <a:ln>
          <a:noFill/>
        </a:ln>
        <a:effectLst/>
        <a:scene3d>
          <a:camera prst="orthographicFront"/>
          <a:lightRig rig="threePt" dir="t"/>
        </a:scene3d>
        <a:sp3d>
          <a:bevelT/>
        </a:sp3d>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gradFill flip="none" rotWithShape="1">
      <a:gsLst>
        <a:gs pos="0">
          <a:schemeClr val="accent3">
            <a:lumMod val="20000"/>
            <a:lumOff val="80000"/>
            <a:shade val="30000"/>
            <a:satMod val="115000"/>
          </a:schemeClr>
        </a:gs>
        <a:gs pos="50000">
          <a:schemeClr val="accent3">
            <a:lumMod val="20000"/>
            <a:lumOff val="80000"/>
            <a:shade val="67500"/>
            <a:satMod val="115000"/>
          </a:schemeClr>
        </a:gs>
        <a:gs pos="100000">
          <a:schemeClr val="accent3">
            <a:lumMod val="20000"/>
            <a:lumOff val="80000"/>
            <a:shade val="100000"/>
            <a:satMod val="115000"/>
          </a:schemeClr>
        </a:gs>
      </a:gsLst>
      <a:path path="circle">
        <a:fillToRect l="100000" b="100000"/>
      </a:path>
      <a:tileRect t="-100000" r="-100000"/>
    </a:gradFill>
    <a:ln w="9525" cap="flat" cmpd="sng" algn="ctr">
      <a:solidFill>
        <a:srgbClr val="4F81BD"/>
      </a:solidFill>
      <a:round/>
    </a:ln>
    <a:effectLst/>
    <a:scene3d>
      <a:camera prst="orthographicFront"/>
      <a:lightRig rig="threePt" dir="t"/>
    </a:scene3d>
    <a:sp3d>
      <a:bevelT/>
    </a:sp3d>
  </c:spPr>
  <c:txPr>
    <a:bodyPr/>
    <a:lstStyle/>
    <a:p>
      <a:pPr>
        <a:defRPr/>
      </a:pPr>
      <a:endParaRPr lang="es-CO"/>
    </a:p>
  </c:txPr>
  <c:printSettings>
    <c:headerFooter/>
    <c:pageMargins b="0.75" l="0.7" r="0.7" t="0.75" header="0.3" footer="0.3"/>
    <c:pageSetup orientation="portrait"/>
  </c:printSettings>
  <c:extLst>
    <c:ext xmlns:c14="http://schemas.microsoft.com/office/drawing/2007/8/2/chart" uri="{781A3756-C4B2-4CAC-9D66-4F8BD8637D16}">
      <c14:pivotOptions>
        <c14:dropZoneFilter val="1"/>
        <c14:dropZoneCategories val="1"/>
        <c14:dropZonesVisible val="1"/>
      </c14:pivotOptions>
    </c:ext>
    <c:ext xmlns:c16="http://schemas.microsoft.com/office/drawing/2014/chart" uri="{E28EC0CA-F0BB-4C9C-879D-F8772B89E7AC}">
      <c16:pivotOptions16>
        <c16:showExpandCollapseFieldButtons val="1"/>
      </c16:pivotOptions16>
    </c:ext>
  </c:extLst>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a:pPr>
            <a:r>
              <a:rPr lang="es-CO" sz="1400"/>
              <a:t>Plan</a:t>
            </a:r>
            <a:r>
              <a:rPr lang="es-CO" sz="1400" baseline="0"/>
              <a:t> de acción 1er trimestre 2018</a:t>
            </a:r>
            <a:endParaRPr lang="es-CO" sz="1400"/>
          </a:p>
        </c:rich>
      </c:tx>
      <c:overlay val="0"/>
    </c:title>
    <c:autoTitleDeleted val="0"/>
    <c:plotArea>
      <c:layout>
        <c:manualLayout>
          <c:layoutTarget val="inner"/>
          <c:xMode val="edge"/>
          <c:yMode val="edge"/>
          <c:x val="0.19209170282286142"/>
          <c:y val="0.19667520794640656"/>
          <c:w val="0.61724566763539412"/>
          <c:h val="0.81666762109281799"/>
        </c:manualLayout>
      </c:layout>
      <c:doughnutChart>
        <c:varyColors val="1"/>
        <c:ser>
          <c:idx val="0"/>
          <c:order val="0"/>
          <c:tx>
            <c:strRef>
              <c:f>Tablas!$D$441</c:f>
              <c:strCache>
                <c:ptCount val="1"/>
                <c:pt idx="0">
                  <c:v>ESCALA</c:v>
                </c:pt>
              </c:strCache>
            </c:strRef>
          </c:tx>
          <c:spPr>
            <a:gradFill>
              <a:gsLst>
                <a:gs pos="0">
                  <a:srgbClr val="FFFF00"/>
                </a:gs>
                <a:gs pos="0">
                  <a:srgbClr val="FFF200"/>
                </a:gs>
                <a:gs pos="0">
                  <a:srgbClr val="FF7A00"/>
                </a:gs>
                <a:gs pos="0">
                  <a:srgbClr val="FF0300"/>
                </a:gs>
              </a:gsLst>
              <a:lin ang="5400000" scaled="0"/>
            </a:gradFill>
            <a:scene3d>
              <a:camera prst="orthographicFront"/>
              <a:lightRig rig="threePt" dir="t"/>
            </a:scene3d>
            <a:sp3d>
              <a:bevelT/>
            </a:sp3d>
          </c:spPr>
          <c:dPt>
            <c:idx val="1"/>
            <c:bubble3D val="0"/>
            <c:spPr>
              <a:solidFill>
                <a:srgbClr val="FF0000"/>
              </a:solidFill>
              <a:scene3d>
                <a:camera prst="orthographicFront"/>
                <a:lightRig rig="threePt" dir="t"/>
              </a:scene3d>
              <a:sp3d>
                <a:bevelT/>
              </a:sp3d>
            </c:spPr>
            <c:extLst>
              <c:ext xmlns:c16="http://schemas.microsoft.com/office/drawing/2014/chart" uri="{C3380CC4-5D6E-409C-BE32-E72D297353CC}">
                <c16:uniqueId val="{00000001-C443-416B-9F1B-B65C18218D19}"/>
              </c:ext>
            </c:extLst>
          </c:dPt>
          <c:dPt>
            <c:idx val="2"/>
            <c:bubble3D val="0"/>
            <c:spPr>
              <a:gradFill flip="none" rotWithShape="1">
                <a:gsLst>
                  <a:gs pos="54000">
                    <a:srgbClr val="FFC000"/>
                  </a:gs>
                  <a:gs pos="30000">
                    <a:srgbClr val="FF0000"/>
                  </a:gs>
                  <a:gs pos="0">
                    <a:srgbClr val="FF0300"/>
                  </a:gs>
                </a:gsLst>
                <a:lin ang="18900000" scaled="1"/>
                <a:tileRect/>
              </a:gradFill>
              <a:scene3d>
                <a:camera prst="orthographicFront"/>
                <a:lightRig rig="threePt" dir="t"/>
              </a:scene3d>
              <a:sp3d>
                <a:bevelT/>
              </a:sp3d>
            </c:spPr>
            <c:extLst>
              <c:ext xmlns:c16="http://schemas.microsoft.com/office/drawing/2014/chart" uri="{C3380CC4-5D6E-409C-BE32-E72D297353CC}">
                <c16:uniqueId val="{00000003-C443-416B-9F1B-B65C18218D19}"/>
              </c:ext>
            </c:extLst>
          </c:dPt>
          <c:dPt>
            <c:idx val="3"/>
            <c:bubble3D val="0"/>
            <c:spPr>
              <a:solidFill>
                <a:srgbClr val="FFC000"/>
              </a:solidFill>
              <a:scene3d>
                <a:camera prst="orthographicFront"/>
                <a:lightRig rig="threePt" dir="t"/>
              </a:scene3d>
              <a:sp3d>
                <a:bevelT/>
              </a:sp3d>
            </c:spPr>
            <c:extLst>
              <c:ext xmlns:c16="http://schemas.microsoft.com/office/drawing/2014/chart" uri="{C3380CC4-5D6E-409C-BE32-E72D297353CC}">
                <c16:uniqueId val="{00000005-C443-416B-9F1B-B65C18218D19}"/>
              </c:ext>
            </c:extLst>
          </c:dPt>
          <c:dPt>
            <c:idx val="4"/>
            <c:bubble3D val="0"/>
            <c:spPr>
              <a:gradFill flip="none" rotWithShape="1">
                <a:gsLst>
                  <a:gs pos="0">
                    <a:srgbClr val="FFC000"/>
                  </a:gs>
                  <a:gs pos="62000">
                    <a:srgbClr val="FFFF00"/>
                  </a:gs>
                  <a:gs pos="14000">
                    <a:srgbClr val="FFC000"/>
                  </a:gs>
                </a:gsLst>
                <a:lin ang="0" scaled="1"/>
                <a:tileRect/>
              </a:gradFill>
              <a:scene3d>
                <a:camera prst="orthographicFront"/>
                <a:lightRig rig="threePt" dir="t"/>
              </a:scene3d>
              <a:sp3d>
                <a:bevelT/>
              </a:sp3d>
            </c:spPr>
            <c:extLst>
              <c:ext xmlns:c16="http://schemas.microsoft.com/office/drawing/2014/chart" uri="{C3380CC4-5D6E-409C-BE32-E72D297353CC}">
                <c16:uniqueId val="{00000007-C443-416B-9F1B-B65C18218D19}"/>
              </c:ext>
            </c:extLst>
          </c:dPt>
          <c:dPt>
            <c:idx val="5"/>
            <c:bubble3D val="0"/>
            <c:spPr>
              <a:solidFill>
                <a:srgbClr val="FFFF00"/>
              </a:solidFill>
              <a:scene3d>
                <a:camera prst="orthographicFront"/>
                <a:lightRig rig="threePt" dir="t"/>
              </a:scene3d>
              <a:sp3d>
                <a:bevelT/>
              </a:sp3d>
            </c:spPr>
            <c:extLst>
              <c:ext xmlns:c16="http://schemas.microsoft.com/office/drawing/2014/chart" uri="{C3380CC4-5D6E-409C-BE32-E72D297353CC}">
                <c16:uniqueId val="{00000009-C443-416B-9F1B-B65C18218D19}"/>
              </c:ext>
            </c:extLst>
          </c:dPt>
          <c:dPt>
            <c:idx val="6"/>
            <c:bubble3D val="0"/>
            <c:spPr>
              <a:solidFill>
                <a:srgbClr val="FFFF00"/>
              </a:solidFill>
              <a:scene3d>
                <a:camera prst="orthographicFront"/>
                <a:lightRig rig="threePt" dir="t"/>
              </a:scene3d>
              <a:sp3d>
                <a:bevelT/>
              </a:sp3d>
            </c:spPr>
            <c:extLst>
              <c:ext xmlns:c16="http://schemas.microsoft.com/office/drawing/2014/chart" uri="{C3380CC4-5D6E-409C-BE32-E72D297353CC}">
                <c16:uniqueId val="{0000000B-C443-416B-9F1B-B65C18218D19}"/>
              </c:ext>
            </c:extLst>
          </c:dPt>
          <c:dPt>
            <c:idx val="7"/>
            <c:bubble3D val="0"/>
            <c:spPr>
              <a:gradFill flip="none" rotWithShape="1">
                <a:gsLst>
                  <a:gs pos="33000">
                    <a:srgbClr val="FFFF00"/>
                  </a:gs>
                  <a:gs pos="48000">
                    <a:srgbClr val="FFF200"/>
                  </a:gs>
                  <a:gs pos="64000">
                    <a:srgbClr val="00CC00"/>
                  </a:gs>
                </a:gsLst>
                <a:lin ang="2700000" scaled="1"/>
                <a:tileRect/>
              </a:gradFill>
              <a:scene3d>
                <a:camera prst="orthographicFront"/>
                <a:lightRig rig="threePt" dir="t"/>
              </a:scene3d>
              <a:sp3d>
                <a:bevelT/>
              </a:sp3d>
            </c:spPr>
            <c:extLst>
              <c:ext xmlns:c16="http://schemas.microsoft.com/office/drawing/2014/chart" uri="{C3380CC4-5D6E-409C-BE32-E72D297353CC}">
                <c16:uniqueId val="{0000000D-C443-416B-9F1B-B65C18218D19}"/>
              </c:ext>
            </c:extLst>
          </c:dPt>
          <c:dPt>
            <c:idx val="8"/>
            <c:bubble3D val="0"/>
            <c:spPr>
              <a:solidFill>
                <a:srgbClr val="00CC00"/>
              </a:solidFill>
              <a:scene3d>
                <a:camera prst="orthographicFront"/>
                <a:lightRig rig="threePt" dir="t"/>
              </a:scene3d>
              <a:sp3d>
                <a:bevelT/>
              </a:sp3d>
            </c:spPr>
            <c:extLst>
              <c:ext xmlns:c16="http://schemas.microsoft.com/office/drawing/2014/chart" uri="{C3380CC4-5D6E-409C-BE32-E72D297353CC}">
                <c16:uniqueId val="{0000000F-C443-416B-9F1B-B65C18218D19}"/>
              </c:ext>
            </c:extLst>
          </c:dPt>
          <c:dPt>
            <c:idx val="9"/>
            <c:bubble3D val="0"/>
            <c:spPr>
              <a:noFill/>
              <a:ln>
                <a:noFill/>
              </a:ln>
              <a:scene3d>
                <a:camera prst="orthographicFront"/>
                <a:lightRig rig="threePt" dir="t"/>
              </a:scene3d>
              <a:sp3d>
                <a:bevelT/>
              </a:sp3d>
            </c:spPr>
            <c:extLst>
              <c:ext xmlns:c16="http://schemas.microsoft.com/office/drawing/2014/chart" uri="{C3380CC4-5D6E-409C-BE32-E72D297353CC}">
                <c16:uniqueId val="{00000011-C443-416B-9F1B-B65C18218D19}"/>
              </c:ext>
            </c:extLst>
          </c:dPt>
          <c:dLbls>
            <c:dLbl>
              <c:idx val="9"/>
              <c:delete val="1"/>
              <c:extLst>
                <c:ext xmlns:c15="http://schemas.microsoft.com/office/drawing/2012/chart" uri="{CE6537A1-D6FC-4f65-9D91-7224C49458BB}"/>
                <c:ext xmlns:c16="http://schemas.microsoft.com/office/drawing/2014/chart" uri="{C3380CC4-5D6E-409C-BE32-E72D297353CC}">
                  <c16:uniqueId val="{00000011-C443-416B-9F1B-B65C18218D19}"/>
                </c:ext>
              </c:extLst>
            </c:dLbl>
            <c:spPr>
              <a:noFill/>
              <a:ln>
                <a:noFill/>
              </a:ln>
              <a:effectLst/>
            </c:spPr>
            <c:txPr>
              <a:bodyPr/>
              <a:lstStyle/>
              <a:p>
                <a:pPr>
                  <a:defRPr>
                    <a:solidFill>
                      <a:schemeClr val="tx1"/>
                    </a:solidFill>
                  </a:defRPr>
                </a:pPr>
                <a:endParaRPr lang="es-CO"/>
              </a:p>
            </c:txPr>
            <c:showLegendKey val="0"/>
            <c:showVal val="0"/>
            <c:showCatName val="1"/>
            <c:showSerName val="0"/>
            <c:showPercent val="0"/>
            <c:showBubbleSize val="0"/>
            <c:separator>; </c:separator>
            <c:showLeaderLines val="1"/>
            <c:extLst>
              <c:ext xmlns:c15="http://schemas.microsoft.com/office/drawing/2012/chart" uri="{CE6537A1-D6FC-4f65-9D91-7224C49458BB}"/>
            </c:extLst>
          </c:dLbls>
          <c:cat>
            <c:numRef>
              <c:f>Tablas!$C$442:$C$451</c:f>
              <c:numCache>
                <c:formatCode>0%</c:formatCode>
                <c:ptCount val="10"/>
                <c:pt idx="0">
                  <c:v>0.1</c:v>
                </c:pt>
                <c:pt idx="1">
                  <c:v>0.2</c:v>
                </c:pt>
                <c:pt idx="2">
                  <c:v>0.3</c:v>
                </c:pt>
                <c:pt idx="3">
                  <c:v>0.4</c:v>
                </c:pt>
                <c:pt idx="4">
                  <c:v>0.5</c:v>
                </c:pt>
                <c:pt idx="5">
                  <c:v>0.6</c:v>
                </c:pt>
                <c:pt idx="6">
                  <c:v>0.7</c:v>
                </c:pt>
                <c:pt idx="7">
                  <c:v>0.8</c:v>
                </c:pt>
                <c:pt idx="8">
                  <c:v>0.9</c:v>
                </c:pt>
                <c:pt idx="9">
                  <c:v>1</c:v>
                </c:pt>
              </c:numCache>
            </c:numRef>
          </c:cat>
          <c:val>
            <c:numRef>
              <c:f>Tablas!$D$442:$D$451</c:f>
              <c:numCache>
                <c:formatCode>General</c:formatCode>
                <c:ptCount val="10"/>
                <c:pt idx="0">
                  <c:v>1</c:v>
                </c:pt>
                <c:pt idx="1">
                  <c:v>1</c:v>
                </c:pt>
                <c:pt idx="2">
                  <c:v>1</c:v>
                </c:pt>
                <c:pt idx="3">
                  <c:v>1</c:v>
                </c:pt>
                <c:pt idx="4">
                  <c:v>1</c:v>
                </c:pt>
                <c:pt idx="5">
                  <c:v>1</c:v>
                </c:pt>
                <c:pt idx="6">
                  <c:v>1</c:v>
                </c:pt>
                <c:pt idx="7">
                  <c:v>1</c:v>
                </c:pt>
                <c:pt idx="8">
                  <c:v>1</c:v>
                </c:pt>
                <c:pt idx="9">
                  <c:v>9</c:v>
                </c:pt>
              </c:numCache>
            </c:numRef>
          </c:val>
          <c:extLst>
            <c:ext xmlns:c16="http://schemas.microsoft.com/office/drawing/2014/chart" uri="{C3380CC4-5D6E-409C-BE32-E72D297353CC}">
              <c16:uniqueId val="{00000012-C443-416B-9F1B-B65C18218D19}"/>
            </c:ext>
          </c:extLst>
        </c:ser>
        <c:dLbls>
          <c:showLegendKey val="0"/>
          <c:showVal val="0"/>
          <c:showCatName val="0"/>
          <c:showSerName val="0"/>
          <c:showPercent val="0"/>
          <c:showBubbleSize val="0"/>
          <c:showLeaderLines val="1"/>
        </c:dLbls>
        <c:firstSliceAng val="270"/>
        <c:holeSize val="50"/>
      </c:doughnutChart>
      <c:scatterChart>
        <c:scatterStyle val="smoothMarker"/>
        <c:varyColors val="0"/>
        <c:ser>
          <c:idx val="1"/>
          <c:order val="1"/>
          <c:tx>
            <c:strRef>
              <c:f>Tablas!$B$454</c:f>
              <c:strCache>
                <c:ptCount val="1"/>
                <c:pt idx="0">
                  <c:v>Puntos</c:v>
                </c:pt>
              </c:strCache>
            </c:strRef>
          </c:tx>
          <c:spPr>
            <a:ln w="28575">
              <a:headEnd type="diamond"/>
              <a:tailEnd type="stealth"/>
            </a:ln>
          </c:spPr>
          <c:marker>
            <c:symbol val="none"/>
          </c:marker>
          <c:dPt>
            <c:idx val="0"/>
            <c:bubble3D val="0"/>
            <c:spPr>
              <a:ln w="28575">
                <a:headEnd type="diamond" w="lg" len="med"/>
                <a:tailEnd type="stealth"/>
              </a:ln>
            </c:spPr>
            <c:extLst>
              <c:ext xmlns:c16="http://schemas.microsoft.com/office/drawing/2014/chart" uri="{C3380CC4-5D6E-409C-BE32-E72D297353CC}">
                <c16:uniqueId val="{00000014-C443-416B-9F1B-B65C18218D19}"/>
              </c:ext>
            </c:extLst>
          </c:dPt>
          <c:dPt>
            <c:idx val="1"/>
            <c:bubble3D val="0"/>
            <c:spPr>
              <a:ln w="28575">
                <a:solidFill>
                  <a:srgbClr val="0070C0"/>
                </a:solidFill>
                <a:headEnd type="diamond"/>
                <a:tailEnd type="stealth"/>
              </a:ln>
            </c:spPr>
            <c:extLst>
              <c:ext xmlns:c16="http://schemas.microsoft.com/office/drawing/2014/chart" uri="{C3380CC4-5D6E-409C-BE32-E72D297353CC}">
                <c16:uniqueId val="{00000016-C443-416B-9F1B-B65C18218D19}"/>
              </c:ext>
            </c:extLst>
          </c:dPt>
          <c:xVal>
            <c:numRef>
              <c:f>Tablas!$C$455:$C$456</c:f>
              <c:numCache>
                <c:formatCode>General</c:formatCode>
                <c:ptCount val="2"/>
                <c:pt idx="0">
                  <c:v>0</c:v>
                </c:pt>
                <c:pt idx="1">
                  <c:v>0.84076329195770594</c:v>
                </c:pt>
              </c:numCache>
            </c:numRef>
          </c:xVal>
          <c:yVal>
            <c:numRef>
              <c:f>Tablas!$D$455:$D$456</c:f>
              <c:numCache>
                <c:formatCode>General</c:formatCode>
                <c:ptCount val="2"/>
                <c:pt idx="0">
                  <c:v>0</c:v>
                </c:pt>
                <c:pt idx="1">
                  <c:v>0.54140288777992429</c:v>
                </c:pt>
              </c:numCache>
            </c:numRef>
          </c:yVal>
          <c:smooth val="1"/>
          <c:extLst>
            <c:ext xmlns:c16="http://schemas.microsoft.com/office/drawing/2014/chart" uri="{C3380CC4-5D6E-409C-BE32-E72D297353CC}">
              <c16:uniqueId val="{00000017-C443-416B-9F1B-B65C18218D19}"/>
            </c:ext>
          </c:extLst>
        </c:ser>
        <c:dLbls>
          <c:showLegendKey val="0"/>
          <c:showVal val="0"/>
          <c:showCatName val="0"/>
          <c:showSerName val="0"/>
          <c:showPercent val="0"/>
          <c:showBubbleSize val="0"/>
        </c:dLbls>
        <c:axId val="394141128"/>
        <c:axId val="394141520"/>
      </c:scatterChart>
      <c:valAx>
        <c:axId val="394141520"/>
        <c:scaling>
          <c:orientation val="minMax"/>
          <c:max val="1"/>
          <c:min val="-1"/>
        </c:scaling>
        <c:delete val="1"/>
        <c:axPos val="l"/>
        <c:numFmt formatCode="General" sourceLinked="1"/>
        <c:majorTickMark val="out"/>
        <c:minorTickMark val="none"/>
        <c:tickLblPos val="nextTo"/>
        <c:crossAx val="394141128"/>
        <c:crosses val="autoZero"/>
        <c:crossBetween val="midCat"/>
        <c:majorUnit val="0.5"/>
        <c:minorUnit val="4.0000000000000008E-2"/>
      </c:valAx>
      <c:valAx>
        <c:axId val="394141128"/>
        <c:scaling>
          <c:orientation val="minMax"/>
          <c:max val="1"/>
          <c:min val="-1"/>
        </c:scaling>
        <c:delete val="1"/>
        <c:axPos val="b"/>
        <c:numFmt formatCode="General" sourceLinked="1"/>
        <c:majorTickMark val="out"/>
        <c:minorTickMark val="none"/>
        <c:tickLblPos val="nextTo"/>
        <c:crossAx val="394141520"/>
        <c:crosses val="autoZero"/>
        <c:crossBetween val="midCat"/>
      </c:valAx>
      <c:spPr>
        <a:noFill/>
        <a:ln>
          <a:noFill/>
        </a:ln>
      </c:spPr>
    </c:plotArea>
    <c:plotVisOnly val="1"/>
    <c:dispBlanksAs val="gap"/>
    <c:showDLblsOverMax val="0"/>
  </c:chart>
  <c:spPr>
    <a:solidFill>
      <a:schemeClr val="tx1"/>
    </a:solidFill>
    <a:scene3d>
      <a:camera prst="orthographicFront"/>
      <a:lightRig rig="threePt" dir="t"/>
    </a:scene3d>
    <a:sp3d>
      <a:bevelT/>
    </a:sp3d>
  </c:spPr>
  <c:txPr>
    <a:bodyPr/>
    <a:lstStyle/>
    <a:p>
      <a:pPr>
        <a:defRPr>
          <a:solidFill>
            <a:schemeClr val="bg1"/>
          </a:solidFill>
        </a:defRPr>
      </a:pPr>
      <a:endParaRPr lang="es-CO"/>
    </a:p>
  </c:txPr>
  <c:printSettings>
    <c:headerFooter/>
    <c:pageMargins b="0.75" l="0.7" r="0.7" t="0.75" header="0.3" footer="0.3"/>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pivotSource>
    <c:name>[PLAN DE ACCIÓN II TRIMESTRE 2019 (3) (1).xlsx]Tablas!Productos Periodo</c:name>
    <c:fmtId val="1"/>
  </c:pivotSource>
  <c:chart>
    <c:title>
      <c:tx>
        <c:rich>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r>
              <a:rPr lang="es-CO" sz="1200" b="1" i="0" baseline="0">
                <a:effectLst/>
              </a:rPr>
              <a:t>Programado vs Resultado PRODUCTO 2do trimestre 2019</a:t>
            </a:r>
            <a:endParaRPr lang="es-CO" sz="1200">
              <a:effectLst/>
            </a:endParaRPr>
          </a:p>
        </c:rich>
      </c:tx>
      <c:overlay val="0"/>
      <c:spPr>
        <a:noFill/>
        <a:ln>
          <a:noFill/>
        </a:ln>
        <a:effectLst/>
      </c:spPr>
      <c:txPr>
        <a:bodyPr rot="0" spcFirstLastPara="1" vertOverflow="ellipsis" vert="horz" wrap="square" anchor="ctr" anchorCtr="1"/>
        <a:lstStyle/>
        <a:p>
          <a:pPr>
            <a:defRPr sz="12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pivotFmt>
      <c:pivotFmt>
        <c:idx val="1"/>
        <c:spPr>
          <a:solidFill>
            <a:schemeClr val="accent1"/>
          </a:solidFill>
          <a:ln>
            <a:noFill/>
          </a:ln>
          <a:effectLst/>
        </c:spPr>
      </c:pivotFmt>
      <c:pivotFmt>
        <c:idx val="2"/>
        <c:spPr>
          <a:solidFill>
            <a:schemeClr val="accent1"/>
          </a:solidFill>
          <a:ln>
            <a:noFill/>
          </a:ln>
          <a:effectLst/>
        </c:spPr>
      </c:pivotFmt>
      <c:pivotFmt>
        <c:idx val="3"/>
        <c:spPr>
          <a:solidFill>
            <a:schemeClr val="accent1"/>
          </a:solidFill>
          <a:ln>
            <a:noFill/>
          </a:ln>
          <a:effectLst/>
        </c:spPr>
        <c:marker>
          <c:spPr>
            <a:solidFill>
              <a:schemeClr val="accent1"/>
            </a:solidFill>
            <a:ln w="9525">
              <a:solidFill>
                <a:schemeClr val="accent1"/>
              </a:solidFill>
            </a:ln>
            <a:effectLst/>
          </c:spPr>
        </c:marker>
      </c:pivotFmt>
      <c:pivotFmt>
        <c:idx val="4"/>
        <c:spPr>
          <a:solidFill>
            <a:schemeClr val="accent1"/>
          </a:solidFill>
          <a:ln>
            <a:noFill/>
          </a:ln>
          <a:effectLst/>
        </c:spPr>
        <c:marker>
          <c:spPr>
            <a:solidFill>
              <a:schemeClr val="accent1"/>
            </a:solidFill>
            <a:ln w="9525">
              <a:solidFill>
                <a:schemeClr val="accent1"/>
              </a:solidFill>
            </a:ln>
            <a:effectLst/>
          </c:spPr>
        </c:marker>
      </c:pivotFmt>
      <c:pivotFmt>
        <c:idx val="5"/>
        <c:spPr>
          <a:solidFill>
            <a:schemeClr val="accent1"/>
          </a:solidFill>
          <a:ln>
            <a:noFill/>
          </a:ln>
          <a:effectLst/>
        </c:spPr>
        <c:marker>
          <c:spPr>
            <a:solidFill>
              <a:sysClr val="windowText" lastClr="000000"/>
            </a:solidFill>
            <a:ln w="9525">
              <a:solidFill>
                <a:srgbClr val="9BBB59">
                  <a:lumMod val="75000"/>
                </a:srgbClr>
              </a:solidFill>
            </a:ln>
            <a:effectLst/>
          </c:spPr>
        </c:marker>
      </c:pivotFmt>
      <c:pivotFmt>
        <c:idx val="6"/>
        <c:spPr>
          <a:solidFill>
            <a:schemeClr val="accent1"/>
          </a:solidFill>
          <a:ln w="28575" cap="rnd">
            <a:solidFill>
              <a:schemeClr val="accent1"/>
            </a:solidFill>
            <a:round/>
          </a:ln>
          <a:effectLst/>
        </c:spPr>
      </c:pivotFmt>
      <c:pivotFmt>
        <c:idx val="7"/>
        <c:spPr>
          <a:solidFill>
            <a:schemeClr val="accent1"/>
          </a:solidFill>
          <a:ln w="25400">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9"/>
        <c:spPr>
          <a:solidFill>
            <a:schemeClr val="accent1"/>
          </a:solidFill>
          <a:ln w="28575" cap="rnd">
            <a:solidFill>
              <a:schemeClr val="accent1"/>
            </a:solidFill>
            <a:round/>
          </a:ln>
          <a:effectLst/>
        </c:spPr>
        <c:marker>
          <c:symbol val="circle"/>
          <c:size val="5"/>
          <c:spPr>
            <a:solidFill>
              <a:schemeClr val="accent1"/>
            </a:solidFill>
            <a:ln w="9525">
              <a:solidFill>
                <a:schemeClr val="accent1"/>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800" b="1" i="0" u="none" strike="noStrike" kern="1200" baseline="0">
                  <a:solidFill>
                    <a:schemeClr val="tx2"/>
                  </a:solidFill>
                  <a:latin typeface="+mn-lt"/>
                  <a:ea typeface="+mn-ea"/>
                  <a:cs typeface="+mn-cs"/>
                </a:defRPr>
              </a:pPr>
              <a:endParaRPr lang="es-CO"/>
            </a:p>
          </c:txPr>
          <c:showLegendKey val="0"/>
          <c:showVal val="1"/>
          <c:showCatName val="0"/>
          <c:showSerName val="0"/>
          <c:showPercent val="0"/>
          <c:showBubbleSize val="0"/>
          <c:extLst>
            <c:ext xmlns:c15="http://schemas.microsoft.com/office/drawing/2012/chart" uri="{CE6537A1-D6FC-4f65-9D91-7224C49458BB}"/>
          </c:extLst>
        </c:dLbl>
      </c:pivotFmt>
      <c:pivotFmt>
        <c:idx val="10"/>
        <c:spPr>
          <a:solidFill>
            <a:schemeClr val="accent1"/>
          </a:solidFill>
          <a:ln>
            <a:noFill/>
          </a:ln>
          <a:effectLst/>
        </c:spPr>
        <c:marker>
          <c:symbol val="none"/>
        </c:marker>
      </c:pivotFmt>
      <c:pivotFmt>
        <c:idx val="11"/>
        <c:spPr>
          <a:solidFill>
            <a:schemeClr val="accent1"/>
          </a:solidFill>
          <a:ln>
            <a:noFill/>
          </a:ln>
          <a:effectLst/>
        </c:spPr>
        <c:marker>
          <c:symbol val="none"/>
        </c:marker>
      </c:pivotFmt>
      <c:pivotFmt>
        <c:idx val="12"/>
        <c:spPr>
          <a:solidFill>
            <a:schemeClr val="accent1"/>
          </a:solidFill>
          <a:ln w="28575" cap="rnd">
            <a:solidFill>
              <a:schemeClr val="accent1"/>
            </a:solidFill>
            <a:round/>
          </a:ln>
          <a:effectLst/>
        </c:spPr>
        <c:marker>
          <c:spPr>
            <a:solidFill>
              <a:schemeClr val="accent1"/>
            </a:solidFill>
            <a:ln w="9525">
              <a:solidFill>
                <a:schemeClr val="accent1"/>
              </a:solidFill>
            </a:ln>
            <a:effectLst/>
          </c:spPr>
        </c:marker>
      </c:pivotFmt>
      <c:pivotFmt>
        <c:idx val="13"/>
        <c:spPr>
          <a:solidFill>
            <a:schemeClr val="accent1"/>
          </a:solidFill>
          <a:ln>
            <a:noFill/>
          </a:ln>
          <a:effectLst/>
        </c:spPr>
        <c:marker>
          <c:symbol val="none"/>
        </c:marker>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inEnd"/>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solidFill>
          <a:ln w="28575" cap="rnd">
            <a:solidFill>
              <a:srgbClr val="C00000"/>
            </a:solidFill>
            <a:round/>
          </a:ln>
          <a:effectLst/>
        </c:spPr>
        <c:marker>
          <c:symbol val="diamond"/>
          <c:size val="5"/>
          <c:spPr>
            <a:solidFill>
              <a:sysClr val="windowText" lastClr="000000"/>
            </a:solidFill>
            <a:ln w="9525">
              <a:solidFill>
                <a:sysClr val="windowText" lastClr="000000"/>
              </a:solidFill>
            </a:ln>
            <a:effectLst/>
          </c:spPr>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tx1">
                      <a:lumMod val="75000"/>
                      <a:lumOff val="25000"/>
                    </a:schemeClr>
                  </a:solidFill>
                  <a:latin typeface="+mn-lt"/>
                  <a:ea typeface="+mn-ea"/>
                  <a:cs typeface="+mn-cs"/>
                </a:defRPr>
              </a:pPr>
              <a:endParaRPr lang="es-CO"/>
            </a:p>
          </c:txPr>
          <c:dLblPos val="t"/>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pivotFmt>
      <c:pivotFmt>
        <c:idx val="18"/>
        <c:spPr>
          <a:solidFill>
            <a:schemeClr val="accent1"/>
          </a:solidFill>
          <a:ln>
            <a:noFill/>
          </a:ln>
          <a:effectLst/>
        </c:spPr>
        <c:marker>
          <c:symbol val="none"/>
        </c:marker>
      </c:pivotFmt>
      <c:pivotFmt>
        <c:idx val="19"/>
        <c:spPr>
          <a:solidFill>
            <a:schemeClr val="accent1"/>
          </a:solidFill>
          <a:ln>
            <a:noFill/>
          </a:ln>
          <a:effectLst/>
        </c:spPr>
        <c:marker>
          <c:symbol val="none"/>
        </c:marker>
      </c:pivotFmt>
    </c:pivotFmts>
    <c:plotArea>
      <c:layout/>
      <c:barChart>
        <c:barDir val="col"/>
        <c:grouping val="clustered"/>
        <c:varyColors val="0"/>
        <c:ser>
          <c:idx val="0"/>
          <c:order val="0"/>
          <c:tx>
            <c:strRef>
              <c:f>Tablas!$B$54</c:f>
              <c:strCache>
                <c:ptCount val="1"/>
                <c:pt idx="0">
                  <c:v>Programado 2do tri.</c:v>
                </c:pt>
              </c:strCache>
            </c:strRef>
          </c:tx>
          <c:spPr>
            <a:solidFill>
              <a:schemeClr val="accent1"/>
            </a:solidFill>
            <a:ln>
              <a:noFill/>
            </a:ln>
            <a:effectLst/>
          </c:spPr>
          <c:invertIfNegative val="0"/>
          <c:cat>
            <c:strRef>
              <c:f>Tablas!$A$55:$A$63</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Logística</c:v>
                </c:pt>
                <c:pt idx="7">
                  <c:v>8. Subdirección de Gestión Corporativa</c:v>
                </c:pt>
                <c:pt idx="8">
                  <c:v>9. Subdirección de Gestión Humana</c:v>
                </c:pt>
              </c:strCache>
            </c:strRef>
          </c:cat>
          <c:val>
            <c:numRef>
              <c:f>Tablas!$B$55:$B$63</c:f>
              <c:numCache>
                <c:formatCode>0%</c:formatCode>
                <c:ptCount val="9"/>
                <c:pt idx="0">
                  <c:v>1</c:v>
                </c:pt>
                <c:pt idx="1">
                  <c:v>1</c:v>
                </c:pt>
                <c:pt idx="2">
                  <c:v>0.875</c:v>
                </c:pt>
                <c:pt idx="3">
                  <c:v>1</c:v>
                </c:pt>
                <c:pt idx="4">
                  <c:v>0.9375</c:v>
                </c:pt>
                <c:pt idx="5">
                  <c:v>1</c:v>
                </c:pt>
                <c:pt idx="6">
                  <c:v>1</c:v>
                </c:pt>
                <c:pt idx="7">
                  <c:v>0.9375</c:v>
                </c:pt>
                <c:pt idx="8">
                  <c:v>1</c:v>
                </c:pt>
              </c:numCache>
            </c:numRef>
          </c:val>
          <c:extLst>
            <c:ext xmlns:c16="http://schemas.microsoft.com/office/drawing/2014/chart" uri="{C3380CC4-5D6E-409C-BE32-E72D297353CC}">
              <c16:uniqueId val="{00000000-F25E-41EE-8B42-7A8BC4D68D75}"/>
            </c:ext>
          </c:extLst>
        </c:ser>
        <c:ser>
          <c:idx val="1"/>
          <c:order val="1"/>
          <c:tx>
            <c:strRef>
              <c:f>Tablas!$C$54</c:f>
              <c:strCache>
                <c:ptCount val="1"/>
                <c:pt idx="0">
                  <c:v>Avance Ponderado 2do tri.</c:v>
                </c:pt>
              </c:strCache>
            </c:strRef>
          </c:tx>
          <c:spPr>
            <a:solidFill>
              <a:schemeClr val="accent2"/>
            </a:solidFill>
            <a:ln>
              <a:noFill/>
            </a:ln>
            <a:effectLst/>
          </c:spPr>
          <c:invertIfNegative val="0"/>
          <c:cat>
            <c:strRef>
              <c:f>Tablas!$A$55:$A$63</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Logística</c:v>
                </c:pt>
                <c:pt idx="7">
                  <c:v>8. Subdirección de Gestión Corporativa</c:v>
                </c:pt>
                <c:pt idx="8">
                  <c:v>9. Subdirección de Gestión Humana</c:v>
                </c:pt>
              </c:strCache>
            </c:strRef>
          </c:cat>
          <c:val>
            <c:numRef>
              <c:f>Tablas!$C$55:$C$63</c:f>
              <c:numCache>
                <c:formatCode>0%</c:formatCode>
                <c:ptCount val="9"/>
                <c:pt idx="0">
                  <c:v>1</c:v>
                </c:pt>
                <c:pt idx="1">
                  <c:v>0.9</c:v>
                </c:pt>
                <c:pt idx="2">
                  <c:v>0.8214285714285714</c:v>
                </c:pt>
                <c:pt idx="3">
                  <c:v>0.875</c:v>
                </c:pt>
                <c:pt idx="4">
                  <c:v>0.86312500000000014</c:v>
                </c:pt>
                <c:pt idx="5">
                  <c:v>0.56615384615384623</c:v>
                </c:pt>
                <c:pt idx="6">
                  <c:v>0.79999999999999993</c:v>
                </c:pt>
                <c:pt idx="7">
                  <c:v>0.56291666666666662</c:v>
                </c:pt>
                <c:pt idx="8">
                  <c:v>0.76000000000000012</c:v>
                </c:pt>
              </c:numCache>
            </c:numRef>
          </c:val>
          <c:extLst>
            <c:ext xmlns:c16="http://schemas.microsoft.com/office/drawing/2014/chart" uri="{C3380CC4-5D6E-409C-BE32-E72D297353CC}">
              <c16:uniqueId val="{00000001-F25E-41EE-8B42-7A8BC4D68D75}"/>
            </c:ext>
          </c:extLst>
        </c:ser>
        <c:ser>
          <c:idx val="2"/>
          <c:order val="2"/>
          <c:tx>
            <c:strRef>
              <c:f>Tablas!$D$54</c:f>
              <c:strCache>
                <c:ptCount val="1"/>
                <c:pt idx="0">
                  <c:v>Cumplimiento Producto 2do tri.</c:v>
                </c:pt>
              </c:strCache>
            </c:strRef>
          </c:tx>
          <c:spPr>
            <a:solidFill>
              <a:schemeClr val="accent3"/>
            </a:solidFill>
            <a:ln>
              <a:noFill/>
            </a:ln>
            <a:effectLst/>
          </c:spPr>
          <c:invertIfNegative val="0"/>
          <c:cat>
            <c:strRef>
              <c:f>Tablas!$A$55:$A$63</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Logística</c:v>
                </c:pt>
                <c:pt idx="7">
                  <c:v>8. Subdirección de Gestión Corporativa</c:v>
                </c:pt>
                <c:pt idx="8">
                  <c:v>9. Subdirección de Gestión Humana</c:v>
                </c:pt>
              </c:strCache>
            </c:strRef>
          </c:cat>
          <c:val>
            <c:numRef>
              <c:f>Tablas!$D$55:$D$63</c:f>
              <c:numCache>
                <c:formatCode>0%</c:formatCode>
                <c:ptCount val="9"/>
                <c:pt idx="0">
                  <c:v>1</c:v>
                </c:pt>
                <c:pt idx="1">
                  <c:v>0.9</c:v>
                </c:pt>
                <c:pt idx="2">
                  <c:v>0.93877551020408156</c:v>
                </c:pt>
                <c:pt idx="3">
                  <c:v>0.875</c:v>
                </c:pt>
                <c:pt idx="4">
                  <c:v>0.92066666666666686</c:v>
                </c:pt>
                <c:pt idx="5">
                  <c:v>0.56615384615384623</c:v>
                </c:pt>
                <c:pt idx="6">
                  <c:v>0.79999999999999993</c:v>
                </c:pt>
                <c:pt idx="7">
                  <c:v>0.60044444444444445</c:v>
                </c:pt>
                <c:pt idx="8">
                  <c:v>0.76000000000000012</c:v>
                </c:pt>
              </c:numCache>
            </c:numRef>
          </c:val>
          <c:extLst>
            <c:ext xmlns:c16="http://schemas.microsoft.com/office/drawing/2014/chart" uri="{C3380CC4-5D6E-409C-BE32-E72D297353CC}">
              <c16:uniqueId val="{00000002-F25E-41EE-8B42-7A8BC4D68D75}"/>
            </c:ext>
          </c:extLst>
        </c:ser>
        <c:dLbls>
          <c:showLegendKey val="0"/>
          <c:showVal val="0"/>
          <c:showCatName val="0"/>
          <c:showSerName val="0"/>
          <c:showPercent val="0"/>
          <c:showBubbleSize val="0"/>
        </c:dLbls>
        <c:gapWidth val="219"/>
        <c:axId val="491913736"/>
        <c:axId val="491914128"/>
      </c:barChart>
      <c:catAx>
        <c:axId val="49191373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91914128"/>
        <c:crosses val="autoZero"/>
        <c:auto val="1"/>
        <c:lblAlgn val="ctr"/>
        <c:lblOffset val="100"/>
        <c:noMultiLvlLbl val="0"/>
      </c:catAx>
      <c:valAx>
        <c:axId val="49191412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491913736"/>
        <c:crosses val="autoZero"/>
        <c:crossBetween val="between"/>
      </c:valAx>
      <c:spPr>
        <a:solidFill>
          <a:schemeClr val="accent3">
            <a:lumMod val="20000"/>
            <a:lumOff val="80000"/>
          </a:schemeClr>
        </a:solidFill>
        <a:ln>
          <a:noFill/>
        </a:ln>
        <a:effectLst/>
        <a:scene3d>
          <a:camera prst="orthographicFront"/>
          <a:lightRig rig="threePt" dir="t"/>
        </a:scene3d>
        <a:sp3d>
          <a:bevelT/>
        </a:sp3d>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gradFill flip="none" rotWithShape="1">
      <a:gsLst>
        <a:gs pos="0">
          <a:schemeClr val="accent3">
            <a:lumMod val="20000"/>
            <a:lumOff val="80000"/>
            <a:shade val="30000"/>
            <a:satMod val="115000"/>
          </a:schemeClr>
        </a:gs>
        <a:gs pos="50000">
          <a:schemeClr val="accent3">
            <a:lumMod val="20000"/>
            <a:lumOff val="80000"/>
            <a:shade val="67500"/>
            <a:satMod val="115000"/>
          </a:schemeClr>
        </a:gs>
        <a:gs pos="100000">
          <a:schemeClr val="accent3">
            <a:lumMod val="20000"/>
            <a:lumOff val="80000"/>
            <a:shade val="100000"/>
            <a:satMod val="115000"/>
          </a:schemeClr>
        </a:gs>
      </a:gsLst>
      <a:path path="circle">
        <a:fillToRect l="100000" b="100000"/>
      </a:path>
      <a:tileRect t="-100000" r="-100000"/>
    </a:gradFill>
    <a:ln w="9525" cap="flat" cmpd="sng" algn="ctr">
      <a:solidFill>
        <a:schemeClr val="tx1">
          <a:lumMod val="15000"/>
          <a:lumOff val="85000"/>
        </a:schemeClr>
      </a:solidFill>
      <a:round/>
    </a:ln>
    <a:effectLst/>
    <a:scene3d>
      <a:camera prst="orthographicFront"/>
      <a:lightRig rig="threePt" dir="t"/>
    </a:scene3d>
    <a:sp3d>
      <a:bevelT/>
    </a:sp3d>
  </c:spPr>
  <c:txPr>
    <a:bodyPr/>
    <a:lstStyle/>
    <a:p>
      <a:pPr>
        <a:defRPr/>
      </a:pPr>
      <a:endParaRPr lang="es-CO"/>
    </a:p>
  </c:txPr>
  <c:printSettings>
    <c:headerFooter/>
    <c:pageMargins b="0.75" l="0.7" r="0.7" t="0.75" header="0.3" footer="0.3"/>
    <c:pageSetup orientation="portrait"/>
  </c:printSettings>
  <c:extLst>
    <c:ext xmlns:c14="http://schemas.microsoft.com/office/drawing/2007/8/2/chart" uri="{781A3756-C4B2-4CAC-9D66-4F8BD8637D16}">
      <c14:pivotOptions>
        <c14:dropZoneFilter val="1"/>
        <c14:dropZoneCatego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trlProps/ctrlProp1.xml><?xml version="1.0" encoding="utf-8"?>
<formControlPr xmlns="http://schemas.microsoft.com/office/spreadsheetml/2009/9/main" objectType="CheckBox" checked="Checked" fmlaLink="$BU$19" lockText="1"/>
</file>

<file path=xl/ctrlProps/ctrlProp2.xml><?xml version="1.0" encoding="utf-8"?>
<formControlPr xmlns="http://schemas.microsoft.com/office/spreadsheetml/2009/9/main" objectType="CheckBox" checked="Checked" fmlaLink="$BU$20" lockText="1"/>
</file>

<file path=xl/drawings/_rels/drawing1.xml.rels><?xml version="1.0" encoding="UTF-8" standalone="yes"?>
<Relationships xmlns="http://schemas.openxmlformats.org/package/2006/relationships"><Relationship Id="rId2" Type="http://schemas.openxmlformats.org/officeDocument/2006/relationships/hyperlink" Target="#'Actividades Plan de Desarrollo'!A1"/><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8" Type="http://schemas.openxmlformats.org/officeDocument/2006/relationships/image" Target="../media/image3.png"/><Relationship Id="rId3" Type="http://schemas.openxmlformats.org/officeDocument/2006/relationships/chart" Target="../charts/chart3.xml"/><Relationship Id="rId7" Type="http://schemas.openxmlformats.org/officeDocument/2006/relationships/chart" Target="../charts/chart6.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2.png"/><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image" Target="../media/image4.png"/></Relationships>
</file>

<file path=xl/drawings/_rels/drawing4.xml.rels><?xml version="1.0" encoding="UTF-8" standalone="yes"?>
<Relationships xmlns="http://schemas.openxmlformats.org/package/2006/relationships"><Relationship Id="rId2" Type="http://schemas.openxmlformats.org/officeDocument/2006/relationships/image" Target="../media/image5.png"/><Relationship Id="rId1" Type="http://schemas.openxmlformats.org/officeDocument/2006/relationships/image" Target="../media/image3.png"/></Relationships>
</file>

<file path=xl/drawings/_rels/drawing5.xml.rels><?xml version="1.0" encoding="UTF-8" standalone="yes"?>
<Relationships xmlns="http://schemas.openxmlformats.org/package/2006/relationships"><Relationship Id="rId2" Type="http://schemas.openxmlformats.org/officeDocument/2006/relationships/image" Target="../media/image6.png"/><Relationship Id="rId1" Type="http://schemas.openxmlformats.org/officeDocument/2006/relationships/image" Target="../media/image3.png"/></Relationships>
</file>

<file path=xl/drawings/_rels/drawing6.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chart" Target="../charts/chart8.xml"/><Relationship Id="rId1" Type="http://schemas.openxmlformats.org/officeDocument/2006/relationships/chart" Target="../charts/chart7.xml"/><Relationship Id="rId4" Type="http://schemas.openxmlformats.org/officeDocument/2006/relationships/image" Target="../media/image7.png"/></Relationships>
</file>

<file path=xl/drawings/_rels/drawing8.xml.rels><?xml version="1.0" encoding="UTF-8" standalone="yes"?>
<Relationships xmlns="http://schemas.openxmlformats.org/package/2006/relationships"><Relationship Id="rId1" Type="http://schemas.openxmlformats.org/officeDocument/2006/relationships/image" Target="../media/image8.png"/></Relationships>
</file>

<file path=xl/drawings/_rels/drawing9.xml.rels><?xml version="1.0" encoding="UTF-8" standalone="yes"?>
<Relationships xmlns="http://schemas.openxmlformats.org/package/2006/relationships"><Relationship Id="rId2" Type="http://schemas.openxmlformats.org/officeDocument/2006/relationships/hyperlink" Target="#'PLAN DE ACCI&#211;N 2018'!A1"/><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xdr:from>
      <xdr:col>1</xdr:col>
      <xdr:colOff>28574</xdr:colOff>
      <xdr:row>1</xdr:row>
      <xdr:rowOff>76201</xdr:rowOff>
    </xdr:from>
    <xdr:to>
      <xdr:col>5</xdr:col>
      <xdr:colOff>1809750</xdr:colOff>
      <xdr:row>5</xdr:row>
      <xdr:rowOff>95251</xdr:rowOff>
    </xdr:to>
    <xdr:sp macro="" textlink="">
      <xdr:nvSpPr>
        <xdr:cNvPr id="2" name="1 Rectángulo">
          <a:extLst>
            <a:ext uri="{FF2B5EF4-FFF2-40B4-BE49-F238E27FC236}">
              <a16:creationId xmlns:a16="http://schemas.microsoft.com/office/drawing/2014/main" id="{00000000-0008-0000-0000-000002000000}"/>
            </a:ext>
          </a:extLst>
        </xdr:cNvPr>
        <xdr:cNvSpPr/>
      </xdr:nvSpPr>
      <xdr:spPr>
        <a:xfrm>
          <a:off x="790574" y="266701"/>
          <a:ext cx="10077451" cy="5905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s-CO" sz="2400">
              <a:solidFill>
                <a:schemeClr val="lt1"/>
              </a:solidFill>
              <a:effectLst/>
              <a:latin typeface="+mn-lt"/>
              <a:ea typeface="+mn-ea"/>
              <a:cs typeface="+mn-cs"/>
            </a:rPr>
            <a:t>PLAN DE ACCIÓN INSTITUCIONAL 2018</a:t>
          </a:r>
          <a:endParaRPr lang="es-CO" sz="2400">
            <a:solidFill>
              <a:srgbClr val="FFFF00"/>
            </a:solidFill>
            <a:effectLst/>
          </a:endParaRPr>
        </a:p>
      </xdr:txBody>
    </xdr:sp>
    <xdr:clientData/>
  </xdr:twoCellAnchor>
  <xdr:twoCellAnchor editAs="oneCell">
    <xdr:from>
      <xdr:col>6</xdr:col>
      <xdr:colOff>180975</xdr:colOff>
      <xdr:row>1</xdr:row>
      <xdr:rowOff>52521</xdr:rowOff>
    </xdr:from>
    <xdr:to>
      <xdr:col>8</xdr:col>
      <xdr:colOff>2058853</xdr:colOff>
      <xdr:row>4</xdr:row>
      <xdr:rowOff>56714</xdr:rowOff>
    </xdr:to>
    <xdr:pic>
      <xdr:nvPicPr>
        <xdr:cNvPr id="4" name="3 Imagen">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287125" y="243021"/>
          <a:ext cx="4487728" cy="602907"/>
        </a:xfrm>
        <a:prstGeom prst="rect">
          <a:avLst/>
        </a:prstGeom>
      </xdr:spPr>
    </xdr:pic>
    <xdr:clientData/>
  </xdr:twoCellAnchor>
  <xdr:twoCellAnchor>
    <xdr:from>
      <xdr:col>9</xdr:col>
      <xdr:colOff>1251857</xdr:colOff>
      <xdr:row>2</xdr:row>
      <xdr:rowOff>13606</xdr:rowOff>
    </xdr:from>
    <xdr:to>
      <xdr:col>10</xdr:col>
      <xdr:colOff>1938616</xdr:colOff>
      <xdr:row>3</xdr:row>
      <xdr:rowOff>156881</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000-000003000000}"/>
            </a:ext>
          </a:extLst>
        </xdr:cNvPr>
        <xdr:cNvSpPr/>
      </xdr:nvSpPr>
      <xdr:spPr>
        <a:xfrm>
          <a:off x="17085769" y="405812"/>
          <a:ext cx="2793465" cy="356187"/>
        </a:xfrm>
        <a:prstGeom prst="roundRect">
          <a:avLst/>
        </a:prstGeom>
      </xdr:spPr>
      <xdr:style>
        <a:lnRef idx="2">
          <a:schemeClr val="accent6">
            <a:shade val="50000"/>
          </a:schemeClr>
        </a:lnRef>
        <a:fillRef idx="1">
          <a:schemeClr val="accent6"/>
        </a:fillRef>
        <a:effectRef idx="0">
          <a:schemeClr val="accent6"/>
        </a:effectRef>
        <a:fontRef idx="minor">
          <a:schemeClr val="lt1"/>
        </a:fontRef>
      </xdr:style>
      <xdr:txBody>
        <a:bodyPr vertOverflow="clip" horzOverflow="clip" rtlCol="0" anchor="ctr"/>
        <a:lstStyle/>
        <a:p>
          <a:pPr algn="ctr"/>
          <a:r>
            <a:rPr lang="es-CO" sz="1200" b="1"/>
            <a:t>CLIC</a:t>
          </a:r>
          <a:r>
            <a:rPr lang="es-CO" sz="1200" b="1" baseline="0"/>
            <a:t> = Actividades Plan de Desarrollo</a:t>
          </a:r>
          <a:endParaRPr lang="es-CO" sz="1200" b="1"/>
        </a:p>
      </xdr:txBody>
    </xdr:sp>
    <xdr:clientData/>
  </xdr:twoCellAnchor>
  <xdr:twoCellAnchor>
    <xdr:from>
      <xdr:col>16</xdr:col>
      <xdr:colOff>78441</xdr:colOff>
      <xdr:row>3</xdr:row>
      <xdr:rowOff>89647</xdr:rowOff>
    </xdr:from>
    <xdr:to>
      <xdr:col>16</xdr:col>
      <xdr:colOff>481853</xdr:colOff>
      <xdr:row>5</xdr:row>
      <xdr:rowOff>11206</xdr:rowOff>
    </xdr:to>
    <xdr:sp macro="" textlink="">
      <xdr:nvSpPr>
        <xdr:cNvPr id="5" name="4 Flecha abajo">
          <a:extLst>
            <a:ext uri="{FF2B5EF4-FFF2-40B4-BE49-F238E27FC236}">
              <a16:creationId xmlns:a16="http://schemas.microsoft.com/office/drawing/2014/main" id="{00000000-0008-0000-0000-000005000000}"/>
            </a:ext>
          </a:extLst>
        </xdr:cNvPr>
        <xdr:cNvSpPr/>
      </xdr:nvSpPr>
      <xdr:spPr>
        <a:xfrm>
          <a:off x="26625176" y="694765"/>
          <a:ext cx="403412" cy="302559"/>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1681443</xdr:colOff>
      <xdr:row>16</xdr:row>
      <xdr:rowOff>12472</xdr:rowOff>
    </xdr:from>
    <xdr:to>
      <xdr:col>11</xdr:col>
      <xdr:colOff>357468</xdr:colOff>
      <xdr:row>40</xdr:row>
      <xdr:rowOff>15127</xdr:rowOff>
    </xdr:to>
    <xdr:grpSp>
      <xdr:nvGrpSpPr>
        <xdr:cNvPr id="4" name="Grupo 3">
          <a:extLst>
            <a:ext uri="{FF2B5EF4-FFF2-40B4-BE49-F238E27FC236}">
              <a16:creationId xmlns:a16="http://schemas.microsoft.com/office/drawing/2014/main" id="{00000000-0008-0000-0100-000004000000}"/>
            </a:ext>
          </a:extLst>
        </xdr:cNvPr>
        <xdr:cNvGrpSpPr/>
      </xdr:nvGrpSpPr>
      <xdr:grpSpPr>
        <a:xfrm>
          <a:off x="8057590" y="3822472"/>
          <a:ext cx="6856319" cy="4574655"/>
          <a:chOff x="6090677" y="375616"/>
          <a:chExt cx="7203385" cy="4377183"/>
        </a:xfrm>
      </xdr:grpSpPr>
      <xdr:graphicFrame macro="">
        <xdr:nvGraphicFramePr>
          <xdr:cNvPr id="3" name="Gráfico 2">
            <a:extLst>
              <a:ext uri="{FF2B5EF4-FFF2-40B4-BE49-F238E27FC236}">
                <a16:creationId xmlns:a16="http://schemas.microsoft.com/office/drawing/2014/main" id="{00000000-0008-0000-0100-000003000000}"/>
              </a:ext>
            </a:extLst>
          </xdr:cNvPr>
          <xdr:cNvGraphicFramePr/>
        </xdr:nvGraphicFramePr>
        <xdr:xfrm>
          <a:off x="6090677" y="392420"/>
          <a:ext cx="7203385" cy="4360379"/>
        </xdr:xfrm>
        <a:graphic>
          <a:graphicData uri="http://schemas.openxmlformats.org/drawingml/2006/chart">
            <c:chart xmlns:c="http://schemas.openxmlformats.org/drawingml/2006/chart" xmlns:r="http://schemas.openxmlformats.org/officeDocument/2006/relationships" r:id="rId1"/>
          </a:graphicData>
        </a:graphic>
      </xdr:graphicFrame>
      <mc:AlternateContent xmlns:mc="http://schemas.openxmlformats.org/markup-compatibility/2006">
        <mc:Choice xmlns:a14="http://schemas.microsoft.com/office/drawing/2010/main" Requires="a14">
          <xdr:sp macro="" textlink="">
            <xdr:nvSpPr>
              <xdr:cNvPr id="22529" name="Check Box 1" hidden="1">
                <a:extLst>
                  <a:ext uri="{63B3BB69-23CF-44E3-9099-C40C66FF867C}">
                    <a14:compatExt spid="_x0000_s22529"/>
                  </a:ext>
                  <a:ext uri="{FF2B5EF4-FFF2-40B4-BE49-F238E27FC236}">
                    <a16:creationId xmlns:a16="http://schemas.microsoft.com/office/drawing/2014/main" id="{00000000-0008-0000-0100-000001580000}"/>
                  </a:ext>
                </a:extLst>
              </xdr:cNvPr>
              <xdr:cNvSpPr/>
            </xdr:nvSpPr>
            <xdr:spPr bwMode="auto">
              <a:xfrm>
                <a:off x="10781058" y="375616"/>
                <a:ext cx="799271" cy="278710"/>
              </a:xfrm>
              <a:prstGeom prst="rect">
                <a:avLst/>
              </a:prstGeom>
              <a:noFill/>
              <a:ln>
                <a:noFill/>
              </a:ln>
              <a:extLst>
                <a:ext uri="{909E8E84-426E-40DD-AFC4-6F175D3DCCD1}">
                  <a14:hiddenFill>
                    <a:solidFill>
                      <a:srgbClr val="CCFFFF" mc:Ignorable="a14" a14:legacySpreadsheetColorIndex="41"/>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Productos</a:t>
                </a:r>
              </a:p>
            </xdr:txBody>
          </xdr:sp>
        </mc:Choice>
        <mc:Fallback/>
      </mc:AlternateContent>
      <mc:AlternateContent xmlns:mc="http://schemas.openxmlformats.org/markup-compatibility/2006">
        <mc:Choice xmlns:a14="http://schemas.microsoft.com/office/drawing/2010/main" Requires="a14">
          <xdr:sp macro="" textlink="">
            <xdr:nvSpPr>
              <xdr:cNvPr id="22530" name="Check Box 2" hidden="1">
                <a:extLst>
                  <a:ext uri="{63B3BB69-23CF-44E3-9099-C40C66FF867C}">
                    <a14:compatExt spid="_x0000_s22530"/>
                  </a:ext>
                  <a:ext uri="{FF2B5EF4-FFF2-40B4-BE49-F238E27FC236}">
                    <a16:creationId xmlns:a16="http://schemas.microsoft.com/office/drawing/2014/main" id="{00000000-0008-0000-0100-000002580000}"/>
                  </a:ext>
                </a:extLst>
              </xdr:cNvPr>
              <xdr:cNvSpPr/>
            </xdr:nvSpPr>
            <xdr:spPr bwMode="auto">
              <a:xfrm>
                <a:off x="11778282" y="392182"/>
                <a:ext cx="781465" cy="270427"/>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s-CO" sz="800" b="0" i="0" u="none" strike="noStrike" baseline="0">
                    <a:solidFill>
                      <a:srgbClr val="000000"/>
                    </a:solidFill>
                    <a:latin typeface="Segoe UI"/>
                    <a:cs typeface="Segoe UI"/>
                  </a:rPr>
                  <a:t>Actividades</a:t>
                </a:r>
              </a:p>
            </xdr:txBody>
          </xdr:sp>
        </mc:Choice>
        <mc:Fallback/>
      </mc:AlternateContent>
    </xdr:grpSp>
    <xdr:clientData/>
  </xdr:twoCellAnchor>
  <xdr:twoCellAnchor>
    <xdr:from>
      <xdr:col>1</xdr:col>
      <xdr:colOff>60879</xdr:colOff>
      <xdr:row>44</xdr:row>
      <xdr:rowOff>123826</xdr:rowOff>
    </xdr:from>
    <xdr:to>
      <xdr:col>2</xdr:col>
      <xdr:colOff>2362200</xdr:colOff>
      <xdr:row>51</xdr:row>
      <xdr:rowOff>28575</xdr:rowOff>
    </xdr:to>
    <xdr:graphicFrame macro="">
      <xdr:nvGraphicFramePr>
        <xdr:cNvPr id="2" name="Gráfico 1">
          <a:extLst>
            <a:ext uri="{FF2B5EF4-FFF2-40B4-BE49-F238E27FC236}">
              <a16:creationId xmlns:a16="http://schemas.microsoft.com/office/drawing/2014/main" id="{00000000-0008-0000-01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81</xdr:col>
      <xdr:colOff>1656521</xdr:colOff>
      <xdr:row>18</xdr:row>
      <xdr:rowOff>11596</xdr:rowOff>
    </xdr:from>
    <xdr:to>
      <xdr:col>87</xdr:col>
      <xdr:colOff>140804</xdr:colOff>
      <xdr:row>32</xdr:row>
      <xdr:rowOff>87796</xdr:rowOff>
    </xdr:to>
    <xdr:graphicFrame macro="">
      <xdr:nvGraphicFramePr>
        <xdr:cNvPr id="5" name="Gráfico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83</xdr:col>
      <xdr:colOff>447261</xdr:colOff>
      <xdr:row>21</xdr:row>
      <xdr:rowOff>8282</xdr:rowOff>
    </xdr:from>
    <xdr:to>
      <xdr:col>85</xdr:col>
      <xdr:colOff>273326</xdr:colOff>
      <xdr:row>29</xdr:row>
      <xdr:rowOff>0</xdr:rowOff>
    </xdr:to>
    <xdr:sp macro="" textlink="$CF$17">
      <xdr:nvSpPr>
        <xdr:cNvPr id="6" name="Elipse 5">
          <a:extLst>
            <a:ext uri="{FF2B5EF4-FFF2-40B4-BE49-F238E27FC236}">
              <a16:creationId xmlns:a16="http://schemas.microsoft.com/office/drawing/2014/main" id="{00000000-0008-0000-0100-000006000000}"/>
            </a:ext>
          </a:extLst>
        </xdr:cNvPr>
        <xdr:cNvSpPr/>
      </xdr:nvSpPr>
      <xdr:spPr>
        <a:xfrm>
          <a:off x="33105587" y="3246782"/>
          <a:ext cx="1499152" cy="1515718"/>
        </a:xfrm>
        <a:prstGeom prst="ellipse">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fld id="{B0524A71-E0CA-49DB-B2D0-776E2AC4A82B}" type="TxLink">
            <a:rPr lang="en-US" sz="1100" b="0" i="0" u="none" strike="noStrike">
              <a:solidFill>
                <a:srgbClr val="000000"/>
              </a:solidFill>
              <a:latin typeface="Calibri"/>
              <a:cs typeface="Calibri"/>
            </a:rPr>
            <a:pPr algn="ctr"/>
            <a:t>85%</a:t>
          </a:fld>
          <a:endParaRPr lang="es-CO" sz="3600"/>
        </a:p>
      </xdr:txBody>
    </xdr:sp>
    <xdr:clientData/>
  </xdr:twoCellAnchor>
  <xdr:twoCellAnchor>
    <xdr:from>
      <xdr:col>5</xdr:col>
      <xdr:colOff>144947</xdr:colOff>
      <xdr:row>5</xdr:row>
      <xdr:rowOff>10353</xdr:rowOff>
    </xdr:from>
    <xdr:to>
      <xdr:col>6</xdr:col>
      <xdr:colOff>190500</xdr:colOff>
      <xdr:row>14</xdr:row>
      <xdr:rowOff>77029</xdr:rowOff>
    </xdr:to>
    <xdr:graphicFrame macro="">
      <xdr:nvGraphicFramePr>
        <xdr:cNvPr id="9" name="9 Gráfico">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2</xdr:col>
      <xdr:colOff>830745</xdr:colOff>
      <xdr:row>4</xdr:row>
      <xdr:rowOff>133350</xdr:rowOff>
    </xdr:from>
    <xdr:to>
      <xdr:col>4</xdr:col>
      <xdr:colOff>285750</xdr:colOff>
      <xdr:row>8</xdr:row>
      <xdr:rowOff>533400</xdr:rowOff>
    </xdr:to>
    <mc:AlternateContent xmlns:mc="http://schemas.openxmlformats.org/markup-compatibility/2006" xmlns:a14="http://schemas.microsoft.com/office/drawing/2010/main">
      <mc:Choice Requires="a14">
        <xdr:graphicFrame macro="">
          <xdr:nvGraphicFramePr>
            <xdr:cNvPr id="11" name="Tipo de resultado">
              <a:extLst>
                <a:ext uri="{FF2B5EF4-FFF2-40B4-BE49-F238E27FC236}">
                  <a16:creationId xmlns:a16="http://schemas.microsoft.com/office/drawing/2014/main" id="{00000000-0008-0000-0100-00000B000000}"/>
                </a:ext>
              </a:extLst>
            </xdr:cNvPr>
            <xdr:cNvGraphicFramePr/>
          </xdr:nvGraphicFramePr>
          <xdr:xfrm>
            <a:off x="0" y="0"/>
            <a:ext cx="0" cy="0"/>
          </xdr:xfrm>
          <a:graphic>
            <a:graphicData uri="http://schemas.microsoft.com/office/drawing/2010/slicer">
              <sle:slicer xmlns:sle="http://schemas.microsoft.com/office/drawing/2010/slicer" name="Tipo de resultado"/>
            </a:graphicData>
          </a:graphic>
        </xdr:graphicFrame>
      </mc:Choice>
      <mc:Fallback xmlns="">
        <xdr:sp macro="" textlink="">
          <xdr:nvSpPr>
            <xdr:cNvPr id="0" name=""/>
            <xdr:cNvSpPr>
              <a:spLocks noTextEdit="1"/>
            </xdr:cNvSpPr>
          </xdr:nvSpPr>
          <xdr:spPr>
            <a:xfrm>
              <a:off x="3631095" y="1466850"/>
              <a:ext cx="2455380" cy="1162050"/>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2</xdr:col>
      <xdr:colOff>824533</xdr:colOff>
      <xdr:row>9</xdr:row>
      <xdr:rowOff>139562</xdr:rowOff>
    </xdr:from>
    <xdr:to>
      <xdr:col>3</xdr:col>
      <xdr:colOff>428625</xdr:colOff>
      <xdr:row>13</xdr:row>
      <xdr:rowOff>381000</xdr:rowOff>
    </xdr:to>
    <mc:AlternateContent xmlns:mc="http://schemas.openxmlformats.org/markup-compatibility/2006" xmlns:a14="http://schemas.microsoft.com/office/drawing/2010/main">
      <mc:Choice Requires="a14">
        <xdr:graphicFrame macro="">
          <xdr:nvGraphicFramePr>
            <xdr:cNvPr id="12" name="Estado del Producto">
              <a:extLst>
                <a:ext uri="{FF2B5EF4-FFF2-40B4-BE49-F238E27FC236}">
                  <a16:creationId xmlns:a16="http://schemas.microsoft.com/office/drawing/2014/main" id="{00000000-0008-0000-0100-00000C000000}"/>
                </a:ext>
              </a:extLst>
            </xdr:cNvPr>
            <xdr:cNvGraphicFramePr/>
          </xdr:nvGraphicFramePr>
          <xdr:xfrm>
            <a:off x="0" y="0"/>
            <a:ext cx="0" cy="0"/>
          </xdr:xfrm>
          <a:graphic>
            <a:graphicData uri="http://schemas.microsoft.com/office/drawing/2010/slicer">
              <sle:slicer xmlns:sle="http://schemas.microsoft.com/office/drawing/2010/slicer" name="Estado del Producto"/>
            </a:graphicData>
          </a:graphic>
        </xdr:graphicFrame>
      </mc:Choice>
      <mc:Fallback xmlns="">
        <xdr:sp macro="" textlink="">
          <xdr:nvSpPr>
            <xdr:cNvPr id="0" name=""/>
            <xdr:cNvSpPr>
              <a:spLocks noTextEdit="1"/>
            </xdr:cNvSpPr>
          </xdr:nvSpPr>
          <xdr:spPr>
            <a:xfrm>
              <a:off x="3624883" y="2806562"/>
              <a:ext cx="2023442" cy="1003438"/>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xdr:from>
      <xdr:col>6</xdr:col>
      <xdr:colOff>723900</xdr:colOff>
      <xdr:row>4</xdr:row>
      <xdr:rowOff>180975</xdr:rowOff>
    </xdr:from>
    <xdr:to>
      <xdr:col>10</xdr:col>
      <xdr:colOff>95250</xdr:colOff>
      <xdr:row>14</xdr:row>
      <xdr:rowOff>85725</xdr:rowOff>
    </xdr:to>
    <xdr:graphicFrame macro="">
      <xdr:nvGraphicFramePr>
        <xdr:cNvPr id="14" name="Gráfico 1">
          <a:extLst>
            <a:ext uri="{FF2B5EF4-FFF2-40B4-BE49-F238E27FC236}">
              <a16:creationId xmlns:a16="http://schemas.microsoft.com/office/drawing/2014/main" id="{00000000-0008-0000-0100-00000E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12</xdr:col>
      <xdr:colOff>409575</xdr:colOff>
      <xdr:row>1</xdr:row>
      <xdr:rowOff>9525</xdr:rowOff>
    </xdr:from>
    <xdr:to>
      <xdr:col>17</xdr:col>
      <xdr:colOff>337776</xdr:colOff>
      <xdr:row>3</xdr:row>
      <xdr:rowOff>105688</xdr:rowOff>
    </xdr:to>
    <xdr:pic>
      <xdr:nvPicPr>
        <xdr:cNvPr id="15" name="Imagen 14">
          <a:extLst>
            <a:ext uri="{FF2B5EF4-FFF2-40B4-BE49-F238E27FC236}">
              <a16:creationId xmlns:a16="http://schemas.microsoft.com/office/drawing/2014/main" id="{00000000-0008-0000-0100-00000F000000}"/>
            </a:ext>
          </a:extLst>
        </xdr:cNvPr>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12096750" y="771525"/>
          <a:ext cx="4119200" cy="477163"/>
        </a:xfrm>
        <a:prstGeom prst="rect">
          <a:avLst/>
        </a:prstGeom>
      </xdr:spPr>
    </xdr:pic>
    <xdr:clientData/>
  </xdr:twoCellAnchor>
  <xdr:twoCellAnchor>
    <xdr:from>
      <xdr:col>1</xdr:col>
      <xdr:colOff>5043</xdr:colOff>
      <xdr:row>0</xdr:row>
      <xdr:rowOff>95250</xdr:rowOff>
    </xdr:from>
    <xdr:to>
      <xdr:col>12</xdr:col>
      <xdr:colOff>323850</xdr:colOff>
      <xdr:row>3</xdr:row>
      <xdr:rowOff>180975</xdr:rowOff>
    </xdr:to>
    <xdr:sp macro="" textlink="">
      <xdr:nvSpPr>
        <xdr:cNvPr id="16" name="16 Rectángulo">
          <a:extLst>
            <a:ext uri="{FF2B5EF4-FFF2-40B4-BE49-F238E27FC236}">
              <a16:creationId xmlns:a16="http://schemas.microsoft.com/office/drawing/2014/main" id="{00000000-0008-0000-0100-000010000000}"/>
            </a:ext>
          </a:extLst>
        </xdr:cNvPr>
        <xdr:cNvSpPr/>
      </xdr:nvSpPr>
      <xdr:spPr>
        <a:xfrm>
          <a:off x="352425" y="95250"/>
          <a:ext cx="13575366" cy="657225"/>
        </a:xfrm>
        <a:prstGeom prst="rect">
          <a:avLst/>
        </a:prstGeom>
        <a:solidFill>
          <a:srgbClr val="002060"/>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CO" sz="2200"/>
            <a:t>RESULTADOS GENERALES PLAN DE ACCIÓN INSTITUCIONAL 2do TRIMESTRE DE 2019</a:t>
          </a:r>
        </a:p>
      </xdr:txBody>
    </xdr:sp>
    <xdr:clientData/>
  </xdr:twoCellAnchor>
  <xdr:twoCellAnchor editAs="oneCell">
    <xdr:from>
      <xdr:col>1</xdr:col>
      <xdr:colOff>38099</xdr:colOff>
      <xdr:row>4</xdr:row>
      <xdr:rowOff>114300</xdr:rowOff>
    </xdr:from>
    <xdr:to>
      <xdr:col>2</xdr:col>
      <xdr:colOff>600074</xdr:colOff>
      <xdr:row>13</xdr:row>
      <xdr:rowOff>542925</xdr:rowOff>
    </xdr:to>
    <mc:AlternateContent xmlns:mc="http://schemas.openxmlformats.org/markup-compatibility/2006" xmlns:a14="http://schemas.microsoft.com/office/drawing/2010/main">
      <mc:Choice Requires="a14">
        <xdr:graphicFrame macro="">
          <xdr:nvGraphicFramePr>
            <xdr:cNvPr id="17" name="DEPENDENCIA">
              <a:extLst>
                <a:ext uri="{FF2B5EF4-FFF2-40B4-BE49-F238E27FC236}">
                  <a16:creationId xmlns:a16="http://schemas.microsoft.com/office/drawing/2014/main" id="{00000000-0008-0000-0100-000011000000}"/>
                </a:ext>
              </a:extLst>
            </xdr:cNvPr>
            <xdr:cNvGraphicFramePr/>
          </xdr:nvGraphicFramePr>
          <xdr:xfrm>
            <a:off x="0" y="0"/>
            <a:ext cx="0" cy="0"/>
          </xdr:xfrm>
          <a:graphic>
            <a:graphicData uri="http://schemas.microsoft.com/office/drawing/2010/slicer">
              <sle:slicer xmlns:sle="http://schemas.microsoft.com/office/drawing/2010/slicer" name="DEPENDENCIA"/>
            </a:graphicData>
          </a:graphic>
        </xdr:graphicFrame>
      </mc:Choice>
      <mc:Fallback xmlns="">
        <xdr:sp macro="" textlink="">
          <xdr:nvSpPr>
            <xdr:cNvPr id="0" name=""/>
            <xdr:cNvSpPr>
              <a:spLocks noTextEdit="1"/>
            </xdr:cNvSpPr>
          </xdr:nvSpPr>
          <xdr:spPr>
            <a:xfrm>
              <a:off x="438149" y="1447800"/>
              <a:ext cx="2962275" cy="2524125"/>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xdr:from>
      <xdr:col>0</xdr:col>
      <xdr:colOff>333375</xdr:colOff>
      <xdr:row>15</xdr:row>
      <xdr:rowOff>123824</xdr:rowOff>
    </xdr:from>
    <xdr:to>
      <xdr:col>5</xdr:col>
      <xdr:colOff>1457325</xdr:colOff>
      <xdr:row>39</xdr:row>
      <xdr:rowOff>133349</xdr:rowOff>
    </xdr:to>
    <xdr:graphicFrame macro="">
      <xdr:nvGraphicFramePr>
        <xdr:cNvPr id="18" name="Gráfico 1">
          <a:extLst>
            <a:ext uri="{FF2B5EF4-FFF2-40B4-BE49-F238E27FC236}">
              <a16:creationId xmlns:a16="http://schemas.microsoft.com/office/drawing/2014/main" id="{00000000-0008-0000-01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oneCellAnchor>
    <xdr:from>
      <xdr:col>1</xdr:col>
      <xdr:colOff>178687</xdr:colOff>
      <xdr:row>39</xdr:row>
      <xdr:rowOff>188410</xdr:rowOff>
    </xdr:from>
    <xdr:ext cx="2995435" cy="405432"/>
    <xdr:sp macro="" textlink="">
      <xdr:nvSpPr>
        <xdr:cNvPr id="8" name="Rectángulo 7">
          <a:extLst>
            <a:ext uri="{FF2B5EF4-FFF2-40B4-BE49-F238E27FC236}">
              <a16:creationId xmlns:a16="http://schemas.microsoft.com/office/drawing/2014/main" id="{00000000-0008-0000-0100-000008000000}"/>
            </a:ext>
          </a:extLst>
        </xdr:cNvPr>
        <xdr:cNvSpPr/>
      </xdr:nvSpPr>
      <xdr:spPr>
        <a:xfrm>
          <a:off x="578737" y="8379910"/>
          <a:ext cx="2995435" cy="405432"/>
        </a:xfrm>
        <a:prstGeom prst="rect">
          <a:avLst/>
        </a:prstGeom>
        <a:noFill/>
      </xdr:spPr>
      <xdr:txBody>
        <a:bodyPr wrap="none" lIns="91440" tIns="45720" rIns="91440" bIns="45720">
          <a:spAutoFit/>
        </a:bodyPr>
        <a:lstStyle/>
        <a:p>
          <a:pPr algn="ctr"/>
          <a:r>
            <a:rPr lang="es-ES" sz="2000" b="0" cap="none" spc="0">
              <a:ln w="0"/>
              <a:solidFill>
                <a:schemeClr val="tx1"/>
              </a:solidFill>
              <a:effectLst>
                <a:outerShdw blurRad="38100" dist="19050" dir="2700000" algn="tl" rotWithShape="0">
                  <a:schemeClr val="dk1">
                    <a:alpha val="40000"/>
                  </a:schemeClr>
                </a:outerShdw>
              </a:effectLst>
            </a:rPr>
            <a:t>INDICADORES</a:t>
          </a:r>
          <a:r>
            <a:rPr lang="es-ES" sz="2000" b="0" cap="none" spc="0" baseline="0">
              <a:ln w="0"/>
              <a:solidFill>
                <a:schemeClr val="tx1"/>
              </a:solidFill>
              <a:effectLst>
                <a:outerShdw blurRad="38100" dist="19050" dir="2700000" algn="tl" rotWithShape="0">
                  <a:schemeClr val="dk1">
                    <a:alpha val="40000"/>
                  </a:schemeClr>
                </a:outerShdw>
              </a:effectLst>
            </a:rPr>
            <a:t> </a:t>
          </a:r>
          <a:r>
            <a:rPr lang="es-ES" sz="1400" b="0" cap="none" spc="0" baseline="0">
              <a:ln w="0"/>
              <a:solidFill>
                <a:schemeClr val="tx1"/>
              </a:solidFill>
              <a:effectLst>
                <a:outerShdw blurRad="38100" dist="19050" dir="2700000" algn="tl" rotWithShape="0">
                  <a:schemeClr val="dk1">
                    <a:alpha val="40000"/>
                  </a:schemeClr>
                </a:outerShdw>
              </a:effectLst>
            </a:rPr>
            <a:t>(despliegue lista)</a:t>
          </a:r>
          <a:endParaRPr lang="es-ES" sz="1400" b="0" cap="none" spc="0">
            <a:ln w="0"/>
            <a:solidFill>
              <a:schemeClr val="tx1"/>
            </a:solidFill>
            <a:effectLst>
              <a:outerShdw blurRad="38100" dist="19050" dir="2700000" algn="tl" rotWithShape="0">
                <a:schemeClr val="dk1">
                  <a:alpha val="40000"/>
                </a:schemeClr>
              </a:outerShdw>
            </a:effectLst>
          </a:endParaRPr>
        </a:p>
      </xdr:txBody>
    </xdr:sp>
    <xdr:clientData/>
  </xdr:oneCellAnchor>
  <xdr:twoCellAnchor editAs="oneCell">
    <xdr:from>
      <xdr:col>1</xdr:col>
      <xdr:colOff>0</xdr:colOff>
      <xdr:row>120</xdr:row>
      <xdr:rowOff>0</xdr:rowOff>
    </xdr:from>
    <xdr:to>
      <xdr:col>1</xdr:col>
      <xdr:colOff>1024217</xdr:colOff>
      <xdr:row>128</xdr:row>
      <xdr:rowOff>48904</xdr:rowOff>
    </xdr:to>
    <xdr:pic>
      <xdr:nvPicPr>
        <xdr:cNvPr id="7" name="Imagen 6"/>
        <xdr:cNvPicPr>
          <a:picLocks noChangeAspect="1"/>
        </xdr:cNvPicPr>
      </xdr:nvPicPr>
      <xdr:blipFill>
        <a:blip xmlns:r="http://schemas.openxmlformats.org/officeDocument/2006/relationships" r:embed="rId8"/>
        <a:stretch>
          <a:fillRect/>
        </a:stretch>
      </xdr:blipFill>
      <xdr:spPr>
        <a:xfrm>
          <a:off x="403412" y="38010353"/>
          <a:ext cx="1024217" cy="1572904"/>
        </a:xfrm>
        <a:prstGeom prst="rect">
          <a:avLst/>
        </a:prstGeom>
      </xdr:spPr>
    </xdr:pic>
    <xdr:clientData/>
  </xdr:twoCellAnchor>
  <xdr:twoCellAnchor editAs="oneCell">
    <xdr:from>
      <xdr:col>1</xdr:col>
      <xdr:colOff>1288676</xdr:colOff>
      <xdr:row>120</xdr:row>
      <xdr:rowOff>33619</xdr:rowOff>
    </xdr:from>
    <xdr:to>
      <xdr:col>5</xdr:col>
      <xdr:colOff>2552520</xdr:colOff>
      <xdr:row>128</xdr:row>
      <xdr:rowOff>88620</xdr:rowOff>
    </xdr:to>
    <xdr:pic>
      <xdr:nvPicPr>
        <xdr:cNvPr id="10" name="Imagen 9"/>
        <xdr:cNvPicPr>
          <a:picLocks noChangeAspect="1"/>
        </xdr:cNvPicPr>
      </xdr:nvPicPr>
      <xdr:blipFill>
        <a:blip xmlns:r="http://schemas.openxmlformats.org/officeDocument/2006/relationships" r:embed="rId9"/>
        <a:stretch>
          <a:fillRect/>
        </a:stretch>
      </xdr:blipFill>
      <xdr:spPr>
        <a:xfrm>
          <a:off x="1692088" y="38043972"/>
          <a:ext cx="7236579" cy="1579001"/>
        </a:xfrm>
        <a:prstGeom prst="rect">
          <a:avLst/>
        </a:prstGeom>
      </xdr:spPr>
    </xdr:pic>
    <xdr:clientData/>
  </xdr:twoCellAnchor>
</xdr:wsDr>
</file>

<file path=xl/drawings/drawing3.xml><?xml version="1.0" encoding="utf-8"?>
<c:userShapes xmlns:c="http://schemas.openxmlformats.org/drawingml/2006/chart">
  <cdr:relSizeAnchor xmlns:cdr="http://schemas.openxmlformats.org/drawingml/2006/chartDrawing">
    <cdr:from>
      <cdr:x>0.23688</cdr:x>
      <cdr:y>0.6888</cdr:y>
    </cdr:from>
    <cdr:to>
      <cdr:x>0.64286</cdr:x>
      <cdr:y>0.79173</cdr:y>
    </cdr:to>
    <cdr:sp macro="" textlink="">
      <cdr:nvSpPr>
        <cdr:cNvPr id="6" name="3 Rectángulo"/>
        <cdr:cNvSpPr/>
      </cdr:nvSpPr>
      <cdr:spPr>
        <a:xfrm xmlns:a="http://schemas.openxmlformats.org/drawingml/2006/main">
          <a:off x="715252" y="1535225"/>
          <a:ext cx="1225826" cy="229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1200" b="1" cap="none" spc="0">
              <a:ln>
                <a:noFill/>
              </a:ln>
              <a:solidFill>
                <a:srgbClr val="A8FAC9"/>
              </a:solidFill>
              <a:effectLst/>
              <a:latin typeface="Verdana" pitchFamily="34" charset="0"/>
              <a:ea typeface="Verdana" pitchFamily="34" charset="0"/>
              <a:cs typeface="Verdana" pitchFamily="34" charset="0"/>
            </a:rPr>
            <a:t>Avance</a:t>
          </a:r>
        </a:p>
      </cdr:txBody>
    </cdr:sp>
  </cdr:relSizeAnchor>
  <cdr:relSizeAnchor xmlns:cdr="http://schemas.openxmlformats.org/drawingml/2006/chartDrawing">
    <cdr:from>
      <cdr:x>0.52665</cdr:x>
      <cdr:y>0.66374</cdr:y>
    </cdr:from>
    <cdr:to>
      <cdr:x>0.94912</cdr:x>
      <cdr:y>0.85346</cdr:y>
    </cdr:to>
    <cdr:sp macro="" textlink="Tablas!$E$456">
      <cdr:nvSpPr>
        <cdr:cNvPr id="4" name="1 Elipse"/>
        <cdr:cNvSpPr/>
      </cdr:nvSpPr>
      <cdr:spPr>
        <a:xfrm xmlns:a="http://schemas.openxmlformats.org/drawingml/2006/main">
          <a:off x="1587938" y="1390869"/>
          <a:ext cx="1273809" cy="397565"/>
        </a:xfrm>
        <a:prstGeom xmlns:a="http://schemas.openxmlformats.org/drawingml/2006/main" prst="ellipse">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fld id="{8A27A859-3058-4A4E-B7B8-73FB076FB5F4}" type="TxLink">
            <a:rPr lang="en-US" sz="1200" b="1" i="0" u="none" strike="noStrike">
              <a:solidFill>
                <a:srgbClr val="A8FAC9"/>
              </a:solidFill>
              <a:latin typeface="Verdana" panose="020B0604030504040204" pitchFamily="34" charset="0"/>
              <a:ea typeface="Verdana" panose="020B0604030504040204" pitchFamily="34" charset="0"/>
              <a:cs typeface="Verdana" panose="020B0604030504040204" pitchFamily="34" charset="0"/>
            </a:rPr>
            <a:pPr/>
            <a:t>81,8%</a:t>
          </a:fld>
          <a:endParaRPr lang="es-CO" sz="1800" b="1">
            <a:solidFill>
              <a:srgbClr val="A8FAC9"/>
            </a:solidFill>
            <a:latin typeface="Verdana" pitchFamily="34" charset="0"/>
            <a:ea typeface="Verdana" pitchFamily="34" charset="0"/>
            <a:cs typeface="Verdana" pitchFamily="34" charset="0"/>
          </a:endParaRPr>
        </a:p>
      </cdr:txBody>
    </cdr:sp>
  </cdr:relSizeAnchor>
  <cdr:relSizeAnchor xmlns:cdr="http://schemas.openxmlformats.org/drawingml/2006/chartDrawing">
    <cdr:from>
      <cdr:x>0.23688</cdr:x>
      <cdr:y>0.6888</cdr:y>
    </cdr:from>
    <cdr:to>
      <cdr:x>0.64286</cdr:x>
      <cdr:y>0.79173</cdr:y>
    </cdr:to>
    <cdr:sp macro="" textlink="">
      <cdr:nvSpPr>
        <cdr:cNvPr id="2" name="3 Rectángulo"/>
        <cdr:cNvSpPr/>
      </cdr:nvSpPr>
      <cdr:spPr>
        <a:xfrm xmlns:a="http://schemas.openxmlformats.org/drawingml/2006/main">
          <a:off x="715252" y="1535225"/>
          <a:ext cx="1225826" cy="229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1200" b="1" cap="none" spc="0">
              <a:ln>
                <a:noFill/>
              </a:ln>
              <a:solidFill>
                <a:srgbClr val="A8FAC9"/>
              </a:solidFill>
              <a:effectLst/>
              <a:latin typeface="Verdana" pitchFamily="34" charset="0"/>
              <a:ea typeface="Verdana" pitchFamily="34" charset="0"/>
              <a:cs typeface="Verdana" pitchFamily="34" charset="0"/>
            </a:rPr>
            <a:t>Avance</a:t>
          </a:r>
        </a:p>
      </cdr:txBody>
    </cdr:sp>
  </cdr:relSizeAnchor>
  <cdr:relSizeAnchor xmlns:cdr="http://schemas.openxmlformats.org/drawingml/2006/chartDrawing">
    <cdr:from>
      <cdr:x>0.52665</cdr:x>
      <cdr:y>0.66374</cdr:y>
    </cdr:from>
    <cdr:to>
      <cdr:x>0.94912</cdr:x>
      <cdr:y>0.85346</cdr:y>
    </cdr:to>
    <cdr:sp macro="" textlink="Tablas!$E$456">
      <cdr:nvSpPr>
        <cdr:cNvPr id="3" name="1 Elipse"/>
        <cdr:cNvSpPr/>
      </cdr:nvSpPr>
      <cdr:spPr>
        <a:xfrm xmlns:a="http://schemas.openxmlformats.org/drawingml/2006/main">
          <a:off x="1587938" y="1390869"/>
          <a:ext cx="1273809" cy="397565"/>
        </a:xfrm>
        <a:prstGeom xmlns:a="http://schemas.openxmlformats.org/drawingml/2006/main" prst="ellipse">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fld id="{8A27A859-3058-4A4E-B7B8-73FB076FB5F4}" type="TxLink">
            <a:rPr lang="en-US" sz="1200" b="1" i="0" u="none" strike="noStrike">
              <a:solidFill>
                <a:srgbClr val="A8FAC9"/>
              </a:solidFill>
              <a:latin typeface="Verdana" panose="020B0604030504040204" pitchFamily="34" charset="0"/>
              <a:ea typeface="Verdana" panose="020B0604030504040204" pitchFamily="34" charset="0"/>
              <a:cs typeface="Verdana" panose="020B0604030504040204" pitchFamily="34" charset="0"/>
            </a:rPr>
            <a:pPr/>
            <a:t>81,8%</a:t>
          </a:fld>
          <a:endParaRPr lang="es-CO" sz="1800" b="1">
            <a:solidFill>
              <a:srgbClr val="A8FAC9"/>
            </a:solidFill>
            <a:latin typeface="Verdana" pitchFamily="34" charset="0"/>
            <a:ea typeface="Verdana" pitchFamily="34" charset="0"/>
            <a:cs typeface="Verdana" pitchFamily="34" charset="0"/>
          </a:endParaRPr>
        </a:p>
      </cdr:txBody>
    </cdr:sp>
  </cdr:relSizeAnchor>
  <cdr:relSizeAnchor xmlns:cdr="http://schemas.openxmlformats.org/drawingml/2006/chartDrawing">
    <cdr:from>
      <cdr:x>0.23688</cdr:x>
      <cdr:y>0.6888</cdr:y>
    </cdr:from>
    <cdr:to>
      <cdr:x>0.64286</cdr:x>
      <cdr:y>0.79173</cdr:y>
    </cdr:to>
    <cdr:sp macro="" textlink="">
      <cdr:nvSpPr>
        <cdr:cNvPr id="5" name="3 Rectángulo"/>
        <cdr:cNvSpPr/>
      </cdr:nvSpPr>
      <cdr:spPr>
        <a:xfrm xmlns:a="http://schemas.openxmlformats.org/drawingml/2006/main">
          <a:off x="715252" y="1535225"/>
          <a:ext cx="1225826" cy="229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1200" b="1" cap="none" spc="0">
              <a:ln>
                <a:noFill/>
              </a:ln>
              <a:solidFill>
                <a:srgbClr val="A8FAC9"/>
              </a:solidFill>
              <a:effectLst/>
              <a:latin typeface="Verdana" pitchFamily="34" charset="0"/>
              <a:ea typeface="Verdana" pitchFamily="34" charset="0"/>
              <a:cs typeface="Verdana" pitchFamily="34" charset="0"/>
            </a:rPr>
            <a:t>Avance</a:t>
          </a:r>
        </a:p>
      </cdr:txBody>
    </cdr:sp>
  </cdr:relSizeAnchor>
  <cdr:relSizeAnchor xmlns:cdr="http://schemas.openxmlformats.org/drawingml/2006/chartDrawing">
    <cdr:from>
      <cdr:x>0.52665</cdr:x>
      <cdr:y>0.66374</cdr:y>
    </cdr:from>
    <cdr:to>
      <cdr:x>0.94912</cdr:x>
      <cdr:y>0.85346</cdr:y>
    </cdr:to>
    <cdr:sp macro="" textlink="Tablas!$E$456">
      <cdr:nvSpPr>
        <cdr:cNvPr id="7" name="1 Elipse"/>
        <cdr:cNvSpPr/>
      </cdr:nvSpPr>
      <cdr:spPr>
        <a:xfrm xmlns:a="http://schemas.openxmlformats.org/drawingml/2006/main">
          <a:off x="1587938" y="1390869"/>
          <a:ext cx="1273809" cy="397565"/>
        </a:xfrm>
        <a:prstGeom xmlns:a="http://schemas.openxmlformats.org/drawingml/2006/main" prst="ellipse">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fld id="{8A27A859-3058-4A4E-B7B8-73FB076FB5F4}" type="TxLink">
            <a:rPr lang="en-US" sz="1200" b="1" i="0" u="none" strike="noStrike">
              <a:solidFill>
                <a:srgbClr val="A8FAC9"/>
              </a:solidFill>
              <a:latin typeface="Verdana" panose="020B0604030504040204" pitchFamily="34" charset="0"/>
              <a:ea typeface="Verdana" panose="020B0604030504040204" pitchFamily="34" charset="0"/>
              <a:cs typeface="Verdana" panose="020B0604030504040204" pitchFamily="34" charset="0"/>
            </a:rPr>
            <a:pPr/>
            <a:t>81,8%</a:t>
          </a:fld>
          <a:endParaRPr lang="es-CO" sz="1800" b="1">
            <a:solidFill>
              <a:srgbClr val="A8FAC9"/>
            </a:solidFill>
            <a:latin typeface="Verdana" pitchFamily="34" charset="0"/>
            <a:ea typeface="Verdana" pitchFamily="34" charset="0"/>
            <a:cs typeface="Verdana" pitchFamily="34" charset="0"/>
          </a:endParaRPr>
        </a:p>
      </cdr:txBody>
    </cdr:sp>
  </cdr:relSizeAnchor>
  <cdr:relSizeAnchor xmlns:cdr="http://schemas.openxmlformats.org/drawingml/2006/chartDrawing">
    <cdr:from>
      <cdr:x>0.23688</cdr:x>
      <cdr:y>0.6888</cdr:y>
    </cdr:from>
    <cdr:to>
      <cdr:x>0.64286</cdr:x>
      <cdr:y>0.79173</cdr:y>
    </cdr:to>
    <cdr:sp macro="" textlink="">
      <cdr:nvSpPr>
        <cdr:cNvPr id="8" name="3 Rectángulo"/>
        <cdr:cNvSpPr/>
      </cdr:nvSpPr>
      <cdr:spPr>
        <a:xfrm xmlns:a="http://schemas.openxmlformats.org/drawingml/2006/main">
          <a:off x="715252" y="1535225"/>
          <a:ext cx="1225826" cy="229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1200" b="1" cap="none" spc="0">
              <a:ln>
                <a:noFill/>
              </a:ln>
              <a:solidFill>
                <a:schemeClr val="tx2"/>
              </a:solidFill>
              <a:effectLst/>
              <a:latin typeface="Verdana" pitchFamily="34" charset="0"/>
              <a:ea typeface="Verdana" pitchFamily="34" charset="0"/>
              <a:cs typeface="Verdana" pitchFamily="34" charset="0"/>
            </a:rPr>
            <a:t>Avance</a:t>
          </a:r>
        </a:p>
      </cdr:txBody>
    </cdr:sp>
  </cdr:relSizeAnchor>
  <cdr:relSizeAnchor xmlns:cdr="http://schemas.openxmlformats.org/drawingml/2006/chartDrawing">
    <cdr:from>
      <cdr:x>0.52665</cdr:x>
      <cdr:y>0.66374</cdr:y>
    </cdr:from>
    <cdr:to>
      <cdr:x>0.94912</cdr:x>
      <cdr:y>0.85346</cdr:y>
    </cdr:to>
    <cdr:sp macro="" textlink="Tablas!$E$456">
      <cdr:nvSpPr>
        <cdr:cNvPr id="9" name="1 Elipse"/>
        <cdr:cNvSpPr/>
      </cdr:nvSpPr>
      <cdr:spPr>
        <a:xfrm xmlns:a="http://schemas.openxmlformats.org/drawingml/2006/main">
          <a:off x="1720605" y="1694330"/>
          <a:ext cx="1380241" cy="484298"/>
        </a:xfrm>
        <a:prstGeom xmlns:a="http://schemas.openxmlformats.org/drawingml/2006/main" prst="ellipse">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fld id="{8A27A859-3058-4A4E-B7B8-73FB076FB5F4}" type="TxLink">
            <a:rPr lang="en-US" sz="1200" b="1" i="0" u="none" strike="noStrike">
              <a:solidFill>
                <a:schemeClr val="tx2"/>
              </a:solidFill>
              <a:latin typeface="Verdana" panose="020B0604030504040204" pitchFamily="34" charset="0"/>
              <a:ea typeface="Verdana" panose="020B0604030504040204" pitchFamily="34" charset="0"/>
              <a:cs typeface="Verdana" panose="020B0604030504040204" pitchFamily="34" charset="0"/>
            </a:rPr>
            <a:pPr/>
            <a:t>81,8%</a:t>
          </a:fld>
          <a:endParaRPr lang="es-CO" sz="1800" b="1">
            <a:solidFill>
              <a:schemeClr val="tx2"/>
            </a:solidFill>
            <a:latin typeface="Verdana" pitchFamily="34" charset="0"/>
            <a:ea typeface="Verdana" pitchFamily="34" charset="0"/>
            <a:cs typeface="Verdana" pitchFamily="34" charset="0"/>
          </a:endParaRPr>
        </a:p>
      </cdr:txBody>
    </cdr:sp>
  </cdr:relSizeAnchor>
</c:userShapes>
</file>

<file path=xl/drawings/drawing4.xml><?xml version="1.0" encoding="utf-8"?>
<xdr:wsDr xmlns:xdr="http://schemas.openxmlformats.org/drawingml/2006/spreadsheetDrawing" xmlns:a="http://schemas.openxmlformats.org/drawingml/2006/main">
  <xdr:twoCellAnchor>
    <xdr:from>
      <xdr:col>1</xdr:col>
      <xdr:colOff>19051</xdr:colOff>
      <xdr:row>0</xdr:row>
      <xdr:rowOff>123825</xdr:rowOff>
    </xdr:from>
    <xdr:to>
      <xdr:col>7</xdr:col>
      <xdr:colOff>1485901</xdr:colOff>
      <xdr:row>4</xdr:row>
      <xdr:rowOff>0</xdr:rowOff>
    </xdr:to>
    <xdr:sp macro="" textlink="">
      <xdr:nvSpPr>
        <xdr:cNvPr id="2" name="16 Rectángulo">
          <a:extLst>
            <a:ext uri="{FF2B5EF4-FFF2-40B4-BE49-F238E27FC236}">
              <a16:creationId xmlns:a16="http://schemas.microsoft.com/office/drawing/2014/main" id="{00000000-0008-0000-0200-000002000000}"/>
            </a:ext>
          </a:extLst>
        </xdr:cNvPr>
        <xdr:cNvSpPr/>
      </xdr:nvSpPr>
      <xdr:spPr>
        <a:xfrm>
          <a:off x="333376" y="123825"/>
          <a:ext cx="13944600" cy="638175"/>
        </a:xfrm>
        <a:prstGeom prst="rect">
          <a:avLst/>
        </a:prstGeom>
        <a:solidFill>
          <a:srgbClr val="002060"/>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CO" sz="2200"/>
            <a:t>RESULTADOS PLAN DE ACCIÓN INSTITUCIONAL 2do TRIMESTRE DE 2019 - </a:t>
          </a:r>
          <a:r>
            <a:rPr lang="es-CO" sz="2200" b="1">
              <a:solidFill>
                <a:srgbClr val="FFFF00"/>
              </a:solidFill>
            </a:rPr>
            <a:t>PRODUCTOS</a:t>
          </a:r>
        </a:p>
      </xdr:txBody>
    </xdr:sp>
    <xdr:clientData/>
  </xdr:twoCellAnchor>
  <xdr:twoCellAnchor editAs="oneCell">
    <xdr:from>
      <xdr:col>1</xdr:col>
      <xdr:colOff>0</xdr:colOff>
      <xdr:row>88</xdr:row>
      <xdr:rowOff>0</xdr:rowOff>
    </xdr:from>
    <xdr:to>
      <xdr:col>1</xdr:col>
      <xdr:colOff>1024217</xdr:colOff>
      <xdr:row>96</xdr:row>
      <xdr:rowOff>48904</xdr:rowOff>
    </xdr:to>
    <xdr:pic>
      <xdr:nvPicPr>
        <xdr:cNvPr id="3" name="Imagen 2"/>
        <xdr:cNvPicPr>
          <a:picLocks noChangeAspect="1"/>
        </xdr:cNvPicPr>
      </xdr:nvPicPr>
      <xdr:blipFill>
        <a:blip xmlns:r="http://schemas.openxmlformats.org/officeDocument/2006/relationships" r:embed="rId1"/>
        <a:stretch>
          <a:fillRect/>
        </a:stretch>
      </xdr:blipFill>
      <xdr:spPr>
        <a:xfrm>
          <a:off x="312964" y="77397429"/>
          <a:ext cx="1024217" cy="1572904"/>
        </a:xfrm>
        <a:prstGeom prst="rect">
          <a:avLst/>
        </a:prstGeom>
      </xdr:spPr>
    </xdr:pic>
    <xdr:clientData/>
  </xdr:twoCellAnchor>
  <xdr:twoCellAnchor editAs="oneCell">
    <xdr:from>
      <xdr:col>1</xdr:col>
      <xdr:colOff>1265464</xdr:colOff>
      <xdr:row>88</xdr:row>
      <xdr:rowOff>13607</xdr:rowOff>
    </xdr:from>
    <xdr:to>
      <xdr:col>4</xdr:col>
      <xdr:colOff>1018114</xdr:colOff>
      <xdr:row>96</xdr:row>
      <xdr:rowOff>68608</xdr:rowOff>
    </xdr:to>
    <xdr:pic>
      <xdr:nvPicPr>
        <xdr:cNvPr id="4" name="Imagen 3"/>
        <xdr:cNvPicPr>
          <a:picLocks noChangeAspect="1"/>
        </xdr:cNvPicPr>
      </xdr:nvPicPr>
      <xdr:blipFill>
        <a:blip xmlns:r="http://schemas.openxmlformats.org/officeDocument/2006/relationships" r:embed="rId2"/>
        <a:stretch>
          <a:fillRect/>
        </a:stretch>
      </xdr:blipFill>
      <xdr:spPr>
        <a:xfrm>
          <a:off x="1578428" y="77411036"/>
          <a:ext cx="7236579" cy="1579001"/>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xdr:from>
      <xdr:col>0</xdr:col>
      <xdr:colOff>390525</xdr:colOff>
      <xdr:row>0</xdr:row>
      <xdr:rowOff>1</xdr:rowOff>
    </xdr:from>
    <xdr:to>
      <xdr:col>8</xdr:col>
      <xdr:colOff>1581150</xdr:colOff>
      <xdr:row>3</xdr:row>
      <xdr:rowOff>114301</xdr:rowOff>
    </xdr:to>
    <xdr:sp macro="" textlink="">
      <xdr:nvSpPr>
        <xdr:cNvPr id="2" name="16 Rectángulo">
          <a:extLst>
            <a:ext uri="{FF2B5EF4-FFF2-40B4-BE49-F238E27FC236}">
              <a16:creationId xmlns:a16="http://schemas.microsoft.com/office/drawing/2014/main" id="{00000000-0008-0000-0300-000002000000}"/>
            </a:ext>
          </a:extLst>
        </xdr:cNvPr>
        <xdr:cNvSpPr/>
      </xdr:nvSpPr>
      <xdr:spPr>
        <a:xfrm>
          <a:off x="390525" y="1"/>
          <a:ext cx="16478250" cy="685800"/>
        </a:xfrm>
        <a:prstGeom prst="rect">
          <a:avLst/>
        </a:prstGeom>
        <a:solidFill>
          <a:srgbClr val="002060"/>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CO" sz="2200"/>
            <a:t>RESULTADOS PLAN DE ACCIÓN INSTITUCIONAL 2do TRIMESTRE DE 2019- </a:t>
          </a:r>
          <a:r>
            <a:rPr lang="es-CO" sz="2200" b="1">
              <a:solidFill>
                <a:srgbClr val="FFFF00"/>
              </a:solidFill>
            </a:rPr>
            <a:t>ACTIVIDADES</a:t>
          </a:r>
        </a:p>
      </xdr:txBody>
    </xdr:sp>
    <xdr:clientData/>
  </xdr:twoCellAnchor>
  <xdr:twoCellAnchor>
    <xdr:from>
      <xdr:col>20</xdr:col>
      <xdr:colOff>658091</xdr:colOff>
      <xdr:row>0</xdr:row>
      <xdr:rowOff>0</xdr:rowOff>
    </xdr:from>
    <xdr:to>
      <xdr:col>20</xdr:col>
      <xdr:colOff>1143000</xdr:colOff>
      <xdr:row>3</xdr:row>
      <xdr:rowOff>17318</xdr:rowOff>
    </xdr:to>
    <xdr:sp macro="" textlink="">
      <xdr:nvSpPr>
        <xdr:cNvPr id="3" name="Flecha abajo 2">
          <a:extLst>
            <a:ext uri="{FF2B5EF4-FFF2-40B4-BE49-F238E27FC236}">
              <a16:creationId xmlns:a16="http://schemas.microsoft.com/office/drawing/2014/main" id="{00000000-0008-0000-0300-000003000000}"/>
            </a:ext>
          </a:extLst>
        </xdr:cNvPr>
        <xdr:cNvSpPr/>
      </xdr:nvSpPr>
      <xdr:spPr>
        <a:xfrm>
          <a:off x="38896636" y="259773"/>
          <a:ext cx="484909" cy="710045"/>
        </a:xfrm>
        <a:prstGeom prst="downArrow">
          <a:avLst/>
        </a:prstGeom>
        <a:solidFill>
          <a:srgbClr val="FF00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23</xdr:col>
      <xdr:colOff>1194955</xdr:colOff>
      <xdr:row>0</xdr:row>
      <xdr:rowOff>0</xdr:rowOff>
    </xdr:from>
    <xdr:to>
      <xdr:col>23</xdr:col>
      <xdr:colOff>1679864</xdr:colOff>
      <xdr:row>3</xdr:row>
      <xdr:rowOff>17318</xdr:rowOff>
    </xdr:to>
    <xdr:sp macro="" textlink="">
      <xdr:nvSpPr>
        <xdr:cNvPr id="4" name="Flecha abajo 3">
          <a:extLst>
            <a:ext uri="{FF2B5EF4-FFF2-40B4-BE49-F238E27FC236}">
              <a16:creationId xmlns:a16="http://schemas.microsoft.com/office/drawing/2014/main" id="{00000000-0008-0000-0300-000004000000}"/>
            </a:ext>
          </a:extLst>
        </xdr:cNvPr>
        <xdr:cNvSpPr/>
      </xdr:nvSpPr>
      <xdr:spPr>
        <a:xfrm>
          <a:off x="45235091" y="259773"/>
          <a:ext cx="484909" cy="71004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24</xdr:col>
      <xdr:colOff>1330037</xdr:colOff>
      <xdr:row>0</xdr:row>
      <xdr:rowOff>0</xdr:rowOff>
    </xdr:from>
    <xdr:to>
      <xdr:col>24</xdr:col>
      <xdr:colOff>1814946</xdr:colOff>
      <xdr:row>2</xdr:row>
      <xdr:rowOff>169719</xdr:rowOff>
    </xdr:to>
    <xdr:sp macro="" textlink="">
      <xdr:nvSpPr>
        <xdr:cNvPr id="5" name="Flecha abajo 4">
          <a:extLst>
            <a:ext uri="{FF2B5EF4-FFF2-40B4-BE49-F238E27FC236}">
              <a16:creationId xmlns:a16="http://schemas.microsoft.com/office/drawing/2014/main" id="{00000000-0008-0000-0300-000005000000}"/>
            </a:ext>
          </a:extLst>
        </xdr:cNvPr>
        <xdr:cNvSpPr/>
      </xdr:nvSpPr>
      <xdr:spPr>
        <a:xfrm>
          <a:off x="47950582" y="221674"/>
          <a:ext cx="484909" cy="710045"/>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editAs="oneCell">
    <xdr:from>
      <xdr:col>1</xdr:col>
      <xdr:colOff>0</xdr:colOff>
      <xdr:row>258</xdr:row>
      <xdr:rowOff>0</xdr:rowOff>
    </xdr:from>
    <xdr:to>
      <xdr:col>1</xdr:col>
      <xdr:colOff>1024217</xdr:colOff>
      <xdr:row>266</xdr:row>
      <xdr:rowOff>48904</xdr:rowOff>
    </xdr:to>
    <xdr:pic>
      <xdr:nvPicPr>
        <xdr:cNvPr id="6" name="Imagen 5"/>
        <xdr:cNvPicPr>
          <a:picLocks noChangeAspect="1"/>
        </xdr:cNvPicPr>
      </xdr:nvPicPr>
      <xdr:blipFill>
        <a:blip xmlns:r="http://schemas.openxmlformats.org/officeDocument/2006/relationships" r:embed="rId1"/>
        <a:stretch>
          <a:fillRect/>
        </a:stretch>
      </xdr:blipFill>
      <xdr:spPr>
        <a:xfrm>
          <a:off x="394607" y="243717536"/>
          <a:ext cx="1024217" cy="1572904"/>
        </a:xfrm>
        <a:prstGeom prst="rect">
          <a:avLst/>
        </a:prstGeom>
      </xdr:spPr>
    </xdr:pic>
    <xdr:clientData/>
  </xdr:twoCellAnchor>
  <xdr:twoCellAnchor editAs="oneCell">
    <xdr:from>
      <xdr:col>1</xdr:col>
      <xdr:colOff>1306286</xdr:colOff>
      <xdr:row>258</xdr:row>
      <xdr:rowOff>27215</xdr:rowOff>
    </xdr:from>
    <xdr:to>
      <xdr:col>4</xdr:col>
      <xdr:colOff>1058936</xdr:colOff>
      <xdr:row>266</xdr:row>
      <xdr:rowOff>82216</xdr:rowOff>
    </xdr:to>
    <xdr:pic>
      <xdr:nvPicPr>
        <xdr:cNvPr id="7" name="Imagen 6"/>
        <xdr:cNvPicPr>
          <a:picLocks noChangeAspect="1"/>
        </xdr:cNvPicPr>
      </xdr:nvPicPr>
      <xdr:blipFill>
        <a:blip xmlns:r="http://schemas.openxmlformats.org/officeDocument/2006/relationships" r:embed="rId2"/>
        <a:stretch>
          <a:fillRect/>
        </a:stretch>
      </xdr:blipFill>
      <xdr:spPr>
        <a:xfrm>
          <a:off x="1700893" y="243744751"/>
          <a:ext cx="7236579" cy="1579001"/>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xdr:from>
      <xdr:col>4</xdr:col>
      <xdr:colOff>485777</xdr:colOff>
      <xdr:row>440</xdr:row>
      <xdr:rowOff>142874</xdr:rowOff>
    </xdr:from>
    <xdr:to>
      <xdr:col>5</xdr:col>
      <xdr:colOff>2190751</xdr:colOff>
      <xdr:row>454</xdr:row>
      <xdr:rowOff>9525</xdr:rowOff>
    </xdr:to>
    <xdr:graphicFrame macro="">
      <xdr:nvGraphicFramePr>
        <xdr:cNvPr id="2" name="9 Gráfico">
          <a:extLst>
            <a:ext uri="{FF2B5EF4-FFF2-40B4-BE49-F238E27FC236}">
              <a16:creationId xmlns:a16="http://schemas.microsoft.com/office/drawing/2014/main" id="{00000000-0008-0000-04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1062036</xdr:colOff>
      <xdr:row>43</xdr:row>
      <xdr:rowOff>161924</xdr:rowOff>
    </xdr:from>
    <xdr:to>
      <xdr:col>7</xdr:col>
      <xdr:colOff>2466975</xdr:colOff>
      <xdr:row>63</xdr:row>
      <xdr:rowOff>685799</xdr:rowOff>
    </xdr:to>
    <xdr:graphicFrame macro="">
      <xdr:nvGraphicFramePr>
        <xdr:cNvPr id="3" name="Gráfico 1">
          <a:extLst>
            <a:ext uri="{FF2B5EF4-FFF2-40B4-BE49-F238E27FC236}">
              <a16:creationId xmlns:a16="http://schemas.microsoft.com/office/drawing/2014/main" id="{00000000-0008-0000-0400-000003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editAs="oneCell">
    <xdr:from>
      <xdr:col>0</xdr:col>
      <xdr:colOff>0</xdr:colOff>
      <xdr:row>147</xdr:row>
      <xdr:rowOff>0</xdr:rowOff>
    </xdr:from>
    <xdr:to>
      <xdr:col>0</xdr:col>
      <xdr:colOff>1024217</xdr:colOff>
      <xdr:row>154</xdr:row>
      <xdr:rowOff>182254</xdr:rowOff>
    </xdr:to>
    <xdr:pic>
      <xdr:nvPicPr>
        <xdr:cNvPr id="5" name="Imagen 4"/>
        <xdr:cNvPicPr>
          <a:picLocks noChangeAspect="1"/>
        </xdr:cNvPicPr>
      </xdr:nvPicPr>
      <xdr:blipFill>
        <a:blip xmlns:r="http://schemas.openxmlformats.org/officeDocument/2006/relationships" r:embed="rId3"/>
        <a:stretch>
          <a:fillRect/>
        </a:stretch>
      </xdr:blipFill>
      <xdr:spPr>
        <a:xfrm>
          <a:off x="0" y="45796200"/>
          <a:ext cx="1024217" cy="1572904"/>
        </a:xfrm>
        <a:prstGeom prst="rect">
          <a:avLst/>
        </a:prstGeom>
      </xdr:spPr>
    </xdr:pic>
    <xdr:clientData/>
  </xdr:twoCellAnchor>
  <xdr:twoCellAnchor editAs="oneCell">
    <xdr:from>
      <xdr:col>0</xdr:col>
      <xdr:colOff>1162050</xdr:colOff>
      <xdr:row>147</xdr:row>
      <xdr:rowOff>38100</xdr:rowOff>
    </xdr:from>
    <xdr:to>
      <xdr:col>5</xdr:col>
      <xdr:colOff>607179</xdr:colOff>
      <xdr:row>155</xdr:row>
      <xdr:rowOff>26426</xdr:rowOff>
    </xdr:to>
    <xdr:pic>
      <xdr:nvPicPr>
        <xdr:cNvPr id="6" name="Imagen 5"/>
        <xdr:cNvPicPr>
          <a:picLocks noChangeAspect="1"/>
        </xdr:cNvPicPr>
      </xdr:nvPicPr>
      <xdr:blipFill>
        <a:blip xmlns:r="http://schemas.openxmlformats.org/officeDocument/2006/relationships" r:embed="rId4"/>
        <a:stretch>
          <a:fillRect/>
        </a:stretch>
      </xdr:blipFill>
      <xdr:spPr>
        <a:xfrm>
          <a:off x="1162050" y="45834300"/>
          <a:ext cx="7236579" cy="1579001"/>
        </a:xfrm>
        <a:prstGeom prst="rect">
          <a:avLst/>
        </a:prstGeom>
      </xdr:spPr>
    </xdr:pic>
    <xdr:clientData/>
  </xdr:twoCellAnchor>
</xdr:wsDr>
</file>

<file path=xl/drawings/drawing7.xml><?xml version="1.0" encoding="utf-8"?>
<c:userShapes xmlns:c="http://schemas.openxmlformats.org/drawingml/2006/chart">
  <cdr:relSizeAnchor xmlns:cdr="http://schemas.openxmlformats.org/drawingml/2006/chartDrawing">
    <cdr:from>
      <cdr:x>0.23688</cdr:x>
      <cdr:y>0.6888</cdr:y>
    </cdr:from>
    <cdr:to>
      <cdr:x>0.64286</cdr:x>
      <cdr:y>0.79173</cdr:y>
    </cdr:to>
    <cdr:sp macro="" textlink="">
      <cdr:nvSpPr>
        <cdr:cNvPr id="6" name="3 Rectángulo"/>
        <cdr:cNvSpPr/>
      </cdr:nvSpPr>
      <cdr:spPr>
        <a:xfrm xmlns:a="http://schemas.openxmlformats.org/drawingml/2006/main">
          <a:off x="715252" y="1535225"/>
          <a:ext cx="1225826" cy="229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1200" b="1" cap="none" spc="0">
              <a:ln>
                <a:noFill/>
              </a:ln>
              <a:solidFill>
                <a:srgbClr val="A8FAC9"/>
              </a:solidFill>
              <a:effectLst/>
              <a:latin typeface="Verdana" pitchFamily="34" charset="0"/>
              <a:ea typeface="Verdana" pitchFamily="34" charset="0"/>
              <a:cs typeface="Verdana" pitchFamily="34" charset="0"/>
            </a:rPr>
            <a:t>Avance</a:t>
          </a:r>
        </a:p>
      </cdr:txBody>
    </cdr:sp>
  </cdr:relSizeAnchor>
  <cdr:relSizeAnchor xmlns:cdr="http://schemas.openxmlformats.org/drawingml/2006/chartDrawing">
    <cdr:from>
      <cdr:x>0.52665</cdr:x>
      <cdr:y>0.66374</cdr:y>
    </cdr:from>
    <cdr:to>
      <cdr:x>0.94912</cdr:x>
      <cdr:y>0.85346</cdr:y>
    </cdr:to>
    <cdr:sp macro="" textlink="Tablas!$E$456">
      <cdr:nvSpPr>
        <cdr:cNvPr id="4" name="1 Elipse"/>
        <cdr:cNvSpPr/>
      </cdr:nvSpPr>
      <cdr:spPr>
        <a:xfrm xmlns:a="http://schemas.openxmlformats.org/drawingml/2006/main">
          <a:off x="1587938" y="1390869"/>
          <a:ext cx="1273809" cy="397565"/>
        </a:xfrm>
        <a:prstGeom xmlns:a="http://schemas.openxmlformats.org/drawingml/2006/main" prst="ellipse">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fld id="{8A27A859-3058-4A4E-B7B8-73FB076FB5F4}" type="TxLink">
            <a:rPr lang="en-US" sz="1200" b="1" i="0" u="none" strike="noStrike">
              <a:solidFill>
                <a:srgbClr val="A8FAC9"/>
              </a:solidFill>
              <a:latin typeface="Verdana" panose="020B0604030504040204" pitchFamily="34" charset="0"/>
              <a:ea typeface="Verdana" panose="020B0604030504040204" pitchFamily="34" charset="0"/>
              <a:cs typeface="Verdana" panose="020B0604030504040204" pitchFamily="34" charset="0"/>
            </a:rPr>
            <a:pPr/>
            <a:t>81,8%</a:t>
          </a:fld>
          <a:endParaRPr lang="es-CO" sz="1800" b="1">
            <a:solidFill>
              <a:srgbClr val="A8FAC9"/>
            </a:solidFill>
            <a:latin typeface="Verdana" pitchFamily="34" charset="0"/>
            <a:ea typeface="Verdana" pitchFamily="34" charset="0"/>
            <a:cs typeface="Verdana" pitchFamily="34" charset="0"/>
          </a:endParaRPr>
        </a:p>
      </cdr:txBody>
    </cdr:sp>
  </cdr:relSizeAnchor>
  <cdr:relSizeAnchor xmlns:cdr="http://schemas.openxmlformats.org/drawingml/2006/chartDrawing">
    <cdr:from>
      <cdr:x>0.23688</cdr:x>
      <cdr:y>0.6888</cdr:y>
    </cdr:from>
    <cdr:to>
      <cdr:x>0.64286</cdr:x>
      <cdr:y>0.79173</cdr:y>
    </cdr:to>
    <cdr:sp macro="" textlink="">
      <cdr:nvSpPr>
        <cdr:cNvPr id="2" name="3 Rectángulo"/>
        <cdr:cNvSpPr/>
      </cdr:nvSpPr>
      <cdr:spPr>
        <a:xfrm xmlns:a="http://schemas.openxmlformats.org/drawingml/2006/main">
          <a:off x="715252" y="1535225"/>
          <a:ext cx="1225826" cy="229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1200" b="1" cap="none" spc="0">
              <a:ln>
                <a:noFill/>
              </a:ln>
              <a:solidFill>
                <a:srgbClr val="A8FAC9"/>
              </a:solidFill>
              <a:effectLst/>
              <a:latin typeface="Verdana" pitchFamily="34" charset="0"/>
              <a:ea typeface="Verdana" pitchFamily="34" charset="0"/>
              <a:cs typeface="Verdana" pitchFamily="34" charset="0"/>
            </a:rPr>
            <a:t>Avance</a:t>
          </a:r>
        </a:p>
      </cdr:txBody>
    </cdr:sp>
  </cdr:relSizeAnchor>
  <cdr:relSizeAnchor xmlns:cdr="http://schemas.openxmlformats.org/drawingml/2006/chartDrawing">
    <cdr:from>
      <cdr:x>0.52665</cdr:x>
      <cdr:y>0.66374</cdr:y>
    </cdr:from>
    <cdr:to>
      <cdr:x>0.94912</cdr:x>
      <cdr:y>0.85346</cdr:y>
    </cdr:to>
    <cdr:sp macro="" textlink="Tablas!$E$456">
      <cdr:nvSpPr>
        <cdr:cNvPr id="3" name="1 Elipse"/>
        <cdr:cNvSpPr/>
      </cdr:nvSpPr>
      <cdr:spPr>
        <a:xfrm xmlns:a="http://schemas.openxmlformats.org/drawingml/2006/main">
          <a:off x="1587938" y="1390869"/>
          <a:ext cx="1273809" cy="397565"/>
        </a:xfrm>
        <a:prstGeom xmlns:a="http://schemas.openxmlformats.org/drawingml/2006/main" prst="ellipse">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fld id="{8A27A859-3058-4A4E-B7B8-73FB076FB5F4}" type="TxLink">
            <a:rPr lang="en-US" sz="1200" b="1" i="0" u="none" strike="noStrike">
              <a:solidFill>
                <a:srgbClr val="A8FAC9"/>
              </a:solidFill>
              <a:latin typeface="Verdana" panose="020B0604030504040204" pitchFamily="34" charset="0"/>
              <a:ea typeface="Verdana" panose="020B0604030504040204" pitchFamily="34" charset="0"/>
              <a:cs typeface="Verdana" panose="020B0604030504040204" pitchFamily="34" charset="0"/>
            </a:rPr>
            <a:pPr/>
            <a:t>81,8%</a:t>
          </a:fld>
          <a:endParaRPr lang="es-CO" sz="1800" b="1">
            <a:solidFill>
              <a:srgbClr val="A8FAC9"/>
            </a:solidFill>
            <a:latin typeface="Verdana" pitchFamily="34" charset="0"/>
            <a:ea typeface="Verdana" pitchFamily="34" charset="0"/>
            <a:cs typeface="Verdana" pitchFamily="34" charset="0"/>
          </a:endParaRPr>
        </a:p>
      </cdr:txBody>
    </cdr:sp>
  </cdr:relSizeAnchor>
  <cdr:relSizeAnchor xmlns:cdr="http://schemas.openxmlformats.org/drawingml/2006/chartDrawing">
    <cdr:from>
      <cdr:x>0.23688</cdr:x>
      <cdr:y>0.6888</cdr:y>
    </cdr:from>
    <cdr:to>
      <cdr:x>0.64286</cdr:x>
      <cdr:y>0.79173</cdr:y>
    </cdr:to>
    <cdr:sp macro="" textlink="">
      <cdr:nvSpPr>
        <cdr:cNvPr id="5" name="3 Rectángulo"/>
        <cdr:cNvSpPr/>
      </cdr:nvSpPr>
      <cdr:spPr>
        <a:xfrm xmlns:a="http://schemas.openxmlformats.org/drawingml/2006/main">
          <a:off x="715252" y="1535225"/>
          <a:ext cx="1225826" cy="229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1200" b="1" cap="none" spc="0">
              <a:ln>
                <a:noFill/>
              </a:ln>
              <a:solidFill>
                <a:srgbClr val="A8FAC9"/>
              </a:solidFill>
              <a:effectLst/>
              <a:latin typeface="Verdana" pitchFamily="34" charset="0"/>
              <a:ea typeface="Verdana" pitchFamily="34" charset="0"/>
              <a:cs typeface="Verdana" pitchFamily="34" charset="0"/>
            </a:rPr>
            <a:t>Avance</a:t>
          </a:r>
        </a:p>
      </cdr:txBody>
    </cdr:sp>
  </cdr:relSizeAnchor>
  <cdr:relSizeAnchor xmlns:cdr="http://schemas.openxmlformats.org/drawingml/2006/chartDrawing">
    <cdr:from>
      <cdr:x>0.52665</cdr:x>
      <cdr:y>0.66374</cdr:y>
    </cdr:from>
    <cdr:to>
      <cdr:x>0.94912</cdr:x>
      <cdr:y>0.85346</cdr:y>
    </cdr:to>
    <cdr:sp macro="" textlink="Tablas!$E$456">
      <cdr:nvSpPr>
        <cdr:cNvPr id="7" name="1 Elipse"/>
        <cdr:cNvSpPr/>
      </cdr:nvSpPr>
      <cdr:spPr>
        <a:xfrm xmlns:a="http://schemas.openxmlformats.org/drawingml/2006/main">
          <a:off x="1587938" y="1390869"/>
          <a:ext cx="1273809" cy="397565"/>
        </a:xfrm>
        <a:prstGeom xmlns:a="http://schemas.openxmlformats.org/drawingml/2006/main" prst="ellipse">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fld id="{8A27A859-3058-4A4E-B7B8-73FB076FB5F4}" type="TxLink">
            <a:rPr lang="en-US" sz="1200" b="1" i="0" u="none" strike="noStrike">
              <a:solidFill>
                <a:srgbClr val="A8FAC9"/>
              </a:solidFill>
              <a:latin typeface="Verdana" panose="020B0604030504040204" pitchFamily="34" charset="0"/>
              <a:ea typeface="Verdana" panose="020B0604030504040204" pitchFamily="34" charset="0"/>
              <a:cs typeface="Verdana" panose="020B0604030504040204" pitchFamily="34" charset="0"/>
            </a:rPr>
            <a:pPr/>
            <a:t>81,8%</a:t>
          </a:fld>
          <a:endParaRPr lang="es-CO" sz="1800" b="1">
            <a:solidFill>
              <a:srgbClr val="A8FAC9"/>
            </a:solidFill>
            <a:latin typeface="Verdana" pitchFamily="34" charset="0"/>
            <a:ea typeface="Verdana" pitchFamily="34" charset="0"/>
            <a:cs typeface="Verdana" pitchFamily="34" charset="0"/>
          </a:endParaRPr>
        </a:p>
      </cdr:txBody>
    </cdr:sp>
  </cdr:relSizeAnchor>
  <cdr:relSizeAnchor xmlns:cdr="http://schemas.openxmlformats.org/drawingml/2006/chartDrawing">
    <cdr:from>
      <cdr:x>0.23688</cdr:x>
      <cdr:y>0.6888</cdr:y>
    </cdr:from>
    <cdr:to>
      <cdr:x>0.64286</cdr:x>
      <cdr:y>0.79173</cdr:y>
    </cdr:to>
    <cdr:sp macro="" textlink="">
      <cdr:nvSpPr>
        <cdr:cNvPr id="8" name="3 Rectángulo"/>
        <cdr:cNvSpPr/>
      </cdr:nvSpPr>
      <cdr:spPr>
        <a:xfrm xmlns:a="http://schemas.openxmlformats.org/drawingml/2006/main">
          <a:off x="715252" y="1535225"/>
          <a:ext cx="1225826" cy="229416"/>
        </a:xfrm>
        <a:prstGeom xmlns:a="http://schemas.openxmlformats.org/drawingml/2006/main" prst="rect">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rot="0" spcFirstLastPara="0" vert="horz" wrap="square" lIns="91440" tIns="45720" rIns="91440" bIns="45720" numCol="1" spcCol="0" rtlCol="0" fromWordArt="0" anchor="t" anchorCtr="0" forceAA="0" compatLnSpc="1">
          <a:prstTxWarp prst="textNoShape">
            <a:avLst/>
          </a:prstTxWarp>
          <a:noAutofit/>
        </a:bodyPr>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algn="l"/>
          <a:r>
            <a:rPr lang="es-CO" sz="1200" b="1" cap="none" spc="0">
              <a:ln>
                <a:noFill/>
              </a:ln>
              <a:solidFill>
                <a:srgbClr val="A8FAC9"/>
              </a:solidFill>
              <a:effectLst/>
              <a:latin typeface="Verdana" pitchFamily="34" charset="0"/>
              <a:ea typeface="Verdana" pitchFamily="34" charset="0"/>
              <a:cs typeface="Verdana" pitchFamily="34" charset="0"/>
            </a:rPr>
            <a:t>Avance</a:t>
          </a:r>
        </a:p>
      </cdr:txBody>
    </cdr:sp>
  </cdr:relSizeAnchor>
  <cdr:relSizeAnchor xmlns:cdr="http://schemas.openxmlformats.org/drawingml/2006/chartDrawing">
    <cdr:from>
      <cdr:x>0.52665</cdr:x>
      <cdr:y>0.66374</cdr:y>
    </cdr:from>
    <cdr:to>
      <cdr:x>0.94912</cdr:x>
      <cdr:y>0.85346</cdr:y>
    </cdr:to>
    <cdr:sp macro="" textlink="Tablas!$E$456">
      <cdr:nvSpPr>
        <cdr:cNvPr id="9" name="1 Elipse"/>
        <cdr:cNvSpPr/>
      </cdr:nvSpPr>
      <cdr:spPr>
        <a:xfrm xmlns:a="http://schemas.openxmlformats.org/drawingml/2006/main">
          <a:off x="1720605" y="1694330"/>
          <a:ext cx="1380241" cy="484298"/>
        </a:xfrm>
        <a:prstGeom xmlns:a="http://schemas.openxmlformats.org/drawingml/2006/main" prst="ellipse">
          <a:avLst/>
        </a:prstGeom>
        <a:noFill xmlns:a="http://schemas.openxmlformats.org/drawingml/2006/main"/>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fld id="{8A27A859-3058-4A4E-B7B8-73FB076FB5F4}" type="TxLink">
            <a:rPr lang="en-US" sz="1200" b="1" i="0" u="none" strike="noStrike">
              <a:solidFill>
                <a:srgbClr val="A8FAC9"/>
              </a:solidFill>
              <a:latin typeface="Verdana" panose="020B0604030504040204" pitchFamily="34" charset="0"/>
              <a:ea typeface="Verdana" panose="020B0604030504040204" pitchFamily="34" charset="0"/>
              <a:cs typeface="Verdana" panose="020B0604030504040204" pitchFamily="34" charset="0"/>
            </a:rPr>
            <a:pPr/>
            <a:t>81,8%</a:t>
          </a:fld>
          <a:endParaRPr lang="es-CO" sz="1800" b="1">
            <a:solidFill>
              <a:srgbClr val="A8FAC9"/>
            </a:solidFill>
            <a:latin typeface="Verdana" pitchFamily="34" charset="0"/>
            <a:ea typeface="Verdana" pitchFamily="34" charset="0"/>
            <a:cs typeface="Verdana" pitchFamily="34" charset="0"/>
          </a:endParaRPr>
        </a:p>
      </cdr:txBody>
    </cdr:sp>
  </cdr:relSizeAnchor>
</c:userShapes>
</file>

<file path=xl/drawings/drawing8.xml><?xml version="1.0" encoding="utf-8"?>
<xdr:wsDr xmlns:xdr="http://schemas.openxmlformats.org/drawingml/2006/spreadsheetDrawing" xmlns:a="http://schemas.openxmlformats.org/drawingml/2006/main">
  <xdr:twoCellAnchor editAs="oneCell">
    <xdr:from>
      <xdr:col>6</xdr:col>
      <xdr:colOff>657679</xdr:colOff>
      <xdr:row>0</xdr:row>
      <xdr:rowOff>0</xdr:rowOff>
    </xdr:from>
    <xdr:to>
      <xdr:col>9</xdr:col>
      <xdr:colOff>501370</xdr:colOff>
      <xdr:row>2</xdr:row>
      <xdr:rowOff>97893</xdr:rowOff>
    </xdr:to>
    <xdr:pic>
      <xdr:nvPicPr>
        <xdr:cNvPr id="2" name="1 Imagen">
          <a:extLst>
            <a:ext uri="{FF2B5EF4-FFF2-40B4-BE49-F238E27FC236}">
              <a16:creationId xmlns:a16="http://schemas.microsoft.com/office/drawing/2014/main" id="{00000000-0008-0000-05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 r="-1048"/>
        <a:stretch/>
      </xdr:blipFill>
      <xdr:spPr>
        <a:xfrm>
          <a:off x="7926161" y="0"/>
          <a:ext cx="5168619" cy="687536"/>
        </a:xfrm>
        <a:prstGeom prst="rect">
          <a:avLst/>
        </a:prstGeom>
      </xdr:spPr>
    </xdr:pic>
    <xdr:clientData/>
  </xdr:twoCellAnchor>
  <xdr:twoCellAnchor>
    <xdr:from>
      <xdr:col>0</xdr:col>
      <xdr:colOff>285750</xdr:colOff>
      <xdr:row>0</xdr:row>
      <xdr:rowOff>209550</xdr:rowOff>
    </xdr:from>
    <xdr:to>
      <xdr:col>5</xdr:col>
      <xdr:colOff>479150</xdr:colOff>
      <xdr:row>2</xdr:row>
      <xdr:rowOff>209550</xdr:rowOff>
    </xdr:to>
    <xdr:sp macro="" textlink="">
      <xdr:nvSpPr>
        <xdr:cNvPr id="3" name="2 Rectángulo">
          <a:extLst>
            <a:ext uri="{FF2B5EF4-FFF2-40B4-BE49-F238E27FC236}">
              <a16:creationId xmlns:a16="http://schemas.microsoft.com/office/drawing/2014/main" id="{00000000-0008-0000-0500-000003000000}"/>
            </a:ext>
          </a:extLst>
        </xdr:cNvPr>
        <xdr:cNvSpPr/>
      </xdr:nvSpPr>
      <xdr:spPr>
        <a:xfrm>
          <a:off x="285750" y="209550"/>
          <a:ext cx="10080350" cy="590550"/>
        </a:xfrm>
        <a:prstGeom prst="rect">
          <a:avLst/>
        </a:prstGeom>
        <a:solidFill>
          <a:schemeClr val="tx2"/>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indent="0" algn="ctr" defTabSz="914400" eaLnBrk="1" fontAlgn="auto" latinLnBrk="0" hangingPunct="1">
            <a:lnSpc>
              <a:spcPct val="100000"/>
            </a:lnSpc>
            <a:spcBef>
              <a:spcPts val="0"/>
            </a:spcBef>
            <a:spcAft>
              <a:spcPts val="0"/>
            </a:spcAft>
            <a:buClrTx/>
            <a:buSzTx/>
            <a:buFontTx/>
            <a:buNone/>
            <a:tabLst/>
            <a:defRPr/>
          </a:pPr>
          <a:r>
            <a:rPr lang="es-CO" sz="2400">
              <a:solidFill>
                <a:schemeClr val="lt1"/>
              </a:solidFill>
              <a:effectLst/>
              <a:latin typeface="+mn-lt"/>
              <a:ea typeface="+mn-ea"/>
              <a:cs typeface="+mn-cs"/>
            </a:rPr>
            <a:t>PLAN DE DESARROLLO UAECOB 2018</a:t>
          </a:r>
          <a:endParaRPr lang="es-CO" sz="2400">
            <a:solidFill>
              <a:srgbClr val="FFFF00"/>
            </a:solidFill>
            <a:effectLst/>
          </a:endParaRPr>
        </a:p>
      </xdr:txBody>
    </xdr:sp>
    <xdr:clientData/>
  </xdr:twoCellAnchor>
</xdr:wsDr>
</file>

<file path=xl/drawings/drawing9.xml><?xml version="1.0" encoding="utf-8"?>
<xdr:wsDr xmlns:xdr="http://schemas.openxmlformats.org/drawingml/2006/spreadsheetDrawing" xmlns:a="http://schemas.openxmlformats.org/drawingml/2006/main">
  <xdr:oneCellAnchor>
    <xdr:from>
      <xdr:col>1</xdr:col>
      <xdr:colOff>0</xdr:colOff>
      <xdr:row>0</xdr:row>
      <xdr:rowOff>0</xdr:rowOff>
    </xdr:from>
    <xdr:ext cx="5168165" cy="683907"/>
    <xdr:pic>
      <xdr:nvPicPr>
        <xdr:cNvPr id="2" name="1 Imagen">
          <a:extLst>
            <a:ext uri="{FF2B5EF4-FFF2-40B4-BE49-F238E27FC236}">
              <a16:creationId xmlns:a16="http://schemas.microsoft.com/office/drawing/2014/main" id="{00000000-0008-0000-06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 r="-1048"/>
        <a:stretch/>
      </xdr:blipFill>
      <xdr:spPr>
        <a:xfrm>
          <a:off x="390525" y="0"/>
          <a:ext cx="5168165" cy="683907"/>
        </a:xfrm>
        <a:prstGeom prst="rect">
          <a:avLst/>
        </a:prstGeom>
      </xdr:spPr>
    </xdr:pic>
    <xdr:clientData/>
  </xdr:oneCellAnchor>
  <xdr:twoCellAnchor>
    <xdr:from>
      <xdr:col>2</xdr:col>
      <xdr:colOff>3876676</xdr:colOff>
      <xdr:row>4</xdr:row>
      <xdr:rowOff>38101</xdr:rowOff>
    </xdr:from>
    <xdr:to>
      <xdr:col>3</xdr:col>
      <xdr:colOff>1981200</xdr:colOff>
      <xdr:row>5</xdr:row>
      <xdr:rowOff>95251</xdr:rowOff>
    </xdr:to>
    <xdr:sp macro="" textlink="">
      <xdr:nvSpPr>
        <xdr:cNvPr id="3" name="2 Rectángulo redondeado">
          <a:hlinkClick xmlns:r="http://schemas.openxmlformats.org/officeDocument/2006/relationships" r:id="rId2"/>
          <a:extLst>
            <a:ext uri="{FF2B5EF4-FFF2-40B4-BE49-F238E27FC236}">
              <a16:creationId xmlns:a16="http://schemas.microsoft.com/office/drawing/2014/main" id="{00000000-0008-0000-0600-000003000000}"/>
            </a:ext>
          </a:extLst>
        </xdr:cNvPr>
        <xdr:cNvSpPr/>
      </xdr:nvSpPr>
      <xdr:spPr>
        <a:xfrm>
          <a:off x="5048251" y="800101"/>
          <a:ext cx="2000249" cy="24765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s-CO" sz="1100" b="1"/>
            <a:t>CLIC</a:t>
          </a:r>
          <a:r>
            <a:rPr lang="es-CO" sz="1100" b="1" baseline="0"/>
            <a:t> = Plan de acción 2018</a:t>
          </a:r>
          <a:endParaRPr lang="es-CO" sz="1100" b="1"/>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oporte/Downloads/Instrumento%20de%20Planeaci&#243;n%202018-CapturaSGR%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oporte/Downloads/Instrumento%20de%20Planeaci&#243;n%202018-Captura.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Amoreno/Documents/AMORENO/2017/PLAN%20DE%20ACCION/FORMATO%20PLAN%20DE%20ACCION%202017.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Nicolas%20Casallas/Downloads/Plan%20de%20Acci&#243;n%20Institucional%202019%20Final%20(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eortiz/Documents/Andr&#233;s%20Ortiz/PLAN%20DE%20ACCION/2019/Dependencias/Instrumento%20de%20Planeaci&#243;n%202019%20-Captura%20(mejora%20continua).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eortiz/Documents/Andr&#233;s%20Ortiz/PLAN%20DE%20ACCION/2019/Dependencias/Plan%20de%20Accion%202019%20Riesgos%20ok.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eortiz/Documents/Andr&#233;s%20Ortiz/PLAN%20DE%20ACCION/2019/Dependencias/Instrumento%20de%20Planeaci&#243;n%202019%20-%20Subdirecci&#243;n%20de%20Gesti&#243;n%20Humana%20ok.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INICIO"/>
      <sheetName val="PLAN DE ACCIÓN"/>
      <sheetName val="RIESGOS DE CORRUPCIÓN"/>
      <sheetName val="RACIONALIZACION TRAMITES"/>
      <sheetName val="RENDICION DE CUENTAS"/>
      <sheetName val="ATENCION CIUDADANIA"/>
      <sheetName val="TRANSPARENCIA"/>
      <sheetName val="INICIATIVAS ADICIONALES"/>
      <sheetName val="PLAN DE PARTICIPACIÓN"/>
    </sheetNames>
    <sheetDataSet>
      <sheetData sheetId="0" refreshError="1"/>
      <sheetData sheetId="1"/>
      <sheetData sheetId="2"/>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INICIO"/>
      <sheetName val="PLAN DE ACCIÓN"/>
      <sheetName val="RIESGOS DE CORRUPCIÓN"/>
      <sheetName val="RACIONALIZACION TRAMITES"/>
      <sheetName val="RENDICION DE CUENTAS"/>
      <sheetName val="ATENCION CIUDADANIA"/>
      <sheetName val="TRANSPARENCIA"/>
      <sheetName val="INICIATIVAS ADICIONALES"/>
      <sheetName val="PLAN DE PARTICIPACIÓN"/>
    </sheetNames>
    <sheetDataSet>
      <sheetData sheetId="0" refreshError="1"/>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PLAN DE ACCIÓN"/>
      <sheetName val="SELECCIÓN"/>
      <sheetName val="INSTRUCTIVO"/>
      <sheetName val="Hoja1"/>
    </sheetNames>
    <sheetDataSet>
      <sheetData sheetId="0" refreshError="1"/>
      <sheetData sheetId="1">
        <row r="2">
          <cell r="A2" t="str">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v>
          </cell>
        </row>
      </sheetData>
      <sheetData sheetId="2">
        <row r="2">
          <cell r="A2" t="str">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v>
          </cell>
        </row>
      </sheetData>
      <sheetData sheetId="3"/>
      <sheetData sheetId="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PLAN DE ACCIÓN 2019 Producto"/>
      <sheetName val="PLAN DE ACCIÓN 2019 Actividades"/>
      <sheetName val="PLAN DE DESARROLLO 2019 Matriz"/>
      <sheetName val="INSTRUCTIVO"/>
      <sheetName val="Actividades Plan de Desarrollo"/>
    </sheetNames>
    <sheetDataSet>
      <sheetData sheetId="0"/>
      <sheetData sheetId="1"/>
      <sheetData sheetId="2"/>
      <sheetData sheetId="3"/>
      <sheetData sheetId="4"/>
      <sheetData sheetId="5"/>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INICIO"/>
      <sheetName val="PLAN DE ACCIÓN 2019 Producto"/>
      <sheetName val="PLAN DE ACCIÓN 2019 Actividades"/>
      <sheetName val="PLAN DE DESARROLLO 2019 Matriz"/>
      <sheetName val="INSTRUCTIVO"/>
      <sheetName val="RIESGOS DE CORRUPCIÓN"/>
      <sheetName val="RACIONALIZACION TRAMITES"/>
      <sheetName val="RENDICION DE CUENTAS"/>
      <sheetName val="ATENCION CIUDADANIA"/>
      <sheetName val="TRANSPARENCIA"/>
      <sheetName val="INICIATIVAS ADICIONALES"/>
      <sheetName val="PLAN DE PARTICIPACIÓN"/>
      <sheetName val="Actividades Plan de Desarroll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INICIO"/>
      <sheetName val="PLAN DE ACCIÓN 2019 Producto"/>
      <sheetName val="PLAN DE ACCIÓN 2019 Actividades"/>
      <sheetName val="PLAN DE DESARROLLO 2019 Matriz"/>
      <sheetName val="INSTRUCTIVO"/>
      <sheetName val="RIESGOS DE CORRUPCIÓN"/>
      <sheetName val="RACIONALIZACION TRAMITES"/>
      <sheetName val="RENDICION DE CUENTAS"/>
      <sheetName val="ATENCION CIUDADANIA"/>
      <sheetName val="TRANSPARENCIA"/>
      <sheetName val="INICIATIVAS ADICIONALES"/>
      <sheetName val="PLAN DE PARTICIPACIÓN"/>
      <sheetName val="Actividades Plan de Desarroll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istas"/>
      <sheetName val="INICIO"/>
      <sheetName val="PLAN DE ACCIÓN 2019 Producto"/>
      <sheetName val="PLAN DE ACCIÓN 2019 Actividades"/>
      <sheetName val="PLAN DE DESARROLLO 2019 Matriz"/>
      <sheetName val="INSTRUCTIVO"/>
      <sheetName val="RIESGOS DE CORRUPCIÓN"/>
      <sheetName val="RACIONALIZACION TRAMITES"/>
      <sheetName val="RENDICION DE CUENTAS"/>
      <sheetName val="ATENCION CIUDADANIA"/>
      <sheetName val="TRANSPARENCIA"/>
      <sheetName val="INICIATIVAS ADICIONALES"/>
      <sheetName val="PLAN DE PARTICIPACIÓN"/>
      <sheetName val="Actividades Plan de Desarrollo"/>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Nicolas Suarez Casallas" refreshedDate="43713.381433680559" createdVersion="6" refreshedVersion="6" minRefreshableVersion="3" recordCount="247">
  <cacheSource type="worksheet">
    <worksheetSource ref="B5:Y252" sheet="PLAN DE ACCIÓN 2019 Actividades"/>
  </cacheSource>
  <cacheFields count="25">
    <cacheField name="Pilar o Eje Transversal" numFmtId="0">
      <sharedItems/>
    </cacheField>
    <cacheField name="Meta Plan de Desarrollo o de Producto" numFmtId="0">
      <sharedItems/>
    </cacheField>
    <cacheField name="OBJETIVOS ESTRATEGICOS" numFmtId="0">
      <sharedItems longText="1"/>
    </cacheField>
    <cacheField name="PROCESO" numFmtId="0">
      <sharedItems/>
    </cacheField>
    <cacheField name="DEPENDENCIA" numFmtId="0">
      <sharedItems containsBlank="1" count="10">
        <s v="1. Dirección"/>
        <s v="2. Oficina de Control Interno"/>
        <s v="3. Oficina Asesora de Planeación"/>
        <s v="4. Oficina Asesora Jurídica"/>
        <s v="5. Subdirección de Gestión del Riesgo"/>
        <s v="6. Subdirección Operativa"/>
        <s v="7. Subdirección Logística"/>
        <s v="8. Subdirección de Gestión Corporativa"/>
        <s v="9. Subdirección de Gestión Humana"/>
        <m u="1"/>
      </sharedItems>
    </cacheField>
    <cacheField name="No." numFmtId="0">
      <sharedItems containsString="0" containsBlank="1" containsNumber="1" containsInteger="1" minValue="1" maxValue="16"/>
    </cacheField>
    <cacheField name="Nombre del producto" numFmtId="0">
      <sharedItems longText="1"/>
    </cacheField>
    <cacheField name="% Ponderación Producto" numFmtId="0">
      <sharedItems containsSemiMixedTypes="0" containsString="0" containsNumber="1" minValue="6.25E-2" maxValue="1"/>
    </cacheField>
    <cacheField name="Meta Anual" numFmtId="0">
      <sharedItems containsSemiMixedTypes="0" containsString="0" containsNumber="1" minValue="0.2" maxValue="100"/>
    </cacheField>
    <cacheField name="Unidad Medida" numFmtId="0">
      <sharedItems containsBlank="1"/>
    </cacheField>
    <cacheField name="Descripción Meta" numFmtId="0">
      <sharedItems containsBlank="1" longText="1"/>
    </cacheField>
    <cacheField name="Responsable Producto" numFmtId="0">
      <sharedItems/>
    </cacheField>
    <cacheField name="No.2" numFmtId="0">
      <sharedItems containsSemiMixedTypes="0" containsString="0" containsNumber="1" containsInteger="1" minValue="1" maxValue="9"/>
    </cacheField>
    <cacheField name="ACTIVIDADES DEL PRODUCTO" numFmtId="0">
      <sharedItems longText="1"/>
    </cacheField>
    <cacheField name="% Ponderación Actividades" numFmtId="9">
      <sharedItems containsSemiMixedTypes="0" containsString="0" containsNumber="1" minValue="0.05" maxValue="1"/>
    </cacheField>
    <cacheField name="Fecha Inicio" numFmtId="14">
      <sharedItems containsSemiMixedTypes="0" containsNonDate="0" containsDate="1" containsString="0" minDate="2019-01-01T00:00:00" maxDate="2020-01-01T00:00:00"/>
    </cacheField>
    <cacheField name="Fecha fin" numFmtId="14">
      <sharedItems containsDate="1" containsMixedTypes="1" minDate="2019-01-30T00:00:00" maxDate="2020-02-01T00:00:00"/>
    </cacheField>
    <cacheField name="Reponderación actividad calculo en el periodo" numFmtId="9">
      <sharedItems containsSemiMixedTypes="0" containsString="0" containsNumber="1" minValue="6.2500000000000003E-3" maxValue="0.25"/>
    </cacheField>
    <cacheField name="Responsable Actividad" numFmtId="0">
      <sharedItems/>
    </cacheField>
    <cacheField name="Avance % _x000a_*En escala de 1 a 100%" numFmtId="0">
      <sharedItems containsString="0" containsBlank="1" containsNumber="1" minValue="0" maxValue="1"/>
    </cacheField>
    <cacheField name="Descripción avance y/o justificación del incumplimiento" numFmtId="0">
      <sharedItems containsBlank="1" longText="1"/>
    </cacheField>
    <cacheField name="CUMPLIMIENTO ACTIVIDADES" numFmtId="9">
      <sharedItems containsSemiMixedTypes="0" containsString="0" containsNumber="1" minValue="0" maxValue="1"/>
    </cacheField>
    <cacheField name="AVANCE PONDERADO PERIODO EVALUADO PA" numFmtId="9">
      <sharedItems containsSemiMixedTypes="0" containsString="0" containsNumber="1" minValue="0" maxValue="1"/>
    </cacheField>
    <cacheField name="AVANCE PONDERADO ACUMULADO PA" numFmtId="165">
      <sharedItems containsSemiMixedTypes="0" containsString="0" containsNumber="1" minValue="0" maxValue="0.25"/>
    </cacheField>
    <cacheField name="Cumplimiento Acti." numFmtId="0" formula="'AVANCE PONDERADO PERIODO EVALUADO PA'/'Reponderación actividad calculo en el periodo'" databaseField="0"/>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Nicolas Suarez Casallas" refreshedDate="43713.381433796298" createdVersion="6" refreshedVersion="6" minRefreshableVersion="3" recordCount="72">
  <cacheSource type="worksheet">
    <worksheetSource ref="B6:AA78" sheet="PLAN DE ACCIÓN 2019 Producto"/>
  </cacheSource>
  <cacheFields count="27">
    <cacheField name="Pilar o Eje Transversal" numFmtId="0">
      <sharedItems count="2">
        <s v="7. Gobierno Legítimo, fortalecimiento Local y eficiencia"/>
        <s v="3.  Construcción de comunidad y cultura ciudadana"/>
      </sharedItems>
    </cacheField>
    <cacheField name="Meta Plan de Desarrollo o de Producto" numFmtId="0">
      <sharedItems/>
    </cacheField>
    <cacheField name="OBJETIVOS ESTRATEGICOS" numFmtId="0">
      <sharedItems longText="1"/>
    </cacheField>
    <cacheField name="PROCESO" numFmtId="0">
      <sharedItems/>
    </cacheField>
    <cacheField name="DEPENDENCIA" numFmtId="0">
      <sharedItems count="9">
        <s v="1. Dirección"/>
        <s v="2. Oficina de Control Interno"/>
        <s v="3. Oficina Asesora de Planeación"/>
        <s v="4. Oficina Asesora Jurídica"/>
        <s v="5. Subdirección de Gestión del Riesgo"/>
        <s v="6. Subdirección Operativa"/>
        <s v="7. Subdirección Logística"/>
        <s v="8. Subdirección de Gestión Corporativa"/>
        <s v="9. Subdirección de Gestión Humana"/>
      </sharedItems>
    </cacheField>
    <cacheField name="No." numFmtId="0">
      <sharedItems containsSemiMixedTypes="0" containsString="0" containsNumber="1" containsInteger="1" minValue="1" maxValue="16"/>
    </cacheField>
    <cacheField name="Nombre del producto" numFmtId="0">
      <sharedItems count="134" longText="1">
        <s v="Revista virtual: &quot;Bomberos Hoy el Magazzine&quot;."/>
        <s v="Noticiero &quot;Bomberos Hoy&quot;"/>
        <s v="Periódico virtual &quot;El Hidrante!"/>
        <s v="Reportaje: Bomberos en acción"/>
        <s v="La foto de la semana"/>
        <s v="Crónica: Historias en Bomberos Bogotá"/>
        <s v="Plan anual de auditoria vigencia 2019"/>
        <s v="Plan de adecuación del Modelo Integrado de Planeación y Gestión - MIPG - y el Sistema Integrado de Gestión."/>
        <s v="Integracion de los procesos de SIG-MIPG"/>
        <s v="Diagramas de flujo de proceso"/>
        <s v="Ventanilla única de atención ciudadano. "/>
        <s v="Diseño, desarrollo e implementación de la nueva intranet para la UAECOB"/>
        <s v="Transición de la Estrategia de Gobierno en linea a la implementacion de la Política de Gobierno Digital "/>
        <s v="Aplicación móvil para el sistema de información Misional Implementada"/>
        <s v="Herramienta tecnológica para la creación y administración de cursos virtuales en la UEA implementada"/>
        <s v="Herramienta tecnológica para la administración y gestión documental de la UAECOB Implementada."/>
        <s v="Levantamiento de inventario de activos de Información de Software, hardware y servicios, cuadro de caracterización documental actualizados"/>
        <s v="Diseño, desarrollo e implementación del nuevo Sistema de Información Misional para la UAECOB"/>
        <s v="Guía de Buenas Prácticas UAECOB 2019"/>
        <s v="Portafolio de Servicios UAECOB 2019"/>
        <s v="Jornadas de articulación con la Academia"/>
        <s v="Modelo de caracterización del relacionamiento de la UAECOB con sus grupos de interés"/>
        <s v="Seguimiento y control de los Planes e Indicadores que Gestiona la Entidad"/>
        <s v="Construcción de bases de datos de contratos"/>
        <s v="Creación de matriz de control y seguimiento de aprobación garantías"/>
        <s v="Revisión de formatos y procedimientos de contratación "/>
        <s v="Creación de protocolo para la puesta en marcha de medios alternativos de solución de conflictos"/>
        <s v="Documento diagnostico frente a escenarios de aglomeraciones de público permanentes (Teatros y Cinemas)"/>
        <s v="Proyecto virtualización capacitación normativa aplicada a revisiones técnicas"/>
        <s v="Identificación de nuevos requerimientos en el Sistema de Información Misional - Sub-módulo Revisiones Técnicas y Auto revisiones"/>
        <s v="Guía de riesgos comunes y asociados a incendios"/>
        <s v="Sistematización del procedimiento de capacitación a brigadas contra incendio empresarial"/>
        <s v="Actualización de Módulos de Capacitación Comunitaria"/>
        <s v="Proyecto de virtualización de capacitación a brigadas contra incendio empresarial"/>
        <s v="Actualizar la estrategia &quot;campañas de reducción del riesgo relacionadas con la prevención y mitigación de riesgos de incendio, matpel y otras  emergencias competencia de la UAECOB&quot; - IMER"/>
        <s v="Desarrollar jornadas de capacitación en las estaciones en pedagogía para las actividades del Club Bomberitos "/>
        <s v="Desarrollar Actividades de la estrategia del Club Bomberitos en el marco del mes de la prevención (Caravanas de la Prevención)"/>
        <s v="Implementación proyecto de prevención y autoprotección  comunitaria ante incendios forestales (fase 2)."/>
        <s v="Actualizar, publicar y seguimiento a la estrategia de cambio climático de la UAECOB"/>
        <s v="cartografía social en localidad de puente Aranda para materiales peligrosos"/>
        <s v="Divulgación de una campaña de gestión del riesgo en las 20 localidades "/>
        <s v="Diseñar y Gestionar una estrategia para la gestión del riesgo por incendios forestales en la localidad de Sumapaz"/>
        <s v="Insumo para Campaña de Prevención por incendios en el hogar "/>
        <s v="Curso Bomberitos _x000a_&quot;Nicolas Quevedo Rizo&quot;"/>
        <s v="Actualización del árbol de servicios"/>
        <s v="Información  estadística de las emergencias atendidas por la UAECOB."/>
        <s v="Simulacro de comunicaciones en emergencias"/>
        <s v="Revisión de hidrantes en Bogotá"/>
        <s v="Plan para el Fortalecimiento de la Gestión Integral de los Servicios Logísticos"/>
        <s v="_x000a_Plan de Mantenimiento Preventivo y Correctivo de Parque Automotor _x000a_"/>
        <s v="_x000a_Plan de Mantenimiento Preventivo y Correctivo de  Equipo Menor_x000a__x000a__x000a_"/>
        <s v="Diagnostico Integral de Archivos"/>
        <s v="Dar cumplimiento a la Política de Cero Papel en la Entidad, de conformidad con la Resolución 730 de 2013."/>
        <s v="Realizar Seguimiento a la implementación del PIGA"/>
        <s v="Realizar charlas comunicativas a los servidores públicos y/o contratistas del Edificio comando, en lo relacionado a las funciones del Defensor de la Ciudadanía de la UAECOB, para generar importancia frente a la oportunidad y coherencia de los requerimientos ciudadanos"/>
        <s v="Socializar a los funcionarios de la Línea 195, sobre la información de los trámites y servicios con los que cuenta la UAECOB."/>
        <s v=" Desarrollo académico de socialización y prevención disciplinaria a través del proceso de inducción y reinducción Coordinado por la OCDI"/>
        <s v="Capacitar en  el marco normativo contable para entidades de Gobierno (NMNCEG) aplicables a la UAE Cuerpo Oficial de Bomberos."/>
        <s v="Auditores internos entrenados"/>
        <s v="Cambio de la Cultura del Sistema Integrado de Gestión- MIPG"/>
        <s v="Certificación ISO 9001-2015"/>
        <s v="Gestionar la adquisición de un predio para la elaboración de estudios, diseños y construcción de una (1) Escuela de Formación Bomberil y una (1) estación de Bomberos."/>
        <s v="Aprobación de Estudios, Diseños y Estudios Previos para la adecuación y ampliación de la Estación de Bomberos de Marichuela - B10."/>
        <s v="Desarrollar un programa que garantice el 100% del mantenimiento de la infraestructura física de las Estaciones de Bomberos y el Edificio Comando"/>
        <s v="Gestionar la adquisición de un (1) predio para la implementación de una (1) estación de Bomberos"/>
        <s v="Implementación de (1) estación satélite forestal de bomberos sujeta al proyecto del sendero ambiental en los cerros orientales)"/>
        <s v="Elaboración de los estudios y diseños para la adecuación de la Estación de Bomberos de Ferias - B7."/>
        <s v="Implementar una Biblioteca virtual para la Unidad administrativa especial cuerpo oficial de bomberos Bogotá."/>
        <s v="Diseñar un programa de capacitación para ascenso de oficiales y suboficiales adaptado a la misionalidad de la entidad "/>
        <s v="Realizar un programa de capacitación y reentrenamiento a mínimo dos grupos especializados durante dos jornadas "/>
        <s v="Realizar seguimiento a la implementación del subsistema de Seguridad y Salud en el Trabajo"/>
        <s v="Realizar las acciones necesarias para la Formalización de la Escuela de Formación Bomberil de la UAECOB ante las autoridades competentes"/>
        <s v="Plan anual de auditoria vigencia 2018" u="1"/>
        <s v="Implementar un plan de reentrenamiento de tres días para servidores de los cargos bombero y cabo" u="1"/>
        <s v="Simulacro de rescate vehicular " u="1"/>
        <s v="Bomberos Hoy el Informativo." u="1"/>
        <s v="Definición y formulación de los insumos necesarios para establecer un sistema de información Logístico " u="1"/>
        <s v="Socialización sobre articulación del nuevo Modelo de Planeación y Gestión- MIPG y el Sistema Integrado de Gestión." u="1"/>
        <s v="Flujo de procesos con la integración de los estándares de Gestión de Calidad, Ambiental y Seguridad y Salud en el Trabajo en los Procesos." u="1"/>
        <s v="Auditores internos en normas actualizadas, con formación certificada por organismos externos " u="1"/>
        <s v="proyectar las acciones necesarias para la  implementación de  una Biblioteca Virtual para la UAE Cuerpo Oficial de Bomberos Bogotá." u="1"/>
        <s v="Formulación y/o Actualización de la Guía Técnica de Pirotecnia y efectos especiales." u="1"/>
        <s v="Realización de Plan Específico de Respuesta (PER) por incendio en entidades públicas distritales o Grandes Superficies o empresas industriales y/o comerciales" u="1"/>
        <s v="Foto de la semana" u="1"/>
        <s v="Creación Procedimientos de Acuerdo Marco de Precios, Otros Instrumentos de agregación de Demanda y Grandes Superficies" u="1"/>
        <s v="Actualización del material de referencia para  los curso de investigación  de Incendio Básico e Intermedio" u="1"/>
        <s v="Organización del III Congreso Internacional del Cuerpo Oficial Bomberos de Bogotá" u="1"/>
        <s v="Acciones Bomberiles. " u="1"/>
        <s v="Sensibilización del equipo de investigación de incendios  en las 17 estaciones de la UAECOB." u="1"/>
        <s v="Realizar jornadas de sensibilización en las 17 estaciones para el personal uniformado de los cambios normativos en  revisiones técnicas y aglomeración de publico" u="1"/>
        <s v="Actualización Manual de Contratación y  Supervisión" u="1"/>
        <s v="realizar las acciones necesarias para la aprobación del PEI de la escuela de Formación Bomberil de la UAECOB ante las autoridades competentes " u="1"/>
        <s v="*Continuación - Entornos de virtualización para la UAECOB Implementados" u="1"/>
        <s v="Modificación de la ruta de la calidad" u="1"/>
        <s v="Creación de procedimiento de pago de sentencias judiciales y conciliaciones" u="1"/>
        <s v="Documento con el contenido de la ficha técnica del sistema de información requerido para la administración del proceso de Inventarios." u="1"/>
        <s v="*Continuación - Aplicación móvil para el sistema de información Misional Implementada" u="1"/>
        <s v="Gestionar la realización de un curso para la investigación de incendios forestales para la entidad con entidades externas" u="1"/>
        <s v="Implementación proyecto de prevención y autoprotección  comunitaria ante incendios forestales." u="1"/>
        <s v="Dar estricto cumplimiento a los objetivos y programas del Plan Institucional de Gestión Ambiental PIGA." u="1"/>
        <s v="Desarrollo e Implementación de un programa orientado a promover la práctica de actividad física en el personal de la UAECOB" u="1"/>
        <s v="Simulacro de búsqueda y rescate con caninos en media montaña" u="1"/>
        <s v="*Continuación -Dotación Tecnológica para la Estación de Bomberos de Bosa B-8 implementada" u="1"/>
        <s v="Formular Estructura Funcional para la Subdirección Logística" u="1"/>
        <s v="Adopción SECOP II en los  procesos, formatos y procedimientos de contratación que se realizan en la Oficina Asesora Jurídica" u="1"/>
        <s v="Revisión y ajuste de la Estrategia de  Sensibilización Y Educación En Prevención De Incendios Y Emergencias Conexas- Club Bomberitos" u="1"/>
        <s v="Capacitaciones documentales " u="1"/>
        <s v="Curso Bomberitos &quot;Nicolas Quevedo Rizo&quot;" u="1"/>
        <s v="Planeación y organización de un evento de intercambio de experiencias con otros cuerpos de bomberos de Colombia sobre la implementación de la resolución 0358 de 2014 de la DNBC" u="1"/>
        <s v="Ejercicio IEC INSARAG " u="1"/>
        <s v="Socialización del árbol de servicios de emergencias de la UAECOB." u="1"/>
        <s v="Ejercicio de aseguramiento de agua en edificios de gran altura." u="1"/>
        <s v="Charlas, conversatorios, exposiciones con entidades del Distrito que sean referentes del Sistema Integrado de Gestión" u="1"/>
        <s v="Realizar una actividad de conocimiento  y/o Reducción en riesgos en incendios, búsqueda y rescate y materiales peligrosos incluida en el plan de acción de  los CLGR-CC (Consejos locales de gestión del riesgo y cambio climático)." u="1"/>
        <s v="Simulacro de rescate vertical" u="1"/>
        <s v="Proceso de clasificación en el marco de la estrategia de búsqueda y rescate de la DNBC" u="1"/>
        <s v="Feria Expo académica para la articulación de oferta educativa en la ciudad con los funcionarios de la entidad" u="1"/>
        <s v="Crónica: Bomberos de corazón." u="1"/>
        <s v="Socialización de la estrategia de Cambio Climático UAECOB" u="1"/>
        <s v="*Continuación - Herramienta tecnológica para la administración y gestión documental de la UAECOB Implementada." u="1"/>
        <s v="*Continuación - Herramienta tecnológica para la creación y administración de cursos virtuales en la UEA implementada" u="1"/>
        <s v="*Continuación - Ventanilla única de atención ciudadano. " u="1"/>
        <s v="Ejecución de las inspecciones técnicas  de seguridad humana y sistemas de protección contra incendios, solicitadas por los establecimientos, clasificados como riesgo moderado y alto." u="1"/>
        <s v="Simulacro de rescate por extensión" u="1"/>
        <s v=" Capacitación Básica de investigación de incendios " u="1"/>
        <s v="Garantizar el Manejo integral de los Residuos que se generan en las dependencias de la UAECOB en cumplimiento a los Programas del PIGA" u="1"/>
        <s v="Socialización de tramites y servicios  de la entidad en las 20 localidades._x000a_" u="1"/>
        <s v="Socialización y distribución del Portafolio de servicios de la UAECOB" u="1"/>
        <s v="Implementación del  proyecto de prevención y autoprotección  comunitaria ante incedios forestales." u="1"/>
        <s v=" Desarrollar e implementar un programa para la prevención de Desórdenes Musculoesqueléticos" u="1"/>
        <s v="Capacitar en lenguaje de señas a los servidores que ejecuten acciones directas de atención a la ciudadanía" u="1"/>
        <s v="Actividad de lanzamiento y socialización Guía Buenas Prácticas Saber Hacer Cuerpo Oficial Bomberos de Bogotá" u="1"/>
        <s v="*Continuación -Levantamiento de inventario de activos de Información de Software, hardware y servicios, cuadro de caracterización documental actualizados" u="1"/>
        <s v="Actividad de prevención en el marco de los programas del club bomberitos." u="1"/>
      </sharedItems>
    </cacheField>
    <cacheField name="% Ponderación Producto" numFmtId="0">
      <sharedItems containsSemiMixedTypes="0" containsString="0" containsNumber="1" minValue="6.25E-2" maxValue="1"/>
    </cacheField>
    <cacheField name="Meta Anual" numFmtId="0">
      <sharedItems containsSemiMixedTypes="0" containsString="0" containsNumber="1" minValue="0.2" maxValue="100"/>
    </cacheField>
    <cacheField name="Unidad Medida" numFmtId="0">
      <sharedItems/>
    </cacheField>
    <cacheField name="Descripción Meta" numFmtId="0">
      <sharedItems longText="1"/>
    </cacheField>
    <cacheField name="Responsable Producto" numFmtId="0">
      <sharedItems/>
    </cacheField>
    <cacheField name="1° TRIM" numFmtId="0">
      <sharedItems containsBlank="1" containsMixedTypes="1" containsNumber="1" minValue="0" maxValue="50"/>
    </cacheField>
    <cacheField name="2° TRIM" numFmtId="0">
      <sharedItems containsString="0" containsBlank="1" containsNumber="1" minValue="0.1" maxValue="100"/>
    </cacheField>
    <cacheField name="3° TRIM" numFmtId="0">
      <sharedItems containsString="0" containsBlank="1" containsNumber="1" minValue="0" maxValue="90"/>
    </cacheField>
    <cacheField name="4° TRIM" numFmtId="0">
      <sharedItems containsString="0" containsBlank="1" containsNumber="1" minValue="0" maxValue="100"/>
    </cacheField>
    <cacheField name="META 2° TRIM_x000a_(celda O)" numFmtId="0">
      <sharedItems containsString="0" containsBlank="1" containsNumber="1" minValue="0.1" maxValue="100"/>
    </cacheField>
    <cacheField name="Programado 2do trimestre" numFmtId="9">
      <sharedItems containsString="0" containsBlank="1" containsNumber="1" minValue="6.25E-2" maxValue="1"/>
    </cacheField>
    <cacheField name="AVANCE 2° TRIM" numFmtId="0">
      <sharedItems containsString="0" containsBlank="1" containsNumber="1" minValue="0" maxValue="100"/>
    </cacheField>
    <cacheField name="Descripción Avance y/o justificación del incumplimiento" numFmtId="0">
      <sharedItems containsBlank="1" longText="1"/>
    </cacheField>
    <cacheField name="Evidencia" numFmtId="0">
      <sharedItems containsBlank="1" longText="1"/>
    </cacheField>
    <cacheField name="Acción de mejora _x000a_*aplica si no se presentó avance" numFmtId="0">
      <sharedItems containsBlank="1" longText="1"/>
    </cacheField>
    <cacheField name="Cumplimiento" numFmtId="9">
      <sharedItems containsString="0" containsBlank="1" containsNumber="1" minValue="0" maxValue="1"/>
    </cacheField>
    <cacheField name="Tipo de resultado" numFmtId="9">
      <sharedItems containsBlank="1" count="8">
        <s v="EXCELENTE"/>
        <s v="BUENO"/>
        <s v="MALO"/>
        <s v="CUMPLIDO"/>
        <m/>
        <s v="REGULAR"/>
        <s v="No aplica" u="1"/>
        <s v="NA" u="1"/>
      </sharedItems>
    </cacheField>
    <cacheField name="Estado del Producto" numFmtId="0">
      <sharedItems containsBlank="1" count="5">
        <s v="EN EJECUCIÓN"/>
        <s v="CUMPLIDO"/>
        <s v="SIN EJECUTAR"/>
        <m u="1"/>
        <s v="NA" u="1"/>
      </sharedItems>
    </cacheField>
    <cacheField name="AVENCE PONDERADO" numFmtId="9">
      <sharedItems containsString="0" containsBlank="1" containsNumber="1" minValue="0" maxValue="0.9"/>
    </cacheField>
    <cacheField name="Cumplimiento 1er tri." numFmtId="0" formula="IFERROR(('AVENCE PONDERADO'/'Programado 2do trimestre'),0)" databaseField="0"/>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247">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n v="1"/>
    <s v="Revista virtual: &quot;Bomberos Hoy el Magazzine&quot;."/>
    <n v="0.2"/>
    <n v="12"/>
    <s v="PDF enviado por correo electrónico"/>
    <s v="En el año se realizarán 12 publicaciones, en las cuales se destacará la  información más importante realizada durante el mes en curso, para de esta forma mantener actualizado al personal de la UAECOB."/>
    <s v="Oficina Asesora Prensa y Comunicaciones"/>
    <n v="1"/>
    <s v="Gestionar tres ediciones revista virtual. correspondientes al 1er trimestre, realizando la recopilación de la información, diseño y  publicación."/>
    <n v="0.25"/>
    <d v="2019-01-01T00:00:00"/>
    <d v="2019-03-31T00:00:00"/>
    <n v="0.05"/>
    <s v="Oficina Asesora Prensa y Comunicaciones"/>
    <n v="1"/>
    <s v="Durante el trimestre se realizaron 3 Ediciones de la Revista Bomberos, del mes de Enero, Febrero y Marzo, los cuales fueron emitidos en el mes siguiente a su finalización."/>
    <n v="0.25"/>
    <n v="0.25"/>
    <n v="0.05"/>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s v="Revista virtual: &quot;Bomberos Hoy el Magazzine&quot;."/>
    <n v="0.2"/>
    <n v="12"/>
    <m/>
    <m/>
    <s v="Oficina Asesora Prensa y Comunicaciones"/>
    <n v="2"/>
    <s v="Gestionar tres ediciones revista virtual. correspondientes al 2do trimestre, realizando la recopilación de la información, diseño y  publicación."/>
    <n v="0.25"/>
    <d v="2019-04-01T00:00:00"/>
    <d v="2019-06-30T00:00:00"/>
    <n v="0.05"/>
    <s v="Oficina Asesora Prensa y Comunicaciones"/>
    <n v="1"/>
    <s v="Durante el segundo  trimestre se realizaron 3 Ediciones de la Revista Bomberos Hoy, del mes de Abril, Mayo y Junio, los cuales fueron emitidos en el mes siguiente a su finalización."/>
    <n v="0.25"/>
    <n v="0.25"/>
    <n v="0.05"/>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s v="Revista virtual: &quot;Bomberos Hoy el Magazzine&quot;."/>
    <n v="0.2"/>
    <n v="12"/>
    <m/>
    <m/>
    <s v="Oficina Asesora Prensa y Comunicaciones"/>
    <n v="3"/>
    <s v="Gestionar tres ediciones revista virtual. correspondientes al 3er trimestre, realizando la recopilación de la información, diseño y  publicación."/>
    <n v="0.25"/>
    <d v="2019-07-01T00:00:00"/>
    <d v="2019-09-30T00:00:00"/>
    <n v="0.05"/>
    <s v="Oficina Asesora Prensa y Comunicaciones"/>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s v="Revista virtual: &quot;Bomberos Hoy el Magazzine&quot;."/>
    <n v="0.2"/>
    <n v="12"/>
    <m/>
    <m/>
    <s v="Oficina Asesora Prensa y Comunicaciones"/>
    <n v="4"/>
    <s v="Gestionar tres ediciones revista virtual. correspondientes al 4to trimestre, realizando la recopilación de la información, diseño y  publicación."/>
    <n v="0.25"/>
    <d v="2019-10-01T00:00:00"/>
    <d v="2019-12-31T00:00:00"/>
    <n v="0.05"/>
    <s v="Oficina Asesora Prensa y Comunicaciones"/>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n v="2"/>
    <s v="Noticiero &quot;Bomberos Hoy&quot;"/>
    <n v="0.2"/>
    <n v="50"/>
    <s v="Noticiero en video subido a la plataforma de YouTube de la entidad"/>
    <s v="En el año se realizarán 50 publicaciones, en las cuales se destacará la información de los eventos, actividades y emergencias más relevantes desarrolladas durante la semana en curso en que se emita el noticiero"/>
    <s v="Oficina Asesora Prensa y Comunicaciones"/>
    <n v="1"/>
    <s v="Se realizarán 12 noticieros con su respectivas notas y presentaciones, recopilando la información en los diferentes eventos que se realicen en la entidad, se escribirán los textos y se editarán; para finalmente ser emitidos"/>
    <n v="0.25"/>
    <d v="2019-01-01T00:00:00"/>
    <d v="2019-03-31T00:00:00"/>
    <n v="0.05"/>
    <s v="Oficina Asesora Prensa y Comunicaciones"/>
    <n v="1"/>
    <s v="Durante el trimestre se realizaron 13 Ediciones del Noticiero &quot;Bomberos Hoy&quot;"/>
    <n v="0.25"/>
    <n v="0.25"/>
    <n v="0.05"/>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s v="Noticiero &quot;Bomberos Hoy&quot;"/>
    <n v="0.2"/>
    <n v="50"/>
    <m/>
    <m/>
    <s v="Oficina Asesora Prensa y Comunicaciones"/>
    <n v="2"/>
    <s v="Se realizarán 13 noticieros con su respectivas notas y presentaciones, recopilando la información en los diferentes eventos que se realicen en la entidad, se escribirán los textos y se editarán; para finalmente ser emitidos"/>
    <n v="0.25"/>
    <d v="2019-04-01T00:00:00"/>
    <d v="2019-06-30T00:00:00"/>
    <n v="0.05"/>
    <s v="Oficina Asesora Prensa y Comunicaciones"/>
    <n v="1"/>
    <s v="Durante el trimestre se realizaron 13 Ediciones del Noticiero &quot;Bomberos Hoy&quot;"/>
    <n v="0.25"/>
    <n v="0.25"/>
    <n v="0.05"/>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s v="Noticiero &quot;Bomberos Hoy&quot;"/>
    <n v="0.2"/>
    <n v="50"/>
    <m/>
    <m/>
    <s v="Oficina Asesora Prensa y Comunicaciones"/>
    <n v="3"/>
    <s v="Se realizarán 13 noticieros con su respectivas notas y presentaciones, recopilando la información en los diferentes eventos que se realicen en la entidad, se escribirán los textos y se editarán; para finalmente ser emitidos"/>
    <n v="0.25"/>
    <d v="2019-07-01T00:00:00"/>
    <d v="2019-09-30T00:00:00"/>
    <n v="0.05"/>
    <s v="Oficina Asesora Prensa y Comunicaciones"/>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s v="Noticiero &quot;Bomberos Hoy&quot;"/>
    <n v="0.2"/>
    <n v="50"/>
    <m/>
    <m/>
    <s v="Oficina Asesora Prensa y Comunicaciones"/>
    <n v="4"/>
    <s v="Se realizarán 12 noticieros con su respectivas notas y presentaciones, recopilando la información en los diferentes eventos que se realicen en la entidad, se escribirán los textos y se editarán; para finalmente ser emitidos"/>
    <n v="0.25"/>
    <d v="2019-10-01T00:00:00"/>
    <d v="2019-12-31T00:00:00"/>
    <n v="0.05"/>
    <s v="Oficina Asesora Prensa y Comunicaciones"/>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n v="3"/>
    <s v="Periódico virtual &quot;El Hidrante&quot;"/>
    <n v="0.15"/>
    <n v="50"/>
    <s v="Imagen enviada a través de correo electrónico a las cuentas de la UAECOB"/>
    <s v="En el año se realizarán 50 publicaciones, en las cuales se destacará la información de comunicación interna, para de esta forma mantener actualizado al personal de la UAECOB."/>
    <s v="Oficina Asesora Prensa y Comunicaciones"/>
    <n v="1"/>
    <s v="Se buscará la información en las diferentes áreas de la UAECOB, con el fin de diseñar en Illustratos el periódico virtual, el cual después de ser aprobado por el líder de comunicaciones, será emitido vía e-mail a la UAECOB. Para este trimestre se tiene como meta 12 periódicos"/>
    <n v="0.25"/>
    <d v="2019-01-01T00:00:00"/>
    <d v="2019-03-31T00:00:00"/>
    <n v="3.7499999999999999E-2"/>
    <s v="Oficina Asesora Prensa y Comunicaciones"/>
    <n v="1"/>
    <s v="Durante el trimestre se realizaron 12 Ediciones de El Hidrante periódico digital, el cual fue enviado a través de correo electrónico a la entidad."/>
    <n v="0.25"/>
    <n v="0.25"/>
    <n v="3.7499999999999999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s v="Periódico virtual &quot;El Hidrante&quot;"/>
    <n v="0.15"/>
    <n v="50"/>
    <m/>
    <m/>
    <s v="Oficina Asesora Prensa y Comunicaciones"/>
    <n v="2"/>
    <s v="Se buscará la información en las diferentes áreas de la UAECOB, con el fin de diseñar en Illustratos el periódico virtual, el cual después de ser aprobado por el líder de comunicaciones, será emitido vía e-mail a la UAECOB. Para este trimestre se tiene como meta 13 periódicos"/>
    <n v="0.25"/>
    <d v="2019-04-01T00:00:00"/>
    <d v="2019-06-30T00:00:00"/>
    <n v="3.7499999999999999E-2"/>
    <s v="Oficina Asesora Prensa y Comunicaciones"/>
    <n v="1"/>
    <s v="Durante el trimestre se realizaron 13 Ediciones de El Hidrante periódico digital, el cual fue enviado a través de correo electrónico a la entidad."/>
    <n v="0.25"/>
    <n v="0.25"/>
    <n v="3.7499999999999999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s v="Periódico virtual &quot;El Hidrante&quot;"/>
    <n v="0.15"/>
    <n v="50"/>
    <m/>
    <m/>
    <s v="Oficina Asesora Prensa y Comunicaciones"/>
    <n v="3"/>
    <s v="Se buscará la información en las diferentes áreas de la UAECOB, con el fin de diseñar en Illustratos el periódico virtual, el cual después de ser aprobado por el líder de comunicaciones, será emitido vía e-mail a la UAECOB. Para este trimestre se tiene como meta 13 periódicos"/>
    <n v="0.25"/>
    <d v="2019-07-01T00:00:00"/>
    <d v="2019-09-30T00:00:00"/>
    <n v="3.7499999999999999E-2"/>
    <s v="Oficina Asesora Prensa y Comunicaciones"/>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s v="Periódico virtual &quot;El Hidrante&quot;"/>
    <n v="0.15"/>
    <n v="50"/>
    <m/>
    <m/>
    <s v="Oficina Asesora Prensa y Comunicaciones"/>
    <n v="4"/>
    <s v="Se buscará la información en las diferentes áreas de la UAECOB, con el fin de diseñar en Illustratos el periódico virtual, el cual después de ser aprobado por el líder de comunicaciones, será emitido vía e-mail a la UAECOB. Para este trimestre se tiene como meta 12 periódicos"/>
    <n v="0.25"/>
    <d v="2019-10-01T00:00:00"/>
    <d v="2019-12-31T00:00:00"/>
    <n v="3.7499999999999999E-2"/>
    <s v="Oficina Asesora Prensa y Comunicaciones"/>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n v="4"/>
    <s v="Reportaje: Bomberos en acción"/>
    <n v="0.2"/>
    <n v="50"/>
    <s v="Video enviado a través de Redes Sociales y publicado en los noticieros de cada semana de la UAECOB"/>
    <s v="50 Videos enviado a través de Redes Sociales y publicado en los noticieros de cada semana de la UAECOB. De esta forma se mostrará a la comunidad la labor que realizan los Bomberos en materia de atención de incidentes"/>
    <s v="Oficina Asesora Prensa y Comunicaciones"/>
    <n v="1"/>
    <s v="Semanalmente se visitarán las estaciones de Bomberos para poder acompañarlos en las emergencias que surjan. Luego se editarán para ser emitidos en el noticiero. Pare este trimestre se tiene una meta de 12 crónicas"/>
    <n v="0.25"/>
    <d v="2019-01-01T00:00:00"/>
    <d v="2019-03-31T00:00:00"/>
    <n v="0.05"/>
    <s v="Oficina Asesora Prensa y Comunicaciones"/>
    <n v="1"/>
    <s v="Se cumplió en su totalidad el objetivo. Realizando 24 ediciones del producto denominado Bomberos en Acción"/>
    <n v="0.25"/>
    <n v="0.25"/>
    <n v="0.05"/>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s v="Reportaje: Bomberos en acción"/>
    <n v="0.2"/>
    <n v="50"/>
    <m/>
    <m/>
    <s v="Oficina Asesora Prensa y Comunicaciones"/>
    <n v="2"/>
    <s v="Semanalmente se visitarán las estaciones de Bomberos para poder acompañarlos en las emergencias que surjan. Luego se editarán para ser emitidos en el noticiero. Pare este trimestre se tiene una meta de 13 crónicas"/>
    <n v="0.25"/>
    <d v="2019-04-01T00:00:00"/>
    <d v="2019-06-30T00:00:00"/>
    <n v="0.05"/>
    <s v="Oficina Asesora Prensa y Comunicaciones"/>
    <n v="1"/>
    <s v="Durante el trimestre se realizaron 13 ediciones de Bomberos en Acción, los cuales fueron publicados en las Redes Sociales de la Entidad"/>
    <n v="0.25"/>
    <n v="0.25"/>
    <n v="0.05"/>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s v="Reportaje: Bomberos en acción"/>
    <n v="0.2"/>
    <n v="50"/>
    <m/>
    <m/>
    <s v="Oficina Asesora Prensa y Comunicaciones"/>
    <n v="3"/>
    <s v="Semanalmente se visitarán las estaciones de Bomberos para poder acompañarlos en las emergencias que surjan. Luego se editarán para ser emitidos en el noticiero. Pare este trimestre se tiene una meta de 13 crónicas"/>
    <n v="0.25"/>
    <d v="2019-07-01T00:00:00"/>
    <d v="2019-09-30T00:00:00"/>
    <n v="0.05"/>
    <s v="Oficina Asesora Prensa y Comunicaciones"/>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s v="Reportaje: Bomberos en acción"/>
    <n v="0.2"/>
    <n v="50"/>
    <m/>
    <m/>
    <s v="Oficina Asesora Prensa y Comunicaciones"/>
    <n v="4"/>
    <s v="Semanalmente se visitarán las estaciones de Bomberos para poder acompañarlos en las emergencias que surjan. Luego se editarán para ser emitidos en el noticiero. Pare este trimestre se tiene una meta de 12 crónicas"/>
    <n v="0.25"/>
    <d v="2019-10-01T00:00:00"/>
    <d v="2019-12-31T00:00:00"/>
    <n v="0.05"/>
    <s v="Oficina Asesora Prensa y Comunicaciones"/>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n v="5"/>
    <s v="La foto de la semana"/>
    <n v="0.1"/>
    <n v="50"/>
    <s v="Foto diagramada publicada en redes sociales"/>
    <s v="50 Fotos diagramada publicada en redes sociales. A través de una fotografía mostrar el incidente o hecho que haya sido relevante durante la semana y que por sí misma genere impacto visual"/>
    <s v="Oficina Asesora Prensa y Comunicaciones"/>
    <n v="1"/>
    <s v="Semanalmente en los acompañamientos a las emergencias que surjan en las visitas a las estaciones, se tomarán fotografías para determinar cual puede ser la más impactante y luego en illustrator se editará, con el fin de ponerle una leyenda del incidente, para finalmente ser emitida en redes sociales. Para este trimestre se tiene como meta 12 publicaciones"/>
    <n v="0.25"/>
    <d v="2019-01-01T00:00:00"/>
    <d v="2019-03-31T00:00:00"/>
    <n v="2.5000000000000001E-2"/>
    <s v="Oficina Asesora Prensa y Comunicaciones"/>
    <n v="1"/>
    <s v="Se cumplió en su totalidad el objetivo. Realizando las publicaciones de la meta, en las que de los incidentes se escoge una foto relevante y se convierte en la Foto de la Semana"/>
    <n v="0.25"/>
    <n v="0.25"/>
    <n v="2.5000000000000001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s v="La foto de la semana"/>
    <n v="0.1"/>
    <n v="50"/>
    <m/>
    <m/>
    <s v="Oficina Asesora Prensa y Comunicaciones"/>
    <n v="2"/>
    <s v="Semanalmente en los acompañamientos a las emergencias que surjan en las visitas a las estaciones, se tomarán fotografías para determinar cual puede ser la más impactante y luego en illustrator se editará, con el fin de ponerle una leyenda del incidente, para finalmente ser emitida en redes sociales. Para este trimestre se tiene como meta 13 publicaciones"/>
    <n v="0.25"/>
    <d v="2019-04-01T00:00:00"/>
    <d v="2019-06-30T00:00:00"/>
    <n v="2.5000000000000001E-2"/>
    <s v="Oficina Asesora Prensa y Comunicaciones"/>
    <n v="1"/>
    <s v="Se cumplió en su totalidad el objetivo. Realizando las publicaciones de la meta, en las que de los incidentes se escoge una foto relevante y se convierte en la Foto de la Semana"/>
    <n v="0.25"/>
    <n v="0.25"/>
    <n v="2.5000000000000001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s v="La foto de la semana"/>
    <n v="0.1"/>
    <n v="50"/>
    <m/>
    <m/>
    <s v="Oficina Asesora Prensa y Comunicaciones"/>
    <n v="3"/>
    <s v="Semanalmente en los acompañamientos a las emergencias que surjan en las visitas a las estaciones, se tomarán fotografías para determinar cual puede ser la más impactante y luego en illustrator se editará, con el fin de ponerle una leyenda del incidente, para finalmente ser emitida en redes sociales. Para este trimestre se tiene como meta 13 publicaciones"/>
    <n v="0.25"/>
    <d v="2019-07-01T00:00:00"/>
    <d v="2019-09-30T00:00:00"/>
    <n v="2.5000000000000001E-2"/>
    <s v="Oficina Asesora Prensa y Comunicaciones"/>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s v="La foto de la semana"/>
    <n v="0.1"/>
    <n v="50"/>
    <m/>
    <m/>
    <s v="Oficina Asesora Prensa y Comunicaciones"/>
    <n v="4"/>
    <s v="Semanalmente en los acompañamientos a las emergencias que surjan en las visitas a las estaciones, se tomarán fotografías para determinar cual puede ser la más impactante y luego en illustrator se editará, con el fin de ponerle una leyenda del incidente, para finalmente ser emitida en redes sociales. Para este trimestre se tiene como meta 12 publicaciones"/>
    <n v="0.25"/>
    <d v="2019-10-01T00:00:00"/>
    <d v="2019-12-31T00:00:00"/>
    <n v="2.5000000000000001E-2"/>
    <s v="Oficina Asesora Prensa y Comunicaciones"/>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n v="6"/>
    <s v="Crónica: Historias en Bomberos Bogotá"/>
    <n v="0.15"/>
    <n v="50"/>
    <s v="Video enviado a través de Redes Sociales y publicado en los noticieros de cada semana de la UAECOB"/>
    <s v="50 Video. Contar a través de videos las historias que suceden en las estaciones o a los bomberos y que son dignas de contar"/>
    <s v="Oficina Asesora Prensa y Comunicaciones"/>
    <n v="1"/>
    <s v="Se coordinarán con los distintos bomberos, historias que sean de interés general y que por medio de contarlas se pueda dar a conocer la misionalidad y la parte humana de los bomberos, se grabará en cada estación una crónica, se editará y luego será emitida en redes sociales. Para este trimestre se tiene contemplado hacer 12 crónicas"/>
    <n v="0.25"/>
    <d v="2019-01-01T00:00:00"/>
    <d v="2019-03-31T00:00:00"/>
    <n v="3.7499999999999999E-2"/>
    <s v="Oficina Asesora Prensa y Comunicaciones"/>
    <n v="1"/>
    <s v="Se cumplió en su totalidad el objetivo. Realizando 19 videos de historias, acontecimiento o realidades del la UAECOB en sus estaciones"/>
    <n v="0.25"/>
    <n v="0.25"/>
    <n v="3.7499999999999999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s v="Crónica: Historias en Bomberos Bogotá"/>
    <n v="0.15"/>
    <n v="50"/>
    <m/>
    <m/>
    <s v="Oficina Asesora Prensa y Comunicaciones"/>
    <n v="2"/>
    <s v="Se coordinarán con los distintos bomberos, historias que sean de interés general y que por medio de contarlas se pueda dar a conocer la misionalidad y la parte humana de los bomberos, se grabará en cada estación una crónica, se editará y luego será emitida en redes sociales. Para este trimestre se tiene contemplado hacer 13 crónicas"/>
    <n v="0.25"/>
    <d v="2019-04-01T00:00:00"/>
    <d v="2019-06-30T00:00:00"/>
    <n v="3.7499999999999999E-2"/>
    <s v="Oficina Asesora Prensa y Comunicaciones"/>
    <n v="1"/>
    <s v="Se cumplió en su totalidad el objetivo, realizando 13 videos de historias, acontecimiento o realidades del la UAECOB en sus estaciones"/>
    <n v="0.25"/>
    <n v="0.25"/>
    <n v="3.7499999999999999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s v="Crónica: Historias en Bomberos Bogotá"/>
    <n v="0.15"/>
    <n v="50"/>
    <m/>
    <m/>
    <s v="Oficina Asesora Prensa y Comunicaciones"/>
    <n v="3"/>
    <s v="Se coordinarán con los distintos bomberos, historias que sean de interés general y que por medio de contarlas se pueda dar a conocer la misionalidad y la parte humana de los bomberos, se grabará en cada estación una crónica, se editará y luego será emitida en redes sociales. Para este trimestre se tiene contemplado hacer 13 crónicas"/>
    <n v="0.25"/>
    <d v="2019-07-01T00:00:00"/>
    <d v="2019-09-30T00:00:00"/>
    <n v="3.7499999999999999E-2"/>
    <s v="Oficina Asesora Prensa y Comunicaciones"/>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m/>
    <s v="Crónica: Historias en Bomberos Bogotá"/>
    <n v="0.15"/>
    <n v="50"/>
    <m/>
    <m/>
    <s v="Oficina Asesora Prensa y Comunicaciones"/>
    <n v="4"/>
    <s v="Se coordinarán con los distintos bomberos, historias que sean de interés general y que por medio de contarlas se pueda dar a conocer la misionalidad y la parte humana de los bomberos, se grabará en cada estación una crónica, se editará y luego será emitida en redes sociales. Para este trimestre se tiene contemplado hacer 12 crónicas"/>
    <n v="0.25"/>
    <d v="2019-10-01T00:00:00"/>
    <d v="2019-12-31T00:00:00"/>
    <n v="3.7499999999999999E-2"/>
    <s v="Oficina Asesora Prensa y Comunicaciones"/>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Evaluación Independiente"/>
    <x v="1"/>
    <n v="1"/>
    <s v="Plan anual de auditoria vigencia 2019"/>
    <n v="1"/>
    <n v="1"/>
    <s v="Porcentaje"/>
    <s v="Realizar las diferentes actividades aprobadas y programadas en el Plan Anual de Auditorías para la vigencia 2019"/>
    <s v="Oficina de Control Interno"/>
    <n v="1"/>
    <s v="Gestionar el PAA para el 1er trimestre, cumpliendo con las siguientes actividades:_x000a_1. Adelantar la planeación. (Investigación documental, elaboración de plan de auditoría, memorandos, entre otros) 20%_x000a_2. Adelantar las actividades (mesas de trabajo, entrevistas, encuestas, recopilación de evidencias). 50% _x000a_3. Análisis de las evidencias y formulación de hallazgos u observaciones, plasmados en los informes. 20%_x000a_4. Entrega del informe final, reportes electrónicos, memorandos, a las partes interesadas. 10%"/>
    <n v="0.25"/>
    <d v="2019-01-01T00:00:00"/>
    <d v="2019-03-31T00:00:00"/>
    <n v="0.25"/>
    <s v="Oficina de Control Interno"/>
    <n v="1"/>
    <s v="La OCI  en cumplimiento del plan anual de auditorias vigencia 2019, planeó  y ejecutó 29 actividades asi:_x000a_-16 seguimientos (SIDEAP, PAAC, Plan de mejoramiento, cumplimiento Directivas, entre otros)_x000a_- 1 CCCI  (secretaría técnica)_x000a_-  7 Informes de Ley ( CI Contable, austeridad, evaluación por dependencias, entre otros)_x000a_- 1 reporte Furag_x000a_-  3 actividades para fortalecer el autocontrol_x000a_- 4 activides respuestas a Entes de Control y requerimientos de partes interesadas_x000a_Se encuentran 4 actividades en ejecución dentro de los términos programados en el Plan Anual de Auditorías cuyo vencimiento es en 2 trimestre de la vigencia, estas actividades se encuentran en la análisis de evidencias para la formulñación de hallazgos u observaciones_x000a_"/>
    <n v="0.25"/>
    <n v="0.25"/>
    <n v="0.25"/>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Evaluación Independiente"/>
    <x v="1"/>
    <m/>
    <s v="Plan anual de auditoria vigencia 2019"/>
    <n v="1"/>
    <n v="1"/>
    <m/>
    <m/>
    <s v="Oficina de Control Interno"/>
    <n v="2"/>
    <s v="Gestionar el PAA para el 2do trimestre, cumpliendo con las siguientes actividades:_x000a_1. Adelantar la planeación. (Investigación documental, elaboración de plan de auditoría, memorandos, entre otros) 20%_x000a_2. Adelantar las actividades (mesas de trabajo, entrevistas, encuestas, recopilación de evidencias). 50% _x000a_3. Análisis de las evidencias y formulación de hallazgos u observaciones, plasmados en los informes. 20%_x000a_4. Entrega del informe final, reporte electrónicos, memorandos, a las partes interesadas. 10%"/>
    <n v="0.25"/>
    <d v="2019-04-01T00:00:00"/>
    <d v="2019-06-30T00:00:00"/>
    <n v="0.25"/>
    <s v="Oficina de Control Interno"/>
    <n v="0.93"/>
    <s v="Para segundo trimestre se planearon 32 actividades que presentan el siguiente  estado de ejecución :_x000a_-  22 actividades en términos_x000a_-    5 ejecutados fuera de términos _x000a_-    5  en ejecución _x000a_Se realizaron auditorias, seguimientos, acompañmientos, actividades d fortalcimiento del control, respuestas requrerimientos, entre otros. Ls actividade que se encuentran ene ejcución finalizan su ciclo en el mes de julio."/>
    <n v="0.23250000000000001"/>
    <n v="0.21622500000000003"/>
    <n v="0.23250000000000001"/>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Evaluación Independiente"/>
    <x v="1"/>
    <m/>
    <s v="Plan anual de auditoria vigencia 2019"/>
    <n v="1"/>
    <n v="1"/>
    <m/>
    <m/>
    <s v="Oficina de Control Interno"/>
    <n v="3"/>
    <s v="Gestionar el PAA para el 3er trimestre, cumpliendo con las siguientes actividades:_x000a_1. Adelantar la planeación. (Investigación documental, elaboración de plan de auditoría, memorandos, entre otros) 20%_x000a_2. Adelantar las actividades (mesas de trabajo, entrevistas, encuestas, recopilación de evidencias). 50% _x000a_3. Análisis de las evidencias y formulación de hallazgos u observaciones, plasmados en los informes. 20%_x000a_4. Entrega del informe final, reporte electrónicos, memorandos, a las partes interesadas. 10%"/>
    <n v="0.25"/>
    <d v="2019-07-01T00:00:00"/>
    <s v="31/09/2019"/>
    <n v="0.25"/>
    <s v="Oficina de Control Interno"/>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Evaluación Independiente"/>
    <x v="1"/>
    <m/>
    <s v="Plan anual de auditoria vigencia 2019"/>
    <n v="1"/>
    <n v="1"/>
    <m/>
    <m/>
    <s v="Oficina de Control Interno"/>
    <n v="4"/>
    <s v="Gestionar el PAA para el 4to trimestre, cumpliendo con las siguientes actividades:_x000a_1. Adelantar la planeación. (Investigación documental, elaboración de plan de auditoría, memorandos, entre otros) 20%_x000a_2. Adelantar las actividades (mesas de trabajo, entrevistas, encuestas, recopilación de evidencias). 50% _x000a_3. Análisis de las evidencias y formulación de hallazgos u observaciones, plasmados en los informes. 20%_x000a_4. Entrega del informe final, reporte electrónicos, memorandos, a las partes interesadas. 10%"/>
    <n v="0.25"/>
    <d v="2019-10-01T00:00:00"/>
    <d v="2019-12-31T00:00:00"/>
    <n v="0.25"/>
    <s v="Oficina de Control Interno"/>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2"/>
    <n v="1"/>
    <s v="Plan de adecuación del Modelo Integrado de Planeación y Gestión - MIPG - y el Sistema Integrado de Gestión."/>
    <n v="6.25E-2"/>
    <n v="1"/>
    <s v="Porciento"/>
    <s v="100% Actividades cumplidas del plan de adecuación. En los estándares definidos en el Sistema Integrado de Gestión a los requerimientos del MIPG"/>
    <s v="Responsable del Sistema de Gestión de Calidad"/>
    <n v="1"/>
    <s v="Realizar estrategia de socialización del MIPG"/>
    <n v="0.111"/>
    <d v="2019-01-04T00:00:00"/>
    <d v="2019-02-28T00:00:00"/>
    <n v="6.9375000000000001E-3"/>
    <s v="Mejora continua"/>
    <n v="1"/>
    <s v="Se gestionó ante la Secretaria General el acompañamiento del Profesional Andrés Lara (par MIPG para el sector seguridad) para socializar ante el Comité Directivo del 14 de enero el Modelo MIPG y su implementación.  Se diseñó en coordinación con el SIG la estrategia de socialización para los servidores de la entidad y se solicitó a prensa el diseño de las piezas comunicacionales."/>
    <n v="0.111"/>
    <n v="0.111"/>
    <n v="6.9375000000000001E-3"/>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2"/>
    <m/>
    <s v="Plan de adecuación del Modelo Integrado de Planeación y Gestión - MIPG - y el Sistema Integrado de Gestión."/>
    <n v="6.25E-2"/>
    <n v="1"/>
    <m/>
    <m/>
    <s v="Responsable del Sistema de Gestión de Calidad"/>
    <n v="2"/>
    <s v="Elaborar el  documento de integración del MIPG y el SIG - UAECOB"/>
    <n v="0.111"/>
    <d v="2019-03-01T00:00:00"/>
    <d v="2019-03-31T00:00:00"/>
    <n v="6.9375000000000001E-3"/>
    <s v="Mejora continua"/>
    <n v="1"/>
    <s v="Se documento la integración de los procesos de la UAECOB con el MIPG en una matriz de excel"/>
    <n v="0.111"/>
    <n v="0.111"/>
    <n v="6.9375000000000001E-3"/>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2"/>
    <m/>
    <s v="Plan de adecuación del Modelo Integrado de Planeación y Gestión - MIPG - y el Sistema Integrado de Gestión."/>
    <n v="6.25E-2"/>
    <n v="1"/>
    <m/>
    <m/>
    <s v="Responsable del Sistema de Gestión de Calidad"/>
    <n v="3"/>
    <s v="Proyectar  resolución de creación del Comité Institucional de Gestión y Desempeño de la UAECOB, así como su aprobación."/>
    <n v="0.111"/>
    <d v="2019-04-01T00:00:00"/>
    <d v="2019-04-30T00:00:00"/>
    <n v="6.9375000000000001E-3"/>
    <s v="Mejora continua"/>
    <n v="1"/>
    <s v="Se proyectó la resolución con los ajustes propios a la realidad de la entidad y se gestionó la firma de los responsables de cada área.  Esta pendiente la firma de la OAJ y Dirección."/>
    <n v="0.111"/>
    <n v="0.111"/>
    <n v="6.9375000000000001E-3"/>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2"/>
    <m/>
    <s v="Plan de adecuación del Modelo Integrado de Planeación y Gestión - MIPG - y el Sistema Integrado de Gestión."/>
    <n v="6.25E-2"/>
    <n v="1"/>
    <m/>
    <m/>
    <s v="Responsable del Sistema de Gestión de Calidad"/>
    <n v="4"/>
    <s v="Solicitar a los líderes de cada una de las politicas de MIPG la conformación de los equipos técnicos de gestión y desempeño."/>
    <n v="0.111"/>
    <d v="2019-02-01T00:00:00"/>
    <d v="2019-05-31T00:00:00"/>
    <n v="6.9375000000000001E-3"/>
    <s v="Mejora continua"/>
    <n v="0.1"/>
    <s v="Se realizó la identificación de los lideres de las politicas de MIPG"/>
    <n v="1.11E-2"/>
    <n v="1.1100000000000001E-3"/>
    <n v="6.9375000000000003E-4"/>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2"/>
    <m/>
    <s v="Plan de adecuación del Modelo Integrado de Planeación y Gestión - MIPG - y el Sistema Integrado de Gestión."/>
    <n v="6.25E-2"/>
    <n v="1"/>
    <m/>
    <m/>
    <s v="Responsable del Sistema de Gestión de Calidad"/>
    <n v="5"/>
    <s v="Elaborar el documento con lineamientos para los equipos técnicos de gestión y desempeño"/>
    <n v="0.111"/>
    <d v="2019-02-01T00:00:00"/>
    <d v="2019-06-01T00:00:00"/>
    <n v="6.9375000000000001E-3"/>
    <s v="Mejora continua"/>
    <n v="0.3"/>
    <s v="Se realizó la identificación de los procesos y subprocesos responsables de las políticas de MIPG en una matriz.  Se encuentra en revisión final para su socialización en el comité institucional de Gestión y Desempeño."/>
    <n v="3.3299999999999996E-2"/>
    <n v="9.9899999999999989E-3"/>
    <n v="2.0812499999999998E-3"/>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2"/>
    <m/>
    <s v="Plan de adecuación del Modelo Integrado de Planeación y Gestión - MIPG - y el Sistema Integrado de Gestión."/>
    <n v="6.25E-2"/>
    <n v="1"/>
    <m/>
    <m/>
    <s v="Responsable del Sistema de Gestión de Calidad"/>
    <n v="6"/>
    <s v="Convocar 4 Sesiones Comité Institucional de Gestión y Desempeño"/>
    <n v="0.111"/>
    <d v="2019-02-01T00:00:00"/>
    <d v="2019-12-31T00:00:00"/>
    <n v="6.9375000000000001E-3"/>
    <s v="Mejora continua"/>
    <n v="0"/>
    <s v="Está pendiente la convocatoria al primer comité institucional"/>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2"/>
    <m/>
    <s v="Plan de adecuación del Modelo Integrado de Planeación y Gestión - MIPG - y el Sistema Integrado de Gestión."/>
    <n v="6.25E-2"/>
    <n v="1"/>
    <m/>
    <m/>
    <s v="Responsable del Sistema de Gestión de Calidad"/>
    <n v="7"/>
    <s v="Consolidar y reportar la información solicitada por el FURAG"/>
    <n v="0.111"/>
    <d v="2019-02-01T00:00:00"/>
    <d v="2019-06-30T00:00:00"/>
    <n v="6.9375000000000001E-3"/>
    <s v="Mejora continua"/>
    <n v="1"/>
    <s v="Se consolida y reporta la información solicitada por el FURAG"/>
    <n v="0.111"/>
    <n v="0.111"/>
    <n v="6.9375000000000001E-3"/>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2"/>
    <m/>
    <s v="Plan de adecuación del Modelo Integrado de Planeación y Gestión - MIPG - y el Sistema Integrado de Gestión."/>
    <n v="6.25E-2"/>
    <n v="1"/>
    <m/>
    <m/>
    <s v="Responsable del Sistema de Gestión de Calidad"/>
    <n v="8"/>
    <s v="Coordinar la realización de  los 16 autodiagnósticos para cada una de las políticas  en dos momentos distribuidos en los dos semestres del año"/>
    <n v="0.111"/>
    <d v="2019-02-01T00:00:00"/>
    <d v="2019-12-31T00:00:00"/>
    <n v="6.9375000000000001E-3"/>
    <s v="Mejora continua"/>
    <n v="0"/>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2"/>
    <m/>
    <s v="Plan de adecuación del Modelo Integrado de Planeación y Gestión - MIPG - y el Sistema Integrado de Gestión."/>
    <n v="6.25E-2"/>
    <n v="1"/>
    <m/>
    <m/>
    <s v="Responsable del Sistema de Gestión de Calidad"/>
    <n v="9"/>
    <s v="Solicitar a los lideres de cada una de las politicas de MIPG la elaboración del Plan de Acción de la política de su competencia"/>
    <n v="0.111"/>
    <d v="2019-02-01T00:00:00"/>
    <d v="2019-06-30T00:00:00"/>
    <n v="6.9375000000000001E-3"/>
    <s v="Mejora continua"/>
    <n v="1"/>
    <s v="Se realizó la identificación de los líderes de cada una de las políticas del MIPG"/>
    <n v="0.111"/>
    <n v="0.111"/>
    <n v="6.9375000000000001E-3"/>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2"/>
    <n v="2"/>
    <s v="Integracion de los procesos de SIG-MIPG"/>
    <n v="6.25E-2"/>
    <n v="12"/>
    <s v="Caracterizaciones de proceso publicadas"/>
    <s v="Actualizar el 100% de las caracterizaciones de proceso de la UAECOB"/>
    <s v="Responsable del Sistema de Gestión de Calidad"/>
    <n v="1"/>
    <s v="Documentar  las Caracterizaciones de los procesos: Gestión Estratégica, Gestión de Comunicaciones y Gestión Integrada. Gestión Administrativa, Gestión Tecnológica, Gestión Financiera."/>
    <n v="0.5"/>
    <d v="2019-02-04T00:00:00"/>
    <d v="2019-03-31T00:00:00"/>
    <n v="3.125E-2"/>
    <s v="Mejora continua"/>
    <n v="1"/>
    <s v="Se han realizado las mesas de trabajo con los procesos para documentar las respectivas caracterizaciones de gestión de comunicaciones, gestión estratégica, gestión integrada y gestión administrativa"/>
    <n v="0.5"/>
    <n v="0.5"/>
    <n v="3.1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2"/>
    <m/>
    <s v="Integracion de los procesos de SIG-MIPG"/>
    <n v="6.25E-2"/>
    <n v="12"/>
    <m/>
    <m/>
    <s v="Responsable del Sistema de Gestión de Calidad"/>
    <n v="2"/>
    <s v="Documentar  las  Caracterización de los procesos: Gestión del Parque Automotor, Gestión de Infraestructura, Gestión Jurídica,  Gestión para la Búsqueda y Rescate, Gestión de Asuntos Disciplinarios, Gestión Logística."/>
    <n v="0.5"/>
    <d v="2019-04-01T00:00:00"/>
    <d v="2019-06-30T00:00:00"/>
    <n v="3.125E-2"/>
    <s v="Mejora continua"/>
    <n v="1"/>
    <s v="Se han realizado las mesas de trabajo con los procesos para documentar las respectivas caracterizaciones de gestión del parque automotor, gestión de infraestructura, gestión jurídica, gestión de búsqueda y rescate, gestión de asuntos disciplinarios y gestión logística"/>
    <n v="0.5"/>
    <n v="0.5"/>
    <n v="3.1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2"/>
    <n v="3"/>
    <s v="Diagramas de Flujo de Proceso"/>
    <n v="6.25E-2"/>
    <n v="15"/>
    <s v="Diagramas de flujo de proceso publicados"/>
    <s v="Documentar los diagramas de flujo de proceso de acuerdo con las actualizaciones realizadas al mapa de proceso"/>
    <s v="Responsable del Sistema de Gestión de Calidad"/>
    <n v="1"/>
    <s v="Documentar  los Diagramas de flujo de proceso de: Gestión Estratégica, Gestión Humana, Gestión de las Comunicaciones, Gestión de Infraestructura,  Gestión Administrativa, Gestión Tecnológica, Gestión Financiera."/>
    <n v="0.5"/>
    <d v="2019-02-04T00:00:00"/>
    <d v="2019-03-31T00:00:00"/>
    <n v="3.125E-2"/>
    <s v="Mejora continua"/>
    <n v="0.2"/>
    <s v="Se han realizado las mesas de trabajo con los procesos para documentar las respectivos diagramas de flujo"/>
    <n v="0.1"/>
    <n v="2.0000000000000004E-2"/>
    <n v="6.2500000000000003E-3"/>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2"/>
    <m/>
    <s v="Diagramas de Flujo de Proceso"/>
    <n v="6.25E-2"/>
    <n v="15"/>
    <m/>
    <m/>
    <s v="Responsable del Sistema de Gestión de Calidad"/>
    <n v="2"/>
    <s v="Documentar  los Diagramas de flujo de proceso de: Gestión del Parque Automotor, Asuntos Disciplinarios, Gestión de Asuntos Jurídicos, Gestión para la Búsqueda y Rescate, Gestión MATPEL,  Gestión de Incendios, Reducción del Riesgo"/>
    <n v="0.5"/>
    <d v="2019-04-01T00:00:00"/>
    <d v="2019-06-30T00:00:00"/>
    <n v="3.125E-2"/>
    <s v="Mejora continua"/>
    <n v="0.15"/>
    <s v="No se cumplio debido a diferentes compromisos de los contratistas debido a atrasos en el coronograma de actividades. Sin embargo, los profesionales encargados estan realizando las mesas de trabajo para realizar a mas tardar el 30 de Agosto el producto. "/>
    <n v="7.4999999999999997E-2"/>
    <n v="1.125E-2"/>
    <n v="4.6874999999999998E-3"/>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2"/>
    <n v="4"/>
    <s v="Ventanilla única de atención ciudadano. "/>
    <n v="6.25E-2"/>
    <n v="100"/>
    <s v="Porcentaje"/>
    <s v="Implementación de un servicio y/o tramite en la ventanilla única de Atención al Ciudadano."/>
    <s v="Líder Área de Tecnología OAP - Mariano Garrido"/>
    <n v="1"/>
    <s v="Entrega por parte del consorcio de los servicios desarrollados "/>
    <n v="0.3"/>
    <d v="2019-01-01T00:00:00"/>
    <d v="2019-06-30T00:00:00"/>
    <n v="1.8749999999999999E-2"/>
    <s v="Luis Alberto Carmona"/>
    <n v="1"/>
    <s v="Se actualizo la base de datos del liquidador con la estructura que va a recibir la información de los impuestos (ICA) consolidado del año anterior."/>
    <n v="0.3"/>
    <n v="0.3"/>
    <n v="1.8749999999999999E-2"/>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2"/>
    <m/>
    <s v="Ventanilla única de atención ciudadano. "/>
    <n v="6.25E-2"/>
    <n v="100"/>
    <m/>
    <m/>
    <s v="Líder Área de Tecnología OAP - Mariano Garrido"/>
    <n v="2"/>
    <s v="Pruebas y ajustes de los servicios desarrollados"/>
    <n v="0.3"/>
    <d v="2019-06-30T00:00:00"/>
    <d v="2019-09-30T00:00:00"/>
    <n v="1.8749999999999999E-2"/>
    <s v="Luis Alberto Carmona"/>
    <n v="1"/>
    <s v="Se llevó a cabo la reunión para hacer entrega de los sistemas de administración y liquidador de servicios de conceptos de revisiones técnicas del SIM. Estas aplicaciones son adyacentes al sistema de información misional (SIM) actual, que actúan como apoyo al proceso de pago del servicio de concepto de revisiones técnicas._x000a__x000a_1. Sistema Administrador Liquidador Misional (SALM): Sistema que permite administrar los usuarios que se les asignan a las empresas para que puedan generar e imprimir y el recibo de liquidación por conceptos de revisiones técnicas._x000a__x000a_2. Sistema Liquidador Misional (SLM): Sistema que le permite a las empresas generar e imprimir el recibo de liquidación por conceptos de revisiones técnicas._x000a__x000a_3. Manuales de Usuarios (SALM) y (SLM)._x000a_Los sistemas actualmente se encuentran instalados en producción y entrarán en funcionamiento cuando se termine el proceso de depuración los registros de la base de datos de &lt;EMPRESAS&gt; del sistema SIM y la resolución que da soporte a la formulación implementada en la aplicación (SLM)._x000a_"/>
    <n v="0.3"/>
    <n v="0.3"/>
    <n v="1.8749999999999999E-2"/>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2"/>
    <m/>
    <s v="Ventanilla única de atención ciudadano. "/>
    <n v="6.25E-2"/>
    <n v="100"/>
    <m/>
    <m/>
    <s v="Líder Área de Tecnología OAP - Mariano Garrido"/>
    <n v="3"/>
    <s v="Publicacion en la pagina web"/>
    <n v="0.4"/>
    <d v="2019-09-30T00:00:00"/>
    <d v="2019-11-30T00:00:00"/>
    <n v="2.5000000000000001E-2"/>
    <s v="Luis Alberto Carmona"/>
    <m/>
    <m/>
    <n v="0"/>
    <n v="0"/>
    <n v="0"/>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2"/>
    <n v="5"/>
    <s v="Diseño, desarrollo e implementación de la nueva intranet para la UAECOB"/>
    <n v="6.25E-2"/>
    <n v="100"/>
    <s v="Porcentaje"/>
    <s v="Realizar el diseño, desarrollo de la nueva Intranet para la UAECOB"/>
    <s v="Líder Área de Tecnología OAP - Mariano Garrido"/>
    <n v="1"/>
    <s v="Diseño de la Intranet"/>
    <n v="0.25"/>
    <d v="2019-01-01T00:00:00"/>
    <d v="2019-06-30T00:00:00"/>
    <n v="1.5625E-2"/>
    <s v="Juan Carlos Camacho"/>
    <n v="1"/>
    <s v="Se hizo las adecuaciones en el servidor http://172.16.92.27, se instala los siguientes componentes: PHP, MYSQL, APACHE y las correspondientes extensiones para el funcionamiento de Drupal como sistema de CMS de la Intranet de UAECOB"/>
    <n v="0.25"/>
    <n v="0.25"/>
    <n v="1.5625E-2"/>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2"/>
    <m/>
    <s v="Diseño, desarrollo e implementación de la nueva intranet para la UAECOB"/>
    <n v="6.25E-2"/>
    <n v="100"/>
    <m/>
    <m/>
    <s v="Líder Área de Tecnología OAP - Mariano Garrido"/>
    <n v="2"/>
    <s v="Desarrollo de la Intranet"/>
    <n v="0.25"/>
    <d v="2019-06-30T00:00:00"/>
    <d v="2019-09-30T00:00:00"/>
    <n v="1.5625E-2"/>
    <s v="Juan Carlos Camacho"/>
    <n v="1"/>
    <s v="Se realizó la instalación de los componentes del CMS para la nueva intranet de la UAECOB y se empieza estructurar el desarrollo de sitio en cual se puede verificar en: http://172.16.92.27/intranet"/>
    <n v="0.25"/>
    <n v="0.25"/>
    <n v="1.5625E-2"/>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2"/>
    <m/>
    <s v="Diseño, desarrollo e implementación de la nueva intranet para la UAECOB"/>
    <n v="6.25E-2"/>
    <n v="100"/>
    <m/>
    <m/>
    <s v="Líder Área de Tecnología OAP - Mariano Garrido"/>
    <n v="3"/>
    <s v="Implementación y funcionamiento"/>
    <n v="0.25"/>
    <d v="2019-09-30T00:00:00"/>
    <d v="2019-10-30T00:00:00"/>
    <n v="1.5625E-2"/>
    <s v="Juan Carlos Camacho"/>
    <m/>
    <m/>
    <n v="0"/>
    <n v="0"/>
    <n v="0"/>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2"/>
    <m/>
    <s v="Diseño, desarrollo e implementación de la nueva intranet para la UAECOB"/>
    <n v="6.25E-2"/>
    <n v="100"/>
    <m/>
    <m/>
    <s v="Líder Área de Tecnología OAP - Mariano Garrido"/>
    <n v="4"/>
    <s v="Socializacion al interior de la Entidad"/>
    <n v="0.25"/>
    <d v="2019-10-30T00:00:00"/>
    <d v="2019-12-30T00:00:00"/>
    <n v="1.5625E-2"/>
    <s v="Juan Carlos Camacho"/>
    <m/>
    <m/>
    <n v="0"/>
    <n v="0"/>
    <n v="0"/>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2"/>
    <n v="6"/>
    <s v="Transición de la Estrategia de Gobierno en linea a la implementacion de la Política de Gobierno Digital "/>
    <n v="6.25E-2"/>
    <n v="100"/>
    <s v="Porcentaje"/>
    <s v="Diseño, Revision, estructutacion e implementacion  de la Politica de Gobierno Digital al interior de la UAECOB   "/>
    <s v="Líder Área de Tecnología OAP - Mariano Garrido"/>
    <n v="1"/>
    <s v="Revisión de la actividades de Gobierno En linea"/>
    <n v="0.33"/>
    <d v="2019-01-01T00:00:00"/>
    <d v="2019-06-30T00:00:00"/>
    <n v="2.0625000000000001E-2"/>
    <s v="Juan Carlos Camacho"/>
    <n v="1"/>
    <s v="Se revisaron las actividades realizadas en Gobierno En línea y con el fin de ajustar a las nuevas actividades para la implementación de Gobierno Digital se realiza la autoevaluación con la herramienta de la Alta Consejería"/>
    <n v="0.33"/>
    <n v="0.33"/>
    <n v="2.0625000000000001E-2"/>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2"/>
    <m/>
    <s v="Transición de la Estrategia de Gobierno en linea a la implementacion de la Política de Gobierno Digital "/>
    <n v="6.25E-2"/>
    <n v="100"/>
    <m/>
    <m/>
    <s v="Líder Área de Tecnología OAP - Mariano Garrido"/>
    <n v="2"/>
    <s v="Diseño de las nuevas actividades de Gobierno Digital"/>
    <n v="0.33"/>
    <d v="2019-06-30T00:00:00"/>
    <d v="2019-10-30T00:00:00"/>
    <n v="2.0625000000000001E-2"/>
    <s v="Juan Carlos Camacho"/>
    <n v="1"/>
    <s v="Se da sostenibilidad a los componentes de Gobierno Digital y se empieza a estructurar e implementar los primeros trámites en línea de la UAECOB: Tramite en línea SIREP:  http://www.bomberosbogota.gov.co/?q=content/sirep_x000a_En desarrollo: Capacitación Comunitaria y Acompañamientos en Simulacros: http://172.16.92.18/WEB/  _x000a_"/>
    <n v="0.33"/>
    <n v="0.33"/>
    <n v="2.0625000000000001E-2"/>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2"/>
    <m/>
    <s v="Transición de la Estrategia de Gobierno en linea a la implementacion de la Política de Gobierno Digital "/>
    <n v="6.25E-2"/>
    <n v="100"/>
    <m/>
    <m/>
    <s v="Líder Área de Tecnología OAP - Mariano Garrido"/>
    <n v="3"/>
    <s v="Seguimiento de las actividades de Gobierno Digital"/>
    <n v="0.34"/>
    <d v="2019-10-30T00:00:00"/>
    <d v="2019-12-30T00:00:00"/>
    <n v="2.1250000000000002E-2"/>
    <s v="Juan Carlos Camacho"/>
    <m/>
    <m/>
    <n v="0"/>
    <n v="0"/>
    <n v="0"/>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2"/>
    <n v="7"/>
    <s v="Aplicación móvil para el sistema de información Misional Implementada"/>
    <n v="6.25E-2"/>
    <n v="100"/>
    <s v="Porcentaje"/>
    <s v="Una aplicación móvil para la gestión de los incidentes atendidos por el personal operativo del UEACOP."/>
    <s v="Líder Área de Tecnología OAP - Mariano Garrido"/>
    <n v="1"/>
    <s v="Puesta en producción de la solución desarrollada."/>
    <n v="1"/>
    <d v="2019-01-30T00:00:00"/>
    <d v="2019-04-30T00:00:00"/>
    <n v="6.25E-2"/>
    <s v="Iván Medina"/>
    <n v="1"/>
    <s v="Se entregan las Tablet y se evidencia en memorando del 30 de mayo del 2019 con numero radicado 2019I008626 donde se da inicio a unas modificaciones y mejoras a las mismas"/>
    <n v="1"/>
    <n v="1"/>
    <n v="6.25E-2"/>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2"/>
    <n v="8"/>
    <s v="Herramienta tecnológica para la creación y administración de cursos virtuales en la UEA implementada"/>
    <n v="6.25E-2"/>
    <n v="100"/>
    <s v="Porcentaje"/>
    <s v="Herramienta implementada"/>
    <s v="Líder Área de Tecnología OAP - Mariano Garrido"/>
    <n v="1"/>
    <s v="Puesta en producción de la solución desarrollada."/>
    <n v="1"/>
    <d v="2019-01-01T00:00:00"/>
    <d v="2019-03-30T00:00:00"/>
    <n v="6.25E-2"/>
    <s v="Diana Poveda"/>
    <n v="1"/>
    <s v="La herramienta CMS Moodle se encuentra implementada, instalada y configurada en un servidor de la UAECOB su objetivo era incorporar únicamente cursos virtuales del área de SGR, se implementó un curso virtual que cuenta con un avance importante pero no salió a producción debido a que no se entregó por parte de SGR la totalidad de los insumos del curso. Por otro lado, la Entidad adquirió el LMS Docebo en enero del 2019 como herramienta tecnológica para la creación y administración de los cursos virtuales dicha plataforma se encuentra instalada y configurada, en este sentido, se   configuraran y crearan paulatinamente los cursos que propongan y entreguen contenidos de las áreas interesadas de la Entidad y se realizara la migración de lo que se tiene del curso de SGR en Moodle a Docebo."/>
    <n v="1"/>
    <n v="1"/>
    <n v="6.25E-2"/>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2"/>
    <n v="9"/>
    <s v="Herramienta tecnológica para la administración y gestión documental de la UAECOB Implementada."/>
    <n v="6.25E-2"/>
    <n v="100"/>
    <s v="Porcentaje"/>
    <s v="Implementar una herramienta tecnológica que soporte  la gestión documental en la entidad, bajo la administración de la Subdirección Corporativa."/>
    <s v="Líder Área de Tecnología OAP - Mariano Garrido"/>
    <n v="1"/>
    <s v="Puesta en producción de la solución desarrollada"/>
    <n v="1"/>
    <d v="2019-01-01T00:00:00"/>
    <d v="2019-03-30T00:00:00"/>
    <n v="6.25E-2"/>
    <s v="Diana Poveda"/>
    <n v="1"/>
    <s v="En el marco del Contrato No. 431 de 2017 “IMPLEMENTACIÓN DEL SISTEMA DE GESTIÓN DOCUMENTAL DE LA UAE CUERPO OFICIAL DE BOMBEROS”, se realizó la implementación del Software CONTROLDOC® que permite radicar, producir, tramitar y hacer seguimiento a comunicaciones oficiales de la entidad. Esta herramienta Documental salió a producción el 18 de marzo del 2019 en la Entidad."/>
    <n v="1"/>
    <n v="1"/>
    <n v="6.25E-2"/>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2"/>
    <n v="10"/>
    <s v="Levantamiento de inventario de activos de Información de Software, hardware y servicios"/>
    <n v="6.25E-2"/>
    <n v="100"/>
    <s v="Porcentaje"/>
    <s v="Cuadro de caracterización documental de los procedimientos actualizados."/>
    <s v="Líder Área de Tecnología OAP - Mariano Garrido"/>
    <n v="1"/>
    <s v="Caracterización de cada uno de los activos de información (inventario de activos de Información de Software, hardware y servicios)"/>
    <n v="0.5"/>
    <d v="2019-01-01T00:00:00"/>
    <d v="2019-06-30T00:00:00"/>
    <n v="3.125E-2"/>
    <s v="Andrés Veloza Garibello"/>
    <n v="1"/>
    <s v="Se realizará seguimiento y control al área de gestión documental con el fin de concatenar la información restante mediante memorando"/>
    <n v="0.5"/>
    <n v="0.5"/>
    <n v="3.125E-2"/>
  </r>
  <r>
    <s v="7. Gobierno Legítimo, fortalecimiento Local y eficiencia"/>
    <s v="92. Optimizar sistemas de información implementados y optimizados"/>
    <s v="4. Fortalecer la capacidad de gestión y desarrollo institucional e interinstitucional, para consolidar la modernización de la UAECOB y llevarla a la excelencia"/>
    <s v="Gestión Tecnológica"/>
    <x v="2"/>
    <m/>
    <s v="Levantamiento de inventario de activos de Información de Software, hardware y servicios"/>
    <n v="6.25E-2"/>
    <n v="100"/>
    <s v="Porcentaje"/>
    <s v="Cuadro de caracterización documental de los procedimientos actualizados."/>
    <s v="Líder Área de Tecnología OAP - Mariano Garrido"/>
    <n v="2"/>
    <s v="Alimentación de la caracterización documental. "/>
    <n v="0.5"/>
    <d v="2019-06-01T00:00:00"/>
    <d v="2019-12-30T00:00:00"/>
    <n v="3.125E-2"/>
    <s v="Andrés Veloza Garibello"/>
    <m/>
    <m/>
    <n v="0"/>
    <n v="0"/>
    <n v="0"/>
  </r>
  <r>
    <s v="7. Gobierno Legítimo, fortalecimiento Local y eficiencia"/>
    <s v="92.  Optimizar sistemas de información para optimizar la gestión (hardware y software)"/>
    <s v="4. Fortalecer la capacidad de gestión y desarrollo institucional e interinstitucional, para consolidar la modernización de la UAECOB y llevarla a la excelencia"/>
    <s v="Gestión Tecnológica"/>
    <x v="2"/>
    <n v="11"/>
    <s v="Diseño, desarrollo e implementación del nuevo Sistema de Información Misional para la UAECOB"/>
    <n v="6.25E-2"/>
    <n v="100"/>
    <s v="Porcentaje"/>
    <s v="Realizar la contratación de un proveedor para el diseño y desarrollo del Nuevo Sistema de Información Misional para la Entidad"/>
    <s v="Líder Área de Tecnología OAP - Mariano Garrido"/>
    <n v="1"/>
    <s v="Levantamiento de información de funcionabilidad y características por area"/>
    <n v="0.25"/>
    <d v="2019-01-01T00:00:00"/>
    <d v="2019-06-30T00:00:00"/>
    <n v="1.5625E-2"/>
    <s v="Andrea Acosta Madrid - Luis Alberto Carmona"/>
    <n v="1"/>
    <s v="Se realizan reuniones con las diferentes áreas con el fin de fortalecer las funcionalidades y características, se realiza entrega final._x000a_"/>
    <n v="0.25"/>
    <n v="0.25"/>
    <n v="1.5625E-2"/>
  </r>
  <r>
    <s v="7. Gobierno Legítimo, fortalecimiento Local y eficiencia"/>
    <s v="92.  Optimizar sistemas de información para optimizar la gestión (hardware y software)"/>
    <s v="4. Fortalecer la capacidad de gestión y desarrollo institucional e interinstitucional, para consolidar la modernización de la UAECOB y llevarla a la excelencia"/>
    <s v="Gestión Tecnológica"/>
    <x v="2"/>
    <m/>
    <s v="Diseño, desarrollo e implementación del nuevo Sistema de Información Misional para la UAECOB"/>
    <n v="6.25E-2"/>
    <n v="100"/>
    <m/>
    <m/>
    <s v="Líder Área de Tecnología OAP - Mariano Garrido"/>
    <n v="2"/>
    <s v="Estructuración y presentación y radicación de los estudios previos"/>
    <n v="0.25"/>
    <d v="2019-01-01T00:00:00"/>
    <d v="2019-06-30T00:00:00"/>
    <n v="1.5625E-2"/>
    <s v="Mariano Garrido"/>
    <n v="1"/>
    <s v="Según memorando 2019I009375 del 17 de junio de 2019 se radicaron en la oficina jurídica los estudios previos, estudios de mercado, estudios del sector, matriz de riesgo y documentos soporte para la contratación del sistema de información misional."/>
    <n v="0.25"/>
    <n v="0.25"/>
    <n v="1.5625E-2"/>
  </r>
  <r>
    <s v="7. Gobierno Legítimo, fortalecimiento Local y eficiencia"/>
    <s v="92.  Optimizar sistemas de información para optimizar la gestión (hardware y software)"/>
    <s v="4. Fortalecer la capacidad de gestión y desarrollo institucional e interinstitucional, para consolidar la modernización de la UAECOB y llevarla a la excelencia"/>
    <s v="Gestión Tecnológica"/>
    <x v="2"/>
    <m/>
    <s v="Diseño, desarrollo e implementación del nuevo Sistema de Información Misional para la UAECOB"/>
    <n v="6.25E-2"/>
    <n v="100"/>
    <m/>
    <m/>
    <s v="Líder Área de Tecnología OAP - Mariano Garrido"/>
    <n v="3"/>
    <s v="Seguimiento estapa precontractual"/>
    <n v="0.25"/>
    <d v="2019-01-01T00:00:00"/>
    <d v="2019-09-30T00:00:00"/>
    <n v="1.5625E-2"/>
    <s v="Mariano Garrido"/>
    <m/>
    <m/>
    <n v="0"/>
    <n v="0"/>
    <n v="0"/>
  </r>
  <r>
    <s v="7. Gobierno Legítimo, fortalecimiento Local y eficiencia"/>
    <s v="92.  Optimizar sistemas de información para optimizar la gestión (hardware y software)"/>
    <s v="4. Fortalecer la capacidad de gestión y desarrollo institucional e interinstitucional, para consolidar la modernización de la UAECOB y llevarla a la excelencia"/>
    <s v="Gestión Tecnológica"/>
    <x v="2"/>
    <m/>
    <s v="Diseño, desarrollo e implementación del nuevo Sistema de Información Misional para la UAECOB"/>
    <n v="6.25E-2"/>
    <n v="100"/>
    <m/>
    <m/>
    <s v="Líder Área de Tecnología OAP - Mariano Garrido"/>
    <n v="4"/>
    <s v="Seguimiento etapa contractual"/>
    <n v="0.25"/>
    <d v="2019-04-01T00:00:00"/>
    <d v="2019-12-30T00:00:00"/>
    <n v="1.5625E-2"/>
    <s v="Mariano Garrido"/>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x v="2"/>
    <n v="12"/>
    <s v="Guía de Buenas Prácticas UAECOB 2019"/>
    <n v="6.25E-2"/>
    <n v="1"/>
    <s v="Unidad"/>
    <s v="Un documento guía de Buenas Prácticas UAECOB actualizada con los datos e información de resultados de 2018, así como la identificación de nuevas buenas prácticas"/>
    <s v="Grupo Cooperación Internacional y Alianzas Estratégicas"/>
    <n v="1"/>
    <s v="Revisar, recopilar y actualizar la información de las buenas prácticas identificadas"/>
    <n v="1"/>
    <d v="2019-01-01T00:00:00"/>
    <d v="2019-04-30T00:00:00"/>
    <n v="6.25E-2"/>
    <s v="Cooperacion "/>
    <n v="1"/>
    <s v="Se identificó y recopilo una nueva practica para incluir en la guía y se actualizo la información de las buenas practicas 2018"/>
    <n v="1"/>
    <n v="1"/>
    <n v="6.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x v="2"/>
    <n v="13"/>
    <s v="Portafolio de Servicios UAECOB 2019"/>
    <n v="6.25E-2"/>
    <n v="100"/>
    <s v="Porcentaje"/>
    <s v="Un documento con el portafolio de servicios UAECOB actualizado con los datos e información de resultados de 2018."/>
    <s v="Grupo Cooperación Internacional y Alianzas Estratégicas"/>
    <n v="1"/>
    <s v="Revisar, recopilar y actualizar la información del portafolio de servicios "/>
    <n v="1"/>
    <d v="2019-01-01T00:00:00"/>
    <d v="2019-04-30T00:00:00"/>
    <n v="6.25E-2"/>
    <s v="Cooperacion "/>
    <n v="1"/>
    <s v="Se actualizó el Portafolio de Servicios  UAECOB con la datos e información de resultados de 2018."/>
    <n v="1"/>
    <n v="1"/>
    <n v="6.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x v="2"/>
    <n v="14"/>
    <s v="Jornadas de articulación con la Academia"/>
    <n v="6.25E-2"/>
    <n v="2"/>
    <s v="Und"/>
    <s v="Se realizarán en el año 2 actividades de articulación con la Academia, donde se promueve la interlocución con universidades e instituciones de educación superior y técnica sobre temas de interés relacionados con las actividades bomberiles"/>
    <s v="Grupo Cooperación Internacional y Alianzas Estratégicas"/>
    <n v="1"/>
    <s v="Realizar una actividad de articulación con la academia correspondiente al 1er semestre, gestionando la participación de al menos una institución, seleccionando el tema y realizar convocatoria."/>
    <n v="0.5"/>
    <d v="2019-01-01T00:00:00"/>
    <d v="2019-05-30T00:00:00"/>
    <n v="3.125E-2"/>
    <s v="Cooperacion "/>
    <n v="1"/>
    <s v="El tema de la jornada de articulación fue sobre el manejo de abejas urbanas y las emergencias; y se realizó el 20 de mayo"/>
    <n v="0.5"/>
    <n v="0.5"/>
    <n v="3.1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x v="2"/>
    <m/>
    <s v="Jornadas de articulación con la Academia"/>
    <n v="6.25E-2"/>
    <n v="2"/>
    <s v="Und"/>
    <m/>
    <s v="Grupo Cooperación Internacional y Alianzas Estratégicas"/>
    <n v="2"/>
    <s v="Realizar una actividad de articulación con la academia correspondientes al 2do semestre, gestionando la participación de al menos una institución, seleccionando el tema y realizar convocatoria"/>
    <n v="0.5"/>
    <d v="2019-06-01T00:00:00"/>
    <d v="2019-08-30T00:00:00"/>
    <n v="3.125E-2"/>
    <s v="Cooperacion "/>
    <n v="0.1"/>
    <s v="Se identificó el tema de interés y posibles actores de la jornada de articulación con la academia en incendios forestales"/>
    <n v="0.05"/>
    <n v="5.000000000000001E-3"/>
    <n v="3.1250000000000002E-3"/>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x v="2"/>
    <n v="15"/>
    <s v="Modelo de caracterización del relacionamiento de la UAECOB con sus grupos de interés"/>
    <n v="6.25E-2"/>
    <n v="100"/>
    <s v="Porcentaje"/>
    <s v="Se entregará un modelo que describa los elementos fundamentales bajo los cuales se desarrolla la articulación de la UAECOB con sus aliados estratégicos"/>
    <s v="Grupo Cooperación Internacional y Alianzas Estratégicas"/>
    <n v="1"/>
    <s v="Identificación Grupos de Interés de la UAECOB"/>
    <n v="0.25"/>
    <d v="2019-01-01T00:00:00"/>
    <d v="2019-03-30T00:00:00"/>
    <n v="1.5625E-2"/>
    <s v="Cooperacion "/>
    <n v="1"/>
    <s v="Se identificaron los grupos de interés de la UAECOB"/>
    <n v="0.25"/>
    <n v="0.25"/>
    <n v="1.56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x v="2"/>
    <m/>
    <s v="Modelo de caracterización del relacionamiento de la UAECOB con sus grupos de interés"/>
    <n v="6.25E-2"/>
    <n v="100"/>
    <s v="Und"/>
    <m/>
    <s v="Grupo Cooperación Internacional y Alianzas Estratégicas"/>
    <n v="2"/>
    <s v="Recopilación y revisión de la información "/>
    <n v="0.35"/>
    <d v="2019-04-01T00:00:00"/>
    <d v="2019-05-30T00:00:00"/>
    <n v="2.1874999999999999E-2"/>
    <s v="Cooperacion "/>
    <n v="1"/>
    <s v="Se recopiló la información del relacionamiento del grupo de interés y se sistematizó en una estrategia de cooperación internacional y alianzas estratégicas  "/>
    <n v="0.35"/>
    <n v="0.35"/>
    <n v="2.1874999999999999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x v="2"/>
    <m/>
    <s v="Modelo de caracterización del relacionamiento de la UAECOB con sus grupos de interés"/>
    <n v="6.25E-2"/>
    <n v="100"/>
    <s v="Und"/>
    <m/>
    <s v="Grupo Cooperación Internacional y Alianzas Estratégicas"/>
    <n v="3"/>
    <s v="Diseño del modelo "/>
    <n v="0.25"/>
    <d v="2019-06-01T00:00:00"/>
    <d v="2019-06-30T00:00:00"/>
    <n v="1.5625E-2"/>
    <s v="Cooperacion "/>
    <n v="1"/>
    <s v="El diseño del modelo se presentó en un formato de modelo Canvas adaptado"/>
    <n v="0.25"/>
    <n v="0.25"/>
    <n v="1.56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x v="2"/>
    <m/>
    <s v="Modelo de caracterización del relacionamiento de la UAECOB con sus grupos de interés"/>
    <n v="6.25E-2"/>
    <n v="100"/>
    <m/>
    <m/>
    <s v="Grupo Cooperación Internacional y Alianzas Estratégicas"/>
    <n v="4"/>
    <s v="Publicación y socialización del modelo"/>
    <n v="0.15"/>
    <d v="2019-07-01T00:00:00"/>
    <d v="2019-09-30T00:00:00"/>
    <n v="9.3749999999999997E-3"/>
    <s v="Cooperacion "/>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x v="2"/>
    <n v="16"/>
    <s v="Seguimiento y control de los Planes e Indicadores que Gestiona la Entidad"/>
    <n v="6.25E-2"/>
    <n v="100"/>
    <s v="Porcentaje"/>
    <s v="Generar los Informes trimestrales con los resultados de los planes e indicadores que gestiona la Entidad "/>
    <s v="Area de Planeación y Gestión Estrategica - OAP"/>
    <n v="1"/>
    <s v="Generar los informes que contengan los resultados de (Plan de Acción, Informe Proyectos de Inversión (Metas y Presupuesto), Plan de Participación Ciudadana, y Tablero de Indicadores), correspondiente a la gestión del 1er trimestre."/>
    <n v="0.25"/>
    <d v="2019-01-01T00:00:00"/>
    <d v="2019-03-31T00:00:00"/>
    <n v="1.5625E-2"/>
    <s v="Cooperacion "/>
    <n v="1"/>
    <s v="Se generan los informes respectivos "/>
    <n v="0.25"/>
    <n v="0.25"/>
    <n v="1.56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x v="2"/>
    <m/>
    <s v="Seguimiento y control de los Planes e Indicadores que Gestiona la Entidad"/>
    <n v="6.25E-2"/>
    <n v="100"/>
    <m/>
    <m/>
    <s v="Area de Planeación y Gestión Estrategica - OAP"/>
    <n v="2"/>
    <s v="Generar los informes que contengan los resultados de (Plan de Acción, Informe Proyectos de Inversión (Metas y Presupuesto), Plan de Participación Ciudadana, y Tablero de Indicadores), correspondiente a la gestión del 2do trimestre."/>
    <n v="0.25"/>
    <d v="2019-04-01T00:00:00"/>
    <d v="2019-06-30T00:00:00"/>
    <n v="1.5625E-2"/>
    <s v="Cooperacion "/>
    <n v="1"/>
    <s v="Se generan los informes respectivos "/>
    <n v="0.25"/>
    <n v="0.25"/>
    <n v="1.56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x v="2"/>
    <m/>
    <s v="Seguimiento y control de los Planes e Indicadores que Gestiona la Entidad"/>
    <n v="6.25E-2"/>
    <n v="100"/>
    <m/>
    <m/>
    <s v="Area de Planeación y Gestión Estrategica - OAP"/>
    <n v="3"/>
    <s v="Generar los informes que contengan los resultados de (Plan de Acción, Informe Proyectos de Inversión (Metas y Presupuesto), Plan de Participación Ciudadana, y Tablero de Indicadores), correspondiente a la gestión del 3er trimestre."/>
    <n v="0.25"/>
    <d v="2019-07-01T00:00:00"/>
    <d v="2019-09-30T00:00:00"/>
    <n v="1.5625E-2"/>
    <s v="Cooperacion "/>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Estratégica"/>
    <x v="2"/>
    <m/>
    <s v="Seguimiento y control de los Planes e Indicadores que Gestiona la Entidad"/>
    <n v="6.25E-2"/>
    <n v="100"/>
    <m/>
    <m/>
    <s v="Area de Planeación y Gestión Estrategica - OAP"/>
    <n v="4"/>
    <s v="Generar los informes que contengan los resultados de (Plan de Acción, Informe Proyectos de Inversión (Metas y Presupuesto), Plan de Participación Ciudadana, y Tablero de Indicadores), correspondiente a la gestión del 4to trimestre."/>
    <n v="0.25"/>
    <d v="2019-10-01T00:00:00"/>
    <d v="2019-12-31T00:00:00"/>
    <n v="1.5625E-2"/>
    <s v="Cooperacion "/>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3"/>
    <n v="1"/>
    <s v="Construcción de bases de datos de contratos "/>
    <n v="0.25"/>
    <n v="1"/>
    <s v="Porcentaje"/>
    <s v="Base de datos estructurada y revisada"/>
    <s v="Jefe Oficina Asesora Jurídica - Giohana Catarine Gonzalez Turizo"/>
    <n v="1"/>
    <s v="Elaboración de matriz contractual"/>
    <n v="0.8"/>
    <d v="2019-01-01T00:00:00"/>
    <d v="2019-03-30T00:00:00"/>
    <n v="0.2"/>
    <s v="Oficina Asesora Jurídica"/>
    <n v="1"/>
    <s v="Se realizó la primera actividad, elaborando la matriz contractual con corte a 30 de junio de 2019"/>
    <n v="0.8"/>
    <n v="0.8"/>
    <n v="0.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3"/>
    <m/>
    <s v="Construcción de bases de datos de contratos "/>
    <n v="0.25"/>
    <n v="1"/>
    <m/>
    <m/>
    <s v="Jefe Oficina Asesora Jurídica - Giohana Catarine Gonzalez Turizo"/>
    <n v="2"/>
    <s v="Actualización de matriz contractual"/>
    <n v="0.2"/>
    <d v="2019-01-01T00:00:00"/>
    <d v="2019-03-30T00:00:00"/>
    <n v="0.05"/>
    <s v="Oficina Asesora Jurídica"/>
    <n v="1"/>
    <s v="Se realizó la segunda actividad, actualizando matriz contractual con corte a 30 de junio de 2019"/>
    <n v="0.2"/>
    <n v="0.2"/>
    <n v="0.05"/>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3"/>
    <n v="2"/>
    <s v="Creación de matriz de control y seguimiento de aprobación garantías"/>
    <n v="0.25"/>
    <n v="1"/>
    <s v="Porcentaje"/>
    <s v="Matriz control y seguimiento de aprobación de garantías"/>
    <s v="Jefe Oficina Asesora Jurídica - Giohana Catarine Gonzalez Turizo"/>
    <n v="1"/>
    <s v="Elaboración de matriz de control y seguimiento de aprobación de garantías"/>
    <n v="0.8"/>
    <d v="2019-03-01T00:00:00"/>
    <d v="2019-06-30T00:00:00"/>
    <n v="0.2"/>
    <s v="Oficina Asesora Jurídica"/>
    <n v="1"/>
    <s v="Se realizó la primera actividad, elaborando la matriz  de control y seguimiento de aprobación de garantías"/>
    <n v="0.8"/>
    <n v="0.8"/>
    <n v="0.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3"/>
    <m/>
    <s v="Creación de matriz de control y seguimiento de aprobación garantías"/>
    <n v="0.25"/>
    <n v="1"/>
    <m/>
    <m/>
    <s v="Jefe Oficina Asesora Jurídica - Giohana Catarine Gonzalez Turizo"/>
    <n v="2"/>
    <s v="Actualización de matriz"/>
    <n v="0.2"/>
    <d v="2019-07-01T00:00:00"/>
    <d v="2019-12-31T00:00:00"/>
    <n v="0.05"/>
    <s v="Oficina Asesora Jurídica"/>
    <n v="1"/>
    <s v="Se realizó la segunda actividad, actualizando matriz matriz  de control y seguimiento de aprobación de garantías"/>
    <n v="0.2"/>
    <n v="0.2"/>
    <n v="0.05"/>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3"/>
    <n v="3"/>
    <s v="Revisión de formatos y procedimientos de contratación "/>
    <n v="0.25"/>
    <n v="1"/>
    <s v="Porcentaje"/>
    <s v="Actas de reunión de la Jefe de la OAJ con el grupo de contratación "/>
    <s v="Jefe Oficina Asesora Jurídica - Giohana Catarine Gonzalez Turizo"/>
    <n v="1"/>
    <s v="Dos (2) mesas de trabajo  con el grupo de contratación al mes"/>
    <n v="0.5"/>
    <d v="2019-04-01T00:00:00"/>
    <d v="2019-09-30T00:00:00"/>
    <n v="0.125"/>
    <s v="Oficina Asesora Jurídica"/>
    <n v="0.5"/>
    <s v="Se realizaron 6 mesas de trabajo con las abogadas de Contratación"/>
    <n v="0.25"/>
    <n v="0.125"/>
    <n v="6.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3"/>
    <m/>
    <s v="Revisión de formatos y procedimientos de contratación "/>
    <n v="0.25"/>
    <n v="1"/>
    <m/>
    <m/>
    <s v="Jefe Oficina Asesora Jurídica - Giohana Catarine Gonzalez Turizo"/>
    <n v="2"/>
    <s v="Acta de reunión"/>
    <n v="0.5"/>
    <d v="2019-04-01T00:00:00"/>
    <d v="2019-09-30T00:00:00"/>
    <n v="0.125"/>
    <s v="Oficina Asesora Jurídica"/>
    <n v="0.5"/>
    <s v="Se elaboraron seis (6) actas correspondientes a los meses de abril, mayo y junio de 2019"/>
    <n v="0.25"/>
    <n v="0.125"/>
    <n v="6.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3"/>
    <n v="4"/>
    <s v="Creación de protocolo para la puesta en marcha de medios alternativos de solución de conflictos. "/>
    <n v="0.25"/>
    <n v="1"/>
    <s v="Porcentaje"/>
    <s v="Aplicación de protocolo para la puesta en marcha de medios alternativos de solución de conflictos. "/>
    <s v="Jefe Oficina Asesora Jurídica - Giohana Catarine Gonzalez Turizo"/>
    <n v="1"/>
    <s v="Publicar el protocolo para la puesta en marcha de medios alternativos de solución de conflictos. "/>
    <n v="0.7"/>
    <d v="2019-01-01T00:00:00"/>
    <d v="2019-08-30T00:00:00"/>
    <n v="0.17499999999999999"/>
    <s v="Oficina Asesora Jurídica"/>
    <n v="0.35"/>
    <s v="Protocolo para revisión con un avance del 50%, teniendo en cuenta la normatividad vigente, basados en las indicaciones  impartidas por la Alcaldía Mayor de Bogotá"/>
    <n v="0.24499999999999997"/>
    <n v="8.5749999999999979E-2"/>
    <n v="6.1249999999999992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3"/>
    <m/>
    <s v="Creación de protocolo para la puesta en marcha de medios alternativos de solución de conflictos. "/>
    <n v="0.25"/>
    <n v="1"/>
    <m/>
    <m/>
    <s v="Jefe Oficina Asesora Jurídica - Giohana Catarine Gonzalez Turizo"/>
    <n v="2"/>
    <s v="Sensibilizar al personal de planta  y contratistas sobre la utilización del protocolo creado"/>
    <n v="0.3"/>
    <d v="2019-09-01T00:00:00"/>
    <d v="2019-12-31T00:00:00"/>
    <n v="7.4999999999999997E-2"/>
    <s v="Oficina Asesora Jurídica"/>
    <m/>
    <m/>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_x000a_materiales peligrosos y casos que requieran operaciones de rescate, así como en las demás_x000a_situaciones de emergencia que se presenten en Bogotá D.C., además de dar apoyo en los_x000a_ámbitos regional, nacional e internacional."/>
    <s v="CONOCIMIENTO DEL RIESGO"/>
    <x v="4"/>
    <n v="1"/>
    <s v="Documento diagnostico frente a escenarios de aglomeraciones de público permanentes (Teatros y Cinemas)"/>
    <n v="6.25E-2"/>
    <n v="100"/>
    <s v="Porcentual"/>
    <s v="Realizar el documento diagnostico del cumplimiento técnico normativo de escenarios de aglomeración permanente de Bogotá  (Teatros y Cinemas)"/>
    <s v="Jorge Alberto Pardo Torres"/>
    <n v="1"/>
    <s v="Análisis de causas frente a escenarios de aglomeraciones de público permanentes (Teatros y Cinemas)"/>
    <n v="0.25"/>
    <d v="2019-01-15T00:00:00"/>
    <d v="2019-03-30T00:00:00"/>
    <n v="1.5625E-2"/>
    <s v="Ing Jhon Jairo palacio "/>
    <n v="1"/>
    <s v="Se está revisando el marco normativo y las condiciones de seguridad humana y sistemas de protección contra incendios. Adelantando el documento de analisi s frente a aglomeraciones permanentes "/>
    <n v="0.25"/>
    <n v="0.25"/>
    <n v="1.5625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_x000a_materiales peligrosos y casos que requieran operaciones de rescate, así como en las demás_x000a_situaciones de emergencia que se presenten en Bogotá D.C., además de dar apoyo en los_x000a_ámbitos regional, nacional e internacional."/>
    <s v="CONOCIMIENTO DEL RIESGO"/>
    <x v="4"/>
    <m/>
    <s v="Documento diagnostico frente a escenarios de aglomeraciones de público permanentes (Teatros y Cinemas)"/>
    <n v="6.25E-2"/>
    <n v="100"/>
    <m/>
    <m/>
    <s v="Jorge Alberto Pardo Torres"/>
    <n v="2"/>
    <s v="Identificación de los principales problemas o puntos críticos"/>
    <n v="0.25"/>
    <d v="2019-04-01T00:00:00"/>
    <d v="2019-06-30T00:00:00"/>
    <n v="1.5625E-2"/>
    <s v="Ing Jhon Jairo palacio "/>
    <n v="1"/>
    <s v="Se Actualizo el documento en el cual se identifican los puntos críticos en los teatros y cinemas frente a los temas de seguridad humana y sistemas de protección contra incendio."/>
    <n v="0.25"/>
    <n v="0.25"/>
    <n v="1.5625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_x000a_materiales peligrosos y casos que requieran operaciones de rescate, así como en las demás_x000a_situaciones de emergencia que se presenten en Bogotá D.C., además de dar apoyo en los_x000a_ámbitos regional, nacional e internacional."/>
    <s v="CONOCIMIENTO DEL RIESGO"/>
    <x v="4"/>
    <m/>
    <s v="Documento diagnostico frente a escenarios de aglomeraciones de público permanentes (Teatros y Cinemas)"/>
    <n v="6.25E-2"/>
    <n v="100"/>
    <m/>
    <m/>
    <s v="Jorge Alberto Pardo Torres"/>
    <n v="3"/>
    <s v="Formulación del diagnostico rente a escenarios de aglomeraciones de público permanentes (Teatros y Cinemas)"/>
    <n v="0.25"/>
    <d v="2019-07-01T00:00:00"/>
    <d v="2019-09-30T00:00:00"/>
    <n v="1.5625E-2"/>
    <s v="Ing Jhon Jairo palacio "/>
    <m/>
    <m/>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_x000a_materiales peligrosos y casos que requieran operaciones de rescate, así como en las demás_x000a_situaciones de emergencia que se presenten en Bogotá D.C., además de dar apoyo en los_x000a_ámbitos regional, nacional e internacional."/>
    <s v="CONOCIMIENTO DEL RIESGO"/>
    <x v="4"/>
    <m/>
    <s v="Documento diagnostico frente a escenarios de aglomeraciones de público permanentes (Teatros y Cinemas)"/>
    <n v="6.25E-2"/>
    <n v="100"/>
    <m/>
    <m/>
    <s v="Jorge Alberto Pardo Torres"/>
    <n v="4"/>
    <s v="Consolidación y entrega al subdirector de Documento final."/>
    <n v="0.25"/>
    <d v="2019-10-01T00:00:00"/>
    <d v="2019-12-31T00:00:00"/>
    <n v="1.5625E-2"/>
    <s v="Ing Jhon Jairo palacio "/>
    <m/>
    <m/>
    <n v="0"/>
    <n v="0"/>
    <n v="0"/>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CONOCIMIENTO DEL RIESGO"/>
    <x v="4"/>
    <n v="2"/>
    <s v="Proyecto virtualización capacitación normativa aplicada a revisiones técnicas"/>
    <n v="6.25E-2"/>
    <n v="100"/>
    <s v="Porcentual"/>
    <s v="Documento &quot;Proyecto virtualización capacitación normativa aplicada a revisiones técnicas&quot;"/>
    <s v="Jorge Alberto Pardo Torres"/>
    <n v="1"/>
    <s v="Identificación  y análisis de la situación actual"/>
    <n v="0.2"/>
    <d v="2019-01-15T00:00:00"/>
    <d v="2019-03-30T00:00:00"/>
    <n v="1.2500000000000001E-2"/>
    <s v="Ing Andrea Navarro"/>
    <n v="1"/>
    <s v="Mediante Correo electrónico del 12/02/2019 se envía a la oficina asesora de planeación el informe diagnóstico y necesidades para el desarrollo de plataformas virtuales."/>
    <n v="0.2"/>
    <n v="0.2"/>
    <n v="1.2500000000000001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CONOCIMIENTO DEL RIESGO"/>
    <x v="4"/>
    <m/>
    <s v="Proyecto virtualización capacitación normativa aplicada a revisiones técnicas"/>
    <n v="6.25E-2"/>
    <n v="100"/>
    <m/>
    <m/>
    <s v="Jorge Alberto Pardo Torres"/>
    <n v="2"/>
    <s v="Formulación del Proyecto virtualización capacitación normativa aplicada a revisiones técnicas"/>
    <n v="0.5"/>
    <d v="2019-04-01T00:00:00"/>
    <d v="2019-10-30T00:00:00"/>
    <n v="3.125E-2"/>
    <s v="Ing Andrea Navarro"/>
    <n v="1"/>
    <s v="Se Realiza informe diagnostico donde se analizan los principales aspectos a evaluar en los establecimientos de comercio clasificados como riesgo bajo y el porcentaje de establecimiento que se van para la clasificación virtual."/>
    <n v="0.5"/>
    <n v="0.5"/>
    <n v="3.125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CONOCIMIENTO DEL RIESGO"/>
    <x v="4"/>
    <m/>
    <s v="Proyecto virtualización capacitación normativa aplicada a revisiones técnicas"/>
    <n v="6.25E-2"/>
    <n v="100"/>
    <m/>
    <m/>
    <s v="Jorge Alberto Pardo Torres"/>
    <n v="3"/>
    <s v="Consolidación y entrega al subdirector de Documento final."/>
    <n v="0.3"/>
    <d v="2019-11-01T00:00:00"/>
    <d v="2019-12-31T00:00:00"/>
    <n v="1.8749999999999999E-2"/>
    <s v="Ing Andrea Navarro"/>
    <m/>
    <m/>
    <n v="0"/>
    <n v="0"/>
    <n v="0"/>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CONOCIMIENTO DEL RIESGO"/>
    <x v="4"/>
    <n v="3"/>
    <s v="Identificación de nuevos requerimientos en el Sistema de Información Misional - Sub-módulo Revisiones Técnicas y Auto revisiones"/>
    <n v="6.25E-2"/>
    <n v="100"/>
    <s v="Porcentual"/>
    <s v="Realizar 1 proceso de mantenimiento evolutivo del Sistema de Información Misional sub-módulo de Revisiones Técnicas y auto revisiones"/>
    <s v="Jorge Alberto Pardo Torres"/>
    <n v="1"/>
    <s v="1. Mesas de Trabajo"/>
    <n v="0.33"/>
    <d v="2019-01-15T00:00:00"/>
    <d v="2019-12-31T00:00:00"/>
    <n v="2.0625000000000001E-2"/>
    <s v="Ing Andrea Navarro"/>
    <n v="0.5"/>
    <s v="Se realizó mesas de trabajo el 22, el 24 y 28 de enero de 2019, en las cuales se establecieron criterios para el desarrollo del nuevo sistema de información misional."/>
    <n v="0.16500000000000001"/>
    <n v="8.2500000000000004E-2"/>
    <n v="1.03125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CONOCIMIENTO DEL RIESGO"/>
    <x v="4"/>
    <m/>
    <s v="Identificación de nuevos requerimientos en el Sistema de Información Misional - Sub-módulo Revisiones Técnicas y Auto revisiones"/>
    <n v="6.25E-2"/>
    <n v="100"/>
    <m/>
    <m/>
    <s v="Jorge Alberto Pardo Torres"/>
    <n v="2"/>
    <s v="2. Priorización de Necesidades"/>
    <n v="0.33"/>
    <d v="2019-01-15T00:00:00"/>
    <d v="2019-12-31T00:00:00"/>
    <n v="2.0625000000000001E-2"/>
    <s v="Ing Andrea Navarro"/>
    <n v="0.5"/>
    <s v="Se realizó reunión el 20 de mayo del presente año en la cual se priorizo las necesidades y se estableció el fortalecimiento de características y funciones del SIM."/>
    <n v="0.16500000000000001"/>
    <n v="8.2500000000000004E-2"/>
    <n v="1.03125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CONOCIMIENTO DEL RIESGO"/>
    <x v="4"/>
    <m/>
    <s v="Identificación de nuevos requerimientos en el Sistema de Información Misional - Sub-módulo Revisiones Técnicas y Auto revisiones"/>
    <n v="6.25E-2"/>
    <n v="100"/>
    <m/>
    <m/>
    <s v="Jorge Alberto Pardo Torres"/>
    <n v="3"/>
    <s v="3. Levantamiento de requerimientos con el apoyo del área de Tecnología."/>
    <n v="0.34"/>
    <d v="2019-01-15T00:00:00"/>
    <d v="2019-12-31T00:00:00"/>
    <n v="2.1250000000000002E-2"/>
    <s v="Ing Andrea Navarro"/>
    <n v="0.5"/>
    <s v="Se realizó mesas de trabajo el 22, 24 y 28 de enero de 2019 en las cuales se establecieron criterios para el desarrollo del nuevo sistema de información misional con el área de tecnología."/>
    <n v="0.17"/>
    <n v="8.5000000000000006E-2"/>
    <n v="1.0625000000000001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CONOCIMIENTO DEL RIESGO"/>
    <x v="4"/>
    <n v="4"/>
    <s v="Guía de riesgos comunes y asociados a incendios"/>
    <n v="6.25E-2"/>
    <n v="100"/>
    <s v="Porcentual"/>
    <s v="Documento &quot;Guía de riesgos comunes y asociados a incendios&quot;"/>
    <s v="Jorge Alberto Pardo Torres"/>
    <n v="1"/>
    <s v="Estructura del Documento Guía"/>
    <n v="0.2"/>
    <d v="2019-01-15T00:00:00"/>
    <d v="2019-03-30T00:00:00"/>
    <n v="1.2500000000000001E-2"/>
    <s v="Ing Jhon Jairo palacio "/>
    <n v="1"/>
    <s v="Se realizó la estructura del documento correspondiente a la guía de riesgos comunes y asociados de incendios por parte del ingeniero desarrollador y este fue enviado a la coordinación de conocimiento del riesgo para su revisión el día 22 de febrero de 2019. "/>
    <n v="0.2"/>
    <n v="0.2"/>
    <n v="1.2500000000000001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CONOCIMIENTO DEL RIESGO"/>
    <x v="4"/>
    <m/>
    <s v="Guía de riesgos comunes y asociados a incendios"/>
    <n v="6.25E-2"/>
    <n v="100"/>
    <m/>
    <m/>
    <s v="Jorge Alberto Pardo Torres"/>
    <n v="2"/>
    <s v="Formulación de la guía de riesgos comunes y asociados a incendios"/>
    <n v="0.5"/>
    <d v="2019-04-01T00:00:00"/>
    <d v="2019-10-30T00:00:00"/>
    <n v="3.125E-2"/>
    <s v="Ing Jhon Jairo palacio "/>
    <n v="0.4"/>
    <s v="Se establece la estructura y desarrollo del contenido del documento guía frente a los componentes eléctrico y riesgos comunes asociados a incendios."/>
    <n v="0.2"/>
    <n v="8.0000000000000016E-2"/>
    <n v="1.2500000000000001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CONOCIMIENTO DEL RIESGO"/>
    <x v="4"/>
    <m/>
    <s v="Guía de riesgos comunes y asociados a incendios"/>
    <n v="6.25E-2"/>
    <n v="100"/>
    <m/>
    <m/>
    <s v="Jorge Alberto Pardo Torres"/>
    <n v="3"/>
    <s v="Publicación de la Guía  de riesgos comunes y asociados a incendios"/>
    <n v="0.3"/>
    <d v="2019-11-01T00:00:00"/>
    <d v="2019-12-31T00:00:00"/>
    <n v="1.8749999999999999E-2"/>
    <s v="Ing Jhon Jairo palacio "/>
    <m/>
    <m/>
    <n v="0"/>
    <n v="0"/>
    <n v="0"/>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n v="5"/>
    <s v="Sistematización del procedimiento de capacitación a brigadas contra incendio empresarial"/>
    <n v="6.25E-2"/>
    <n v="6"/>
    <s v="Número de mesas de trabajo "/>
    <s v="Realizar el seguimiento del avance del proceso de sistematización del capacitación a brigadas contra incendio empresarial"/>
    <s v="Jorge Alberto Pardo Torres"/>
    <n v="1"/>
    <s v="Mesas de trabajo con la oficina asesora d planeación"/>
    <n v="1"/>
    <d v="2019-04-01T00:00:00"/>
    <d v="2019-12-31T00:00:00"/>
    <n v="6.25E-2"/>
    <s v="Cecilia Camacho Alvarado"/>
    <n v="0.6"/>
    <s v="1. Identificación de los antecedentes trabajados junto a la Oficina Asesora de Planeación-OAP, con el Ing. Mariano Garrido, a fin de verificar punto de partida y llegada de la Sistematización, de acuerdo al procedimiento de capacitación brigadas contraincendios clase uno. Para lo cual se Soporta con el Acta de reunión del 19 de marzo de 2019._x000a_2. Identificación de todas las actividades inherentes al procedimiento junto con el personal de la OAP, en donde se estableció la vinculación de la sistematización de las etapas administrativas en torno a la plataforma DOSEBO y se validó con la Ing. Diana Poveda y el personal referente de la plataforma, el punto de partida de la plataforma. Por lo cual se concluyó que se requiere desarrollar el trámite de pago a través del liquidador dadas las situaciones encontradas con el misional por lo que se delega al Ing. Luis Carmona para el desarrollo del liquidador. Se soporta con el Acta de reunión 27 de mayo de 2019  _x000a_3. Se estableció la caracterización del detalle de las etapas desde que el usuario solicita la información, se agenda, se hace el pago del servicio, se diligencia el formulario, se desarrolla de la capacitación etc., llegando a establecer compromisos de análisis de rangos de participación, definición de conformación de grupos de pequeñas empresas, con grupos máximo de 25 personas. Se soporta con el Acta del 7 de junio de 2019._x000a_4. Se analizan las entradas y salidas del sistema de liquidador, control y definición de pagos para la liquidación. Se estableció la necesidad de diseñar el recibo de pago en coordinación con el área de atención al Ciudadano. Se soporta con el Acta de reunión del 13 de junio de 2019._x000a_5. Se definió el nombre del sistema de liquidación, denominándola:  Sistema de liquidación de capacitación brigadas contraincendios clase uno. Se socializa los campos que debe incluir el recibo de caja, y se acuerdan (empresa, nit, valor a pagar, valores en letra y número, número del comprobante, código de barras etc. Se analiza los contenidos de la carta tipo de preacuerdo. Así mismo se validan los estados del sistema de liquidación, al respecto se definen: programado-pendiente, en proceso, legalizado recibo de caja, cancelado-Legalizado Declinado. Proyección de reuniones con la Ing. Diana Poveda a fin de evaluar la interacción con plataforma DOSEBO, Análisis sobre el orden de los estados y verificar si deben incluirse otros estados. Soporte: acta de reunión 26 de junio de 2019-_x000a_"/>
    <n v="0.6"/>
    <n v="0.36"/>
    <n v="3.7499999999999999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n v="6"/>
    <s v="Socialización de la estrategia de Cambio Climático UAECOB"/>
    <n v="6.25E-2"/>
    <n v="100"/>
    <s v="Porcentaje"/>
    <s v="Socialización de la estrategia de Cambio Climático al 100% de las áreas de la UEACOB"/>
    <s v="Subdirector de Gestión del Riesgo_x000a_Jorge Alberto Pardo Torres"/>
    <n v="1"/>
    <s v="Revisión de módulos de capacitación Comunitaria"/>
    <n v="0.2"/>
    <d v="2019-01-15T00:00:00"/>
    <d v="2019-03-30T00:00:00"/>
    <n v="1.2500000000000001E-2"/>
    <s v="Ing Luisa Fernanda Morantes"/>
    <n v="1"/>
    <s v="Se Revisaron los módulos de capacitación comunitaria mediante mesas de trabajo del equipo uniformado de Prevención en las fechas del 19 de febrero de 2019 y el 11 de marzo de 2019, en las cuales se generaron lineamientos para desarrollar el material de referencia a actualizar. "/>
    <n v="0.2"/>
    <n v="0.2"/>
    <n v="1.2500000000000001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s v="Socialización de la estrategia de Cambio Climático UAECOB"/>
    <n v="6.25E-2"/>
    <n v="100"/>
    <m/>
    <m/>
    <s v="Subdirector de Gestión del Riesgo_x000a_Jorge Alberto Pardo Torres"/>
    <n v="2"/>
    <s v="Actualización de los módulos de capacitación comunitaria"/>
    <n v="0.5"/>
    <d v="2019-04-01T00:00:00"/>
    <d v="2019-09-30T00:00:00"/>
    <n v="3.125E-2"/>
    <s v="Ing Luisa Fernanda Morantes"/>
    <n v="0.9"/>
    <s v="Se realizó reunión el día 27 de mayo del año 2019, soportado en acta, con el objetivo de realizar_x000a_seguimiento a los productos según responsables, de acuerdo con el cronograma de trabajo, en_x000a_donde se establecieron los siguientes compromisos:_x000a_Actualizar la información con estadísticas del año 2018 y remitir plazo a Luis Bernal con plazo 7 de_x000a_junio de 2019, como responsables Oscar Cuevas, Nelson Sánchez y Sgto. German Aldana._x000a_Actualizar contenidos de acuerdo a la estadística referencia con plazo 7 de junio de 2019,_x000a_responsable Nelson Sánchez._x000a_Entregables consolidados al 14 de junio de 2019 a través de correo electrónico, responsables Cabo_x000a_Luis Bernal y Sgto. German Aldana._x000a_Seguimiento a prensa por parte de la Subdirección de Gestión del Riesgo-SGR de los productos entregados._x000a_El día 30 de mayo del año 2019, soportado en acta, se realiza reunión con el objetivo de revisar los_x000a_productos de capacitación en comunitaria, meta plan de acción y articulación con prensa, en_x000a_donde se establecieron los siguientes compromisos:_x000a_Por prensa la entrega de 8 videos que integra Gente que ayuda, así como 2 videos de material de_x000a_riesgo bajo para el 14 de junio de 2019._x000a_Revisión de prensa de los módulos de capacitación comunitaria._x000a_El día 14 de junio y de acuerdo a los compromisos, se hace entrega a la referente de la SGR de los_x000a_8 videos, por el área de prensa, cumpliendo con los tiempos establecidos en las actas anteriores._x000a_De igual manera de hace entrega vía correo electrónico por parte del Cabo Luis Bernal de los_x000a_módulos de capacitación comunitaria para su revisión a los referentes de la SGR, al Teniente_x000a_Triana y a la profesional del área de capacitación comunitaria de la SGR para revisión_x000a_metodológica._x000a_Se realiza revisión por el Teniente Triana, quien realiza observaciones frente al contenido y se_x000a_envía vía correo electrónico a los profesionales encargados de su respectiva corrección, así como_x000a_se hace revisión por parte de la profesional encargada de capacitación comunitaria en cuanto a la_x000a_parte metodológica. Posteriormente se realiza informe con las observaciones generales frente a la estructura metodológica para su respectivo ajuste._x000a_"/>
    <n v="0.45"/>
    <n v="0.40500000000000003"/>
    <n v="2.8125000000000001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s v="Socialización de la estrategia de Cambio Climático UAECOB"/>
    <n v="6.25E-2"/>
    <n v="100"/>
    <m/>
    <m/>
    <s v="Subdirector de Gestión del Riesgo_x000a_Jorge Alberto Pardo Torres"/>
    <n v="3"/>
    <s v="Aprobación de los módulos de capacitación comunitaria"/>
    <n v="0.2"/>
    <d v="2019-10-01T00:00:00"/>
    <d v="2019-11-30T00:00:00"/>
    <n v="1.2500000000000001E-2"/>
    <s v="Ing Luisa Fernanda Morantes"/>
    <m/>
    <m/>
    <n v="0"/>
    <n v="0"/>
    <n v="0"/>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s v="Socialización de la estrategia de Cambio Climático UAECOB"/>
    <n v="6.25E-2"/>
    <n v="100"/>
    <m/>
    <m/>
    <s v="Subdirector de Gestión del Riesgo_x000a_Jorge Alberto Pardo Torres"/>
    <n v="4"/>
    <s v="Publicación de los módulos de capacitación comunitaria"/>
    <n v="0.1"/>
    <d v="2019-12-01T00:00:00"/>
    <d v="2019-12-31T00:00:00"/>
    <n v="6.2500000000000003E-3"/>
    <s v="Ing Luisa Fernanda Morantes"/>
    <m/>
    <m/>
    <n v="0"/>
    <n v="0"/>
    <n v="0"/>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n v="7"/>
    <s v="Proyecto de virtualización de capacitación a brigadas contra incendio empresarial"/>
    <n v="6.25E-2"/>
    <n v="100"/>
    <s v="Porcentual"/>
    <s v="Elaboración del documento &quot;Virtualización de capacitación a brigadas empresariales&quot;"/>
    <s v="Jorge Alberto Pardo Torres"/>
    <n v="1"/>
    <s v="Revisión del material d capacitación para brigadas contra incendio"/>
    <n v="0.2"/>
    <d v="2019-01-15T00:00:00"/>
    <d v="2019-01-30T00:00:00"/>
    <n v="1.2500000000000001E-2"/>
    <s v="Cecilia Camacho Alvarado"/>
    <n v="1"/>
    <s v="Se establecieron compromisos laborales con el equipo uniformado de prevención para desarrollar la virtualización de los módulos de capacitación a brigadas, y como resultado se establece cronograma de trabajo con responsables, así mismo se realiza los entregables de la revisión del material de acuerdo al cronograma establecido por cada uno de los responsables,  se envía mediante correo electrónico del 31 de marzo de 2019 y actas de reunión de los equipos de trabajo de fechas 21 de marzo de 2019, y 16 de marzo de 2019."/>
    <n v="0.2"/>
    <n v="0.2"/>
    <n v="1.2500000000000001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s v="Proyecto de virtualización de capacitación a brigadas contra incendio empresarial"/>
    <n v="6.25E-2"/>
    <n v="100"/>
    <s v="Porcentual"/>
    <s v="Elaboracion del documento &quot;Virtualizacion de capacitacion a brigadas empresariales&quot;"/>
    <s v="Jorge Alberto Pardo Torres"/>
    <n v="2"/>
    <s v="Elaboración del documento proyecto de &quot;Virtualización de capacitación a brigadas empresariales&quot;"/>
    <n v="0.6"/>
    <d v="2019-04-01T00:00:00"/>
    <d v="2019-11-30T00:00:00"/>
    <n v="3.7499999999999999E-2"/>
    <s v="Cecilia Camacho Alvarado"/>
    <n v="0.85"/>
    <s v="1. Los instructores referentes presentan modelo pedagógico y validan la plantilla para la estructuración de contenidos de los módulos de capacitación brigadas Contra Incendio-CI, avalada por la OAP con el soporte:  Acta de 28 de marzo de 2019._x000a_2. El instructor referente Marco Quiroga presenta los avances de contenidos consolidados en plantilla, como resultado de lo solicitado a instructores referentes por módulo fechas de compromiso.  Soporte. Acta 25 de abril de 2019._x000a_3. Envío de contenidos temáticos a la Ingeniera Diana Poveda – OAP sobre los Módulos de Comportamiento del fuego, Administración de la Emergencia, Gestión del Riesgo, Primer Respondiente, Proyecto de entorno virtual comportamiento del Fuego a través de soporte del Correo electrónico del 23 de mayo de 2019. _x000a_4. La Ing. Diana Poveda de la OAP revisa contenidos enviados el 27 de mayo de 2019 por instructor referente Marcos Quiroga, y concluye que no hay ningún tipo de problema, únicamente un aspecto de forma, por lo cual con Marco Quiroga se trabajaría los contenidos en plantilla PowerPoint para subirla a Plataforma DOSEBO. Por lo tanto, se deberá proyectar cronograma de entregables a la Oficina Asesora de comunicaciones y Prensa.  Se soporta con el Acta de trabajo del 27 de mayo de 2019_x000a_5. El instructor Marcos Quiroga, envía requerimiento para entregables en cada uno de los módulos a los instructores referentes. Se soporta con el Correo electrónico del 28 de mayo de 2019._x000a_6. El instructor Marco Quiroga. Envío los 6 módulos incluyendo el introductorio consolidados a Ing. Diana Poveda con el soporte del Correo electrónico del 30 de mayo de 2019._x000a_7.  De acuerdo a requerimientos a través de memorando 2019I008873- ID 7490 del 6 de junio de 2019, enviado a Oficina Asesora de comunicaciones y Prensa, sobre productos a diseñar, se acuerda con la SGR cambiar animaciones por vídeos, fecha de grabación módulo Introductorio -17 de junio de 2019 y mesa de trabajo para diseño módulo 1 para el 21 de junio de 2019. Soporte: acta de trabajo 11 de junio de 2019._x000a_8.  Acuerdos entre a Oficina Asesora de comunicaciones y Prensa, OAP y SGR: establecer los Formatos de vídeos para subir a la plataforma DOSEBO, avanzar en los módulos 0 y 1 para subirlos a la plataforma a fin de dar viabilidad a la capacitación del manejo de herramienta DOSEBO y diseño de plantilla web PowerPoint para estandarizar la presentación de contenidos de módulos de capacitación. Soporte. Acta 13 de junio de 2019. _x000a_9. a Oficina Asesora de comunicaciones y Prensa y SGR realizan vídeo introductorio de acuerdo a compromisos adquiridos en mesa de trabajo del 11 de junio. Fecha de realización del día 17 de junio de 2019. (Video en proceso)._x000a_10 a Oficina Asesora de comunicaciones y Prensa y SGR realizan mesa de trabajo para acordar parámetros para la elaboración de vídeo módulo 1, normatividad. Soporte. acta de reunión 27 de junio de 2019._x000a_11.  a Oficina Asesora de comunicaciones y Prensa envía diseño de plantilla en cumplimiento de compromiso de 13 de junio de 2019. Soporte. Correo electrónico 28 de junio de 2019._x000a_12. SGR envía a Marco Quiroga e instructores referentes el diseño de plantilla. Soporte correo electrónico 28 de junio de 2019. _x000a_"/>
    <n v="0.51"/>
    <n v="0.4335"/>
    <n v="3.1875000000000001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s v="Proyecto de virtualización de capacitación a brigadas contra incendio empresarial"/>
    <n v="6.25E-2"/>
    <n v="100"/>
    <s v="Porcentual"/>
    <s v="Elaboracion del documento &quot;Virtualizacion de capacitacion a brigadas empresariales&quot;"/>
    <s v="Jorge Alberto Pardo Torres"/>
    <n v="3"/>
    <s v="Presentación del proyecto al Subdirector de Gestión del riesgo "/>
    <n v="0.2"/>
    <d v="2019-12-01T00:00:00"/>
    <d v="2019-12-31T00:00:00"/>
    <n v="1.2500000000000001E-2"/>
    <s v="Cecilia Camacho Alvarado"/>
    <n v="0"/>
    <m/>
    <n v="0"/>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ON DEL RIESGO"/>
    <x v="4"/>
    <n v="8"/>
    <s v="Actualizar la estrategia &quot;campañas de reducción del riesgo relacionadas con la prevención y mitigación de riesgos de incendio, matpel y otras  emergencias competencia de la UAECOB&quot;"/>
    <n v="6.25E-2"/>
    <n v="100"/>
    <s v="Porcentual"/>
    <s v="Actualizar el documento de la estrategia de las campañas de reducción del riesgo relacionadas con la prevención y mitigación de riesgos de incendio, matpel y otras  emergencias competencia de la UAECOB"/>
    <s v="Jorge Alberto Pardo Torres"/>
    <n v="1"/>
    <s v="Revisión del documento de estrategia "/>
    <n v="0.2"/>
    <d v="2019-01-15T00:00:00"/>
    <d v="2019-03-30T00:00:00"/>
    <n v="1.2500000000000001E-2"/>
    <s v="Guillermo Diaz"/>
    <n v="1"/>
    <s v="Para la revisión del documento de estrategia, se recopilo información y se realizó nuevas estadísticas de los años 2016 al 2018. "/>
    <n v="0.2"/>
    <n v="0.2"/>
    <n v="1.2500000000000001E-2"/>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ON DEL RIESGO"/>
    <x v="4"/>
    <m/>
    <s v="Actualizar la estrategia &quot;campañas de reducción del riesgo relacionadas con la prevención y mitigación de riesgos de incendio, matpel y otras  emergencias competencia de la UAECOB&quot;"/>
    <n v="6.25E-2"/>
    <n v="100"/>
    <m/>
    <m/>
    <s v="Jorge Alberto Pardo Torres"/>
    <n v="2"/>
    <s v="Formulación del documento de la estrategia de las campañas de reducción del riesgo "/>
    <n v="0.5"/>
    <d v="2019-04-01T00:00:00"/>
    <d v="2019-10-30T00:00:00"/>
    <n v="3.125E-2"/>
    <s v="Guillermo Diaz"/>
    <n v="0.5"/>
    <s v="Se está consolidando el documento para entrega al director, estableciendo planes de acción en cada localidad."/>
    <n v="0.25"/>
    <n v="0.125"/>
    <n v="1.5625E-2"/>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ON DEL RIESGO"/>
    <x v="4"/>
    <m/>
    <s v="Actualizar la estrategia &quot;campañas de reducción del riesgo relacionadas con la prevención y mitigación de riesgos de incendio, matpel y otras  emergencias competencia de la UAECOB&quot;"/>
    <n v="6.25E-2"/>
    <n v="100"/>
    <m/>
    <m/>
    <s v="Jorge Alberto Pardo Torres"/>
    <n v="3"/>
    <s v="Consolidación y entrega al subdirector de Documento final."/>
    <n v="0.3"/>
    <d v="2019-11-01T00:00:00"/>
    <d v="2019-12-31T00:00:00"/>
    <n v="1.8749999999999999E-2"/>
    <s v="Guillermo Diaz"/>
    <n v="0"/>
    <m/>
    <n v="0"/>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ON DEL RIESGO"/>
    <x v="4"/>
    <n v="9"/>
    <s v="Desarrollar jornadas de capacitación en las estaciones en pedagogía para las actividades del Club Bomberitos "/>
    <n v="6.25E-2"/>
    <n v="100"/>
    <s v="Porcentual"/>
    <s v="17 estaciones con personal capacitado en pedagogía para desarrollo de las actividades del club Bomberitos "/>
    <s v="Jorge Alberto Pardo Torres"/>
    <n v="1"/>
    <s v="1. Diseño de material pedagógico para sensibilizar."/>
    <n v="0.35"/>
    <d v="2019-01-15T00:00:00"/>
    <d v="2019-03-30T00:00:00"/>
    <n v="2.1874999999999999E-2"/>
    <s v="Diana Carolina Suarez"/>
    <n v="1"/>
    <s v="El 22 y 25 de enero y el 13, 19 y 27 de febrero de 2019 se llevaron a cabo 5 reuniones en las que se reestructuraron los programas y curso Nicolás Quevedo Rizo creando un manual que le permita al personal de uniformados tener conocimiento de la metodología del Club Bomberitos.  "/>
    <n v="0.35"/>
    <n v="0.35"/>
    <n v="2.1874999999999999E-2"/>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ON DEL RIESGO"/>
    <x v="4"/>
    <m/>
    <s v="Desarrollar jornadas de capacitación en las estaciones en pedagogía para las actividades del Club Bomberitos "/>
    <n v="6.25E-2"/>
    <n v="100"/>
    <s v="Porcentual"/>
    <s v="17 estaciones con personal capacitado en pedagogia para desarrollo de las actividades del club Bomberitos "/>
    <s v="Jorge Alberto Pardo Torres"/>
    <n v="2"/>
    <s v="Programación de sensibilización. "/>
    <n v="0.15"/>
    <d v="2019-04-01T00:00:00"/>
    <d v="2019-04-30T00:00:00"/>
    <n v="9.3749999999999997E-3"/>
    <s v="Diana Carolina Suarez"/>
    <n v="1"/>
    <s v="Se realizó cronograma para la programación de las capacitaciones en pedagogía infantil para las 17 estaciones de Bogotá."/>
    <n v="0.15"/>
    <n v="0.15"/>
    <n v="9.3749999999999997E-3"/>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ON DEL RIESGO"/>
    <x v="4"/>
    <m/>
    <s v="Desarrollar jornadas de capacitación en las estaciones en pedagogía para las actividades del Club Bomberitos "/>
    <n v="6.25E-2"/>
    <n v="100"/>
    <s v="Porcentual"/>
    <s v="17 estaciones con personal capacitado en pedagogia para desarrollo de las actividades del club Bomberitos "/>
    <s v="Jorge Alberto Pardo Torres"/>
    <n v="3"/>
    <s v="Ejecución de 34 jornadas de sensibilización."/>
    <n v="0.5"/>
    <d v="2019-05-01T00:00:00"/>
    <d v="2019-12-31T00:00:00"/>
    <n v="3.125E-2"/>
    <s v="Diana Carolina Suarez"/>
    <n v="0.1"/>
    <s v="Las jornadas de capacitación iniciaron el 19 de Julio de 2019. Se anexa cronograma de visitas a las 17 Estaciones de Bogotá y finalizan antes de los plazos establecidos."/>
    <n v="0.05"/>
    <n v="5.000000000000001E-3"/>
    <n v="3.1250000000000002E-3"/>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ON DEL RIESGO"/>
    <x v="4"/>
    <n v="10"/>
    <s v="Desarrollar Actividades de la estrategia del Club Bomberitos en el marco del mes de la prevención (Caravanas de la Prevención)"/>
    <n v="6.25E-2"/>
    <n v="100"/>
    <s v="Porcentual"/>
    <s v="Desarrollar 4 Actividades de la estrategia del Club Bomberitos en el marco del mes de la prevención (Caravanas de la Prevención)"/>
    <s v="Jorge Alberto Pardo Torres"/>
    <n v="1"/>
    <s v="1. Planificación de las actividades de prevención "/>
    <n v="0.25"/>
    <d v="2019-07-01T00:00:00"/>
    <d v="2019-07-30T00:00:00"/>
    <n v="1.5625E-2"/>
    <s v="Diana Carolina Suarez"/>
    <n v="0"/>
    <m/>
    <n v="0"/>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ON DEL RIESGO"/>
    <x v="4"/>
    <m/>
    <s v="Desarrollar Actividades de la estrategia del Club Bomberitos en el marco del mes de la prevención (Caravanas de la Prevención)"/>
    <n v="6.25E-2"/>
    <n v="100"/>
    <s v="Porcentual"/>
    <s v="Desarrollar 4 Actividades de la estrategia del Club Bomberitos en el marco del mes de la prevencion (Caravanas de la Prevencion)"/>
    <s v="Jorge Alberto Pardo Torres"/>
    <n v="2"/>
    <s v="2. Convocatoria para las actividades de Prevención. 25%"/>
    <n v="0.25"/>
    <d v="2019-08-01T00:00:00"/>
    <d v="2019-09-30T00:00:00"/>
    <n v="1.5625E-2"/>
    <s v="Diana Carolina Suarez"/>
    <n v="0"/>
    <m/>
    <n v="0"/>
    <n v="0"/>
    <n v="0"/>
  </r>
  <r>
    <s v="3.  Construcción de comunidad y cultura ciudadana"/>
    <s v="103. Adelantar el 100% de acciones para 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ON DEL RIESGO"/>
    <x v="4"/>
    <m/>
    <s v="Desarrollar Actividades de la estrategia del Club Bomberitos en el marco del mes de la prevención (Caravanas de la Prevención)"/>
    <n v="6.25E-2"/>
    <n v="100"/>
    <s v="Porcentual"/>
    <s v="Desarrollar 4 Actividades de la estrategia del Club Bomberitos en el marco del mes de la prevencion (Caravanas de la Prevencion)"/>
    <s v="Jorge Alberto Pardo Torres"/>
    <n v="3"/>
    <s v="3. Ejecución de las actividades de prevención"/>
    <n v="0.5"/>
    <d v="2019-10-01T00:00:00"/>
    <d v="2019-10-31T00:00:00"/>
    <n v="3.125E-2"/>
    <s v="Diana Carolina Suarez"/>
    <n v="0"/>
    <m/>
    <n v="0"/>
    <n v="0"/>
    <n v="0"/>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n v="11"/>
    <s v="Implementación proyecto de prevención y autoprotección  comunitaria ante incendios forestales (fase 2)."/>
    <n v="6.25E-2"/>
    <n v="100"/>
    <s v="Porcentual"/>
    <s v="Desarrollar el 100% del proyecto de prevención y autoprotección  comunitaria ante incendios forestales. (fase 2)"/>
    <s v="Jorge Alberto Pardo Torres"/>
    <n v="1"/>
    <s v="Mesas de trabajo de diagnostico implementación del proyecto fase 1"/>
    <n v="0.2"/>
    <d v="2019-01-15T00:00:00"/>
    <d v="2019-03-30T00:00:00"/>
    <n v="1.2500000000000001E-2"/>
    <s v="Ing Luisa Fernanda Morantes"/>
    <n v="1"/>
    <s v="Se Realiza la mesa de trabajo del diagnóstico de la implementación del proyecto en la fase 1, con el personal designado para la ejecución del proyecto en la fase 1  en el mes de enero para lo cual se soporta el Acta de Reunión en donde también se concluyen las mejoras a desarrollar en la implementación de la fase 2"/>
    <n v="0.2"/>
    <n v="0.2"/>
    <n v="1.2500000000000001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s v="Implementación proyecto de prevención y autoprotección  comunitaria ante incendios forestales (fase 2)."/>
    <n v="6.25E-2"/>
    <n v="100"/>
    <m/>
    <m/>
    <s v="Jorge Alberto Pardo Torres"/>
    <n v="2"/>
    <s v="implementación del proyecto en la fase 2"/>
    <n v="0.5"/>
    <d v="2019-04-01T00:00:00"/>
    <d v="2019-11-30T00:00:00"/>
    <n v="3.125E-2"/>
    <s v="Ing Luisa Fernanda Morantes"/>
    <n v="0.3"/>
    <s v="Se realizó articulación institucional mediante la socialización del proyecto en cada uno de los tres turnos de las estaciones Chapinero y Caobos Salazar para el trabajo en las localidades de Chapinero y Usaquén. Seguido a esto se realizó la articulación interinstitucional con los Consejos Locales de Gestión del Riesgo y Cambio Climático.  Los barrios para la implementación del proyecto se tienen propuestos y por medio de la metodología de selección de barrios se escogerán 5 por cada localidad."/>
    <n v="0.15"/>
    <n v="4.4999999999999998E-2"/>
    <n v="9.3749999999999997E-3"/>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s v="Implementación proyecto de prevención y autoprotección  comunitaria ante incendios forestales (fase 2)."/>
    <n v="6.25E-2"/>
    <n v="100"/>
    <m/>
    <m/>
    <s v="Jorge Alberto Pardo Torres"/>
    <n v="3"/>
    <s v="Informe consolidado del desarrollo del proyecto fase 2"/>
    <n v="0.3"/>
    <d v="2019-12-01T00:00:00"/>
    <d v="2019-12-31T00:00:00"/>
    <n v="1.8749999999999999E-2"/>
    <s v="Ing Luisa Fernanda Morantes"/>
    <m/>
    <m/>
    <n v="0"/>
    <n v="0"/>
    <n v="0"/>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n v="12"/>
    <s v="Actualizar, publicar y seguimiento a la estrategia de cambio climático de la UAECOB"/>
    <n v="6.25E-2"/>
    <n v="100"/>
    <s v="Porcentual"/>
    <s v="Actualizar el 100% de la estrategia de cambio climático de la UAECOB"/>
    <s v="Jorge Alberto Pardo Torres"/>
    <n v="1"/>
    <s v="Actualización de la estrategia de cambio climático de la UAECOB"/>
    <n v="0.4"/>
    <d v="2019-01-15T00:00:00"/>
    <d v="2019-06-30T00:00:00"/>
    <n v="2.5000000000000001E-2"/>
    <s v="Ing Luisa Fernanda Morantes"/>
    <n v="1"/>
    <s v="Se actualizo el documento de la estrategia de Cambio Climático y se entregó para revisión a la coordinación del proceso de Reducción del Riesgo mediante entrega de informe."/>
    <n v="0.4"/>
    <n v="0.4"/>
    <n v="2.5000000000000001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s v="Actualizar, publicar y seguimiento a la estrategia de cambio climático de la UAECOB"/>
    <n v="6.25E-2"/>
    <n v="100"/>
    <m/>
    <m/>
    <s v="Jorge Alberto Pardo Torres"/>
    <n v="2"/>
    <s v="Aprobación de la estrategia de cambio climático"/>
    <n v="0.2"/>
    <d v="2019-07-01T00:00:00"/>
    <d v="2019-09-30T00:00:00"/>
    <n v="1.2500000000000001E-2"/>
    <s v="Ing Luisa Fernanda Morantes"/>
    <m/>
    <m/>
    <n v="0"/>
    <n v="0"/>
    <n v="0"/>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s v="Actualizar, publicar y seguimiento a la estrategia de cambio climático de la UAECOB"/>
    <n v="6.25E-2"/>
    <n v="100"/>
    <m/>
    <m/>
    <s v="Jorge Alberto Pardo Torres"/>
    <n v="3"/>
    <s v="Publicación de la estrategia de cambio climático"/>
    <n v="0.2"/>
    <d v="2019-10-01T00:00:00"/>
    <d v="2019-10-31T00:00:00"/>
    <n v="1.2500000000000001E-2"/>
    <s v="Ing Luisa Fernanda Morantes"/>
    <m/>
    <m/>
    <n v="0"/>
    <n v="0"/>
    <n v="0"/>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s v="Actualizar, publicar y seguimiento a la estrategia de cambio climático de la UAECOB"/>
    <n v="6.25E-2"/>
    <n v="100"/>
    <m/>
    <m/>
    <s v="Jorge Alberto Pardo Torres"/>
    <n v="4"/>
    <s v="Seguimiento a la estrategia de cambio climático"/>
    <n v="0.2"/>
    <d v="2019-11-01T00:00:00"/>
    <d v="2019-12-31T00:00:00"/>
    <n v="1.2500000000000001E-2"/>
    <s v="Ing Luisa Fernanda Morantes"/>
    <m/>
    <m/>
    <n v="0"/>
    <n v="0"/>
    <n v="0"/>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n v="13"/>
    <s v="cartografía social en localidad de puente Aranda para materiales peligrosos"/>
    <n v="6.25E-2"/>
    <n v="100"/>
    <s v="Porcentual"/>
    <s v="Desarrollar 1 piloto en la localidad de puente Aranda de cartografía social  para materiales peligrosos"/>
    <s v="Jorge Alberto Pardo Torres"/>
    <n v="1"/>
    <s v="Mesas de trabajo para lineamientos del desarrollo del piloto de cartografía"/>
    <n v="0.25"/>
    <d v="2019-01-15T00:00:00"/>
    <d v="2019-03-30T00:00:00"/>
    <n v="1.5625E-2"/>
    <s v="Ing Paola Castañeda"/>
    <n v="1"/>
    <s v="Se realizó reunión con el Sargento Jefe del Grupo con el fin de solicitar información a la espera de otra reunión con el fin de recopilar la información sobre el desarrollo piloto de la cartografía. "/>
    <n v="0.25"/>
    <n v="0.25"/>
    <n v="1.5625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s v="cartografía social en localidad de puente Aranda para materiales peligrosos"/>
    <n v="6.25E-2"/>
    <n v="100"/>
    <m/>
    <m/>
    <s v="Jorge Alberto Pardo Torres"/>
    <n v="2"/>
    <s v="Presentación de documento con las fases y lineamientos"/>
    <n v="0.25"/>
    <d v="2019-04-01T00:00:00"/>
    <d v="2019-06-30T00:00:00"/>
    <n v="1.5625E-2"/>
    <s v="Ing Paola Castañeda"/>
    <n v="0.8"/>
    <s v="Se está desarrollando el documento con los lineamientos y fases de la recolección de la información para la cartografía."/>
    <n v="0.2"/>
    <n v="0.16000000000000003"/>
    <n v="1.2500000000000001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s v="cartografía social en localidad de puente Aranda para materiales peligrosos"/>
    <n v="6.25E-2"/>
    <n v="100"/>
    <m/>
    <m/>
    <s v="Jorge Alberto Pardo Torres"/>
    <n v="3"/>
    <s v="Levantamiento de información para la cartografía social"/>
    <n v="0.25"/>
    <d v="2019-07-01T00:00:00"/>
    <d v="2019-09-30T00:00:00"/>
    <n v="1.5625E-2"/>
    <s v="Ing Paola Castañeda"/>
    <m/>
    <m/>
    <n v="0"/>
    <n v="0"/>
    <n v="0"/>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s v="cartografía social en localidad de puente Aranda para materiales peligrosos"/>
    <n v="6.25E-2"/>
    <n v="100"/>
    <m/>
    <m/>
    <s v="Jorge Alberto Pardo Torres"/>
    <n v="4"/>
    <s v="Consolidación, validación y divulgación de la cartografía social"/>
    <n v="0.25"/>
    <d v="2019-10-01T00:00:00"/>
    <d v="2019-12-31T00:00:00"/>
    <n v="1.5625E-2"/>
    <s v="Ing Paola Castañeda"/>
    <m/>
    <m/>
    <n v="0"/>
    <n v="0"/>
    <n v="0"/>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n v="14"/>
    <s v="Divulgación de una campaña de gestión del riesgo en las 20 localidades "/>
    <n v="6.25E-2"/>
    <n v="100"/>
    <s v="Porcentaje"/>
    <s v="Divulgar en las 20 localidades una campaña de Gestión del Riesgo"/>
    <s v="Subdirector de Gestión del Riesgo_x000a_Jorge Alberto Pardo Torres"/>
    <n v="1"/>
    <s v="Identificación y selección de la o las campañas a divulgar"/>
    <n v="0.15"/>
    <d v="2019-01-15T00:00:00"/>
    <d v="2019-02-15T00:00:00"/>
    <n v="9.3749999999999997E-3"/>
    <s v="Ing Paola Castañeda"/>
    <n v="1"/>
    <s v=" Se solicitó información a los gestores, con el fin de consolidar las diferentes campañas y se divulgo la campaña Gas licuado de Petróleo-GLP por medio de las redes sociales de la entidad. "/>
    <n v="0.15"/>
    <n v="0.15"/>
    <n v="9.3749999999999997E-3"/>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s v="Divulgación de una campaña de gestión del riesgo en las 20 localidades "/>
    <n v="6.25E-2"/>
    <n v="100"/>
    <s v="Porcentaje"/>
    <s v="Divulgar en las 20 localidades una campaña de Gestión del Riesgo"/>
    <s v="Subdirector de Gestión del Riesgo_x000a_Jorge Alberto Pardo Torres"/>
    <n v="2"/>
    <s v="Consolidación del material didáctico de apoyo para la divulgación de la estrategia"/>
    <n v="0.2"/>
    <d v="2019-02-16T00:00:00"/>
    <d v="2019-04-30T00:00:00"/>
    <n v="1.2500000000000001E-2"/>
    <s v="Ing Paola Castañeda"/>
    <n v="1"/>
    <s v="Se elaboró el material didáctico para la campaña de Gas licuado de Petróleo-GLP y se elabora el diseño de los afiches para las campañas de vientos para agosto, pirotecnia, seguridad en diciembre, seguridad en Halloween, ductos de basura en propiedad horizontal, forestales y recomendaciones generales de prevención en centros comerciales"/>
    <n v="0.2"/>
    <n v="0.2"/>
    <n v="1.2500000000000001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s v="Divulgación de una campaña de gestión del riesgo en las 20 localidades "/>
    <n v="6.25E-2"/>
    <n v="100"/>
    <s v="Porcentaje"/>
    <s v="Divulgar en las 20 localidades una campaña de Gestión del Riesgo"/>
    <s v="Subdirector de Gestión del Riesgo_x000a_Jorge Alberto Pardo Torres"/>
    <n v="3"/>
    <s v="Divulgación de la o las campañas de prevención en las 20 localidades"/>
    <n v="0.45"/>
    <d v="2019-05-01T00:00:00"/>
    <d v="2019-11-30T00:00:00"/>
    <n v="2.8125000000000001E-2"/>
    <s v="Ing Paola Castañeda"/>
    <n v="0.05"/>
    <s v="Se inicia con la divulgación en los centros comerciales de la campaña de hogar seguro y la casa inflable. Igualmente se realizó el día 8 de junio una jornada de sensibilización y prevención de incendios forestales y causas del cambio climático en compañía del área de gestión ambiental en la localidad de USME barrio nuevo porvenir."/>
    <n v="2.2500000000000003E-2"/>
    <n v="1.1250000000000001E-3"/>
    <n v="1.4062500000000002E-3"/>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s v="Divulgación de una campaña de gestión del riesgo en las 20 localidades "/>
    <n v="6.25E-2"/>
    <n v="100"/>
    <s v="Porcentaje"/>
    <s v="Divulgar en las 20 localidades una campaña de Gestión del Riesgo"/>
    <s v="Subdirector de Gestión del Riesgo_x000a_Jorge Alberto Pardo Torres"/>
    <n v="4"/>
    <s v="Informe final de la o las campañas divulgadas"/>
    <n v="0.2"/>
    <d v="2019-12-01T00:00:00"/>
    <d v="2019-12-31T00:00:00"/>
    <n v="1.2500000000000001E-2"/>
    <s v="Ing Paola Castañeda"/>
    <m/>
    <m/>
    <n v="0"/>
    <n v="0"/>
    <n v="0"/>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REDUCCION DEL RIESGO"/>
    <x v="4"/>
    <n v="15"/>
    <s v="Diseñar y Gestionar una estrategia para la gestión del riesgo por incendios forestales en la localidad de Sumapaz"/>
    <n v="6.25E-2"/>
    <n v="100"/>
    <s v="Porcentaje"/>
    <s v="Gestionar  una estrategia para la gestión del riesgo por incendios forestales en la localidad de Sumapaz"/>
    <s v="Subdirector de Gestión del Riesgo_x000a_Jorge Alberto Pardo Torres"/>
    <n v="1"/>
    <s v="Mesas de Trabajo con el personal uniformado para diseñar la estrategia"/>
    <n v="0.2"/>
    <d v="2019-01-15T00:00:00"/>
    <d v="2019-04-30T00:00:00"/>
    <n v="1.2500000000000001E-2"/>
    <s v="Ing Paola Castañeda"/>
    <n v="1"/>
    <s v="A través de acta de reunión del 14 de marzo de 2019 con el personal uniformado y el Comandante Tito Forero,  se establecieron los lineamientos de la estrategia para la gestión del riesgo por incendios forestales en la localidad de Sumapaz."/>
    <n v="0.2"/>
    <n v="0.2"/>
    <n v="1.2500000000000001E-2"/>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REDUCCION DEL RIESGO"/>
    <x v="4"/>
    <m/>
    <s v="Diseñar y Gestionar una estrategia para la gestión del riesgo por incendios forestales en la localidad de Sumapaz"/>
    <n v="6.25E-2"/>
    <n v="100"/>
    <s v="Porcentaje"/>
    <s v="Gestionar  una estrategia para la gestión del riesgo por incendios forestales en la localidad de Sumapaz"/>
    <s v="Subdirector de Gestión del Riesgo_x000a_Jorge Alberto Pardo Torres"/>
    <n v="2"/>
    <s v="Presentación de Documento Del a estrategia"/>
    <n v="0.3"/>
    <d v="2019-05-01T00:00:00"/>
    <d v="2019-07-30T00:00:00"/>
    <n v="1.8749999999999999E-2"/>
    <s v="Ing Paola Castañeda"/>
    <n v="0.75"/>
    <s v="Se realizó reunión con la localidad de Sumapaz determinando la actividad que se realizara en el mes de la prevención (octubre) y como actividad de plan de acción de la localidad."/>
    <n v="0.22499999999999998"/>
    <n v="0.16874999999999998"/>
    <n v="1.4062499999999999E-2"/>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REDUCCION DEL RIESGO"/>
    <x v="4"/>
    <m/>
    <s v="Diseñar y Gestionar una estrategia para la gestión del riesgo por incendios forestales en la localidad de Sumapaz"/>
    <n v="6.25E-2"/>
    <n v="100"/>
    <s v="Porcentaje"/>
    <s v="Gestionar  una estrategia para la gestión del riesgo por incendios forestales en la localidad de Sumapaz"/>
    <s v="Subdirector de Gestión del Riesgo_x000a_Jorge Alberto Pardo Torres"/>
    <n v="3"/>
    <s v="Gestión con la alcaldía Local de Sumapaz y entidades Distritales"/>
    <n v="0.5"/>
    <d v="2019-08-01T00:00:00"/>
    <d v="2019-12-31T00:00:00"/>
    <n v="3.125E-2"/>
    <s v="Ing Paola Castañeda"/>
    <m/>
    <m/>
    <n v="0"/>
    <n v="0"/>
    <n v="0"/>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CONOCIMIENTO DEL RIESGO"/>
    <x v="4"/>
    <n v="16"/>
    <s v="Insumo para Campaña de Prevención por incendios en el hogar "/>
    <n v="6.25E-2"/>
    <n v="100"/>
    <s v="Porcentaje"/>
    <s v="Realizar un Insumo para una Campaña de Prevención por incendios en el hogar. Con la información Interna del equipo de Investigación de incendios "/>
    <s v="Subdirector de Gestión del Riesgo_x000a_Jorge Alberto Pardo Torres"/>
    <n v="1"/>
    <s v="1. Definir Tema para el insumo basados en la revisión de la estadística de investigación de incendios.."/>
    <n v="0.2"/>
    <d v="2019-01-15T00:00:00"/>
    <d v="2019-02-15T00:00:00"/>
    <n v="1.2500000000000001E-2"/>
    <s v="Tte. Luis Fernando Caicedo"/>
    <n v="1"/>
    <s v="A través del acta de reunión del día 17 de Enero de 2019  se establece la definición de 3 temas relacionados con la investigación que realiza el EII, reunión del 11 de febrero de 2019 en la cual  se inicia la revisión de la estadística de relacionada con los riesgos para la campaña de incendios con la definición de los 3 temas (+incendios en ductos de basuras, fallas eléctricas y gasodomensticos)"/>
    <n v="0.2"/>
    <n v="0.2"/>
    <n v="1.2500000000000001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s v="Insumo para Campaña de Prevención por incendios en el hogar "/>
    <n v="6.25E-2"/>
    <n v="100"/>
    <s v="Porcentaje"/>
    <s v="Realizar un Insumo para una Campaña de Prevención por incendios en el hogar. Con la información Interna del equipo de Investigación de incendios "/>
    <s v="Subdirector de Gestión del Riesgo_x000a_Jorge Alberto Pardo Torres"/>
    <n v="2"/>
    <s v="2. Recolectar los datos basándose en la información existente en el equipo de investigación de incendios para generar el documento."/>
    <n v="0.4"/>
    <d v="2019-02-16T00:00:00"/>
    <d v="2019-07-30T00:00:00"/>
    <n v="2.5000000000000001E-2"/>
    <s v="Tte. Luis Fernando Caicedo"/>
    <n v="0.95"/>
    <s v="Se evidencia acta de reunión del 19 de marzo de 2019 en la cual se presenta avance de la recolección de los datos que sirven como insumo para presentar una campaña de prevención._x000a_Se define el tema del insumo para la campaña el cual es gasodomesticos._x000a_Se evidencia reunión 11 de abril de 2019 en la cual se establece el tema de funcionamiento de gasodomesticos_x000a_Se evidencia reunión del 29 de mayo en el cual se trata el tema de mantenimiento de gasodomesticos _x000a_Se evidencia reunión del 6 de junio en la cual se trata el tema de calentadores de paso a gas _x000a_Se evidencia reunión del 26 de junio de 2019 y el tema tratado fue normatividad de calentadores a gas_x000a_"/>
    <n v="0.38"/>
    <n v="0.36099999999999999"/>
    <n v="2.375E-2"/>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s v="Insumo para Campaña de Prevención por incendios en el hogar "/>
    <n v="6.25E-2"/>
    <n v="100"/>
    <s v="Porcentaje"/>
    <s v="Realizar un Insumo para una Campaña de Prevención por incendios en el hogar. Con la información Interna del equipo de Investigación de incendios "/>
    <s v="Subdirector de Gestión del Riesgo_x000a_Jorge Alberto Pardo Torres"/>
    <n v="3"/>
    <s v="3. Realizar un documento con la información necesaria para generar una campaña de prevención por incendios en el hogar."/>
    <n v="0.3"/>
    <d v="2019-08-01T00:00:00"/>
    <d v="2019-11-15T00:00:00"/>
    <n v="1.8749999999999999E-2"/>
    <s v="Tte. Luis Fernando Caicedo"/>
    <m/>
    <m/>
    <n v="0"/>
    <n v="0"/>
    <n v="0"/>
  </r>
  <r>
    <s v="3.  Construcción de comunidad y cultura ciudadana"/>
    <s v="103. Adelantar el 100% de acciones para la prevención y mitigación del riesgo de incidentes forestales (connatos, quemas e incendios)"/>
    <s v="3. Consolidar la Gestión del Conocimiento a través del modelo de Gestión del Riesgo y sus líneas de acción"/>
    <s v="REDUCCION DEL RIESGO"/>
    <x v="4"/>
    <m/>
    <s v="Insumo para Campaña de Prevención por incendios en el hogar "/>
    <n v="6.25E-2"/>
    <n v="100"/>
    <s v="Porcentaje"/>
    <s v="Realizar un Insumo para una Campaña de Prevención por incendios en el hogar. Con la información Interna del equipo de Investigación de incendios "/>
    <s v="Subdirector de Gestión del Riesgo_x000a_Jorge Alberto Pardo Torres"/>
    <n v="4"/>
    <s v="4. Radicar el documento al subdirector de gestión del riesgo."/>
    <n v="0.1"/>
    <d v="2019-11-16T00:00:00"/>
    <d v="2019-12-31T00:00:00"/>
    <n v="6.2500000000000003E-3"/>
    <s v="Tte. Luis Fernando Caicedo"/>
    <m/>
    <m/>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n v="1"/>
    <s v="Curso Bomberitos _x000a_&quot;Nicolas Quevedo Rizo&quot;"/>
    <n v="0.2"/>
    <n v="2"/>
    <s v="cursos"/>
    <s v="Realización de un curso de Bomberitos semestral  &quot;Nicolas Quevedo Rizo&quot;   en 17 estaciones de la UAECOB (B1, B2,B3,B4, B5, B6,B7,B8, B9, B10, B11, B12, B13, B14, B15, B16 y B17),  en el marco de los programas de la estrategia de sensibilización y educación en Prevención de incendios y emergencias conexas -Club Bomberitos, de conformidad con lo acordado con la S.G.R."/>
    <s v="Subdirección Operativa"/>
    <n v="1"/>
    <s v="Convocatoria."/>
    <n v="0.1"/>
    <d v="2019-05-21T00:00:00"/>
    <d v="2019-06-07T00:00:00"/>
    <n v="2.0000000000000004E-2"/>
    <s v="Subdirección Operativa"/>
    <n v="1"/>
    <s v="Se realizó la convocatoria del curso en todas las estaciones de la UAECOB, invitando a los niños a participar de la acostumbrada actividad."/>
    <n v="0.1"/>
    <n v="0.1"/>
    <n v="2.0000000000000004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Curso Bomberitos _x000a_&quot;Nicolas Quevedo Rizo&quot;"/>
    <n v="0.2"/>
    <n v="2"/>
    <m/>
    <m/>
    <s v="Subdirección Operativa"/>
    <n v="2"/>
    <s v="Ejecución."/>
    <n v="0.35"/>
    <d v="2019-06-17T00:00:00"/>
    <d v="2019-06-28T00:00:00"/>
    <n v="6.9999999999999993E-2"/>
    <s v="Subdirección Operativa"/>
    <n v="1"/>
    <s v="La ejecución del curso Bomberitos &quot;Nicolás Quevedo Rizo&quot; en las 17 estaciones fue entre el 18 y el 29 de junio de 2019, fechas de inicio y finalización, dentro de las actividades se tuvo contemplado: salidas pedagógicas, entrega de uniformes, refrigerios, material didáctico, transporte y clausura, beneficiando a 377 niños."/>
    <n v="0.35"/>
    <n v="0.35"/>
    <n v="6.9999999999999993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Curso Bomberitos _x000a_&quot;Nicolas Quevedo Rizo&quot;"/>
    <n v="0.2"/>
    <n v="2"/>
    <m/>
    <m/>
    <s v="Subdirección Operativa"/>
    <n v="3"/>
    <s v="Presentación de informe por compañía, ante la Subdirección Operativa."/>
    <n v="0.05"/>
    <d v="2019-06-29T00:00:00"/>
    <d v="2019-07-08T00:00:00"/>
    <n v="1.0000000000000002E-2"/>
    <s v="Subdirección Operativa"/>
    <m/>
    <m/>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Curso Bomberitos _x000a_&quot;Nicolas Quevedo Rizo&quot;"/>
    <n v="0.2"/>
    <n v="2"/>
    <m/>
    <m/>
    <s v="Subdirección Operativa"/>
    <n v="1"/>
    <s v="Convocatoria."/>
    <n v="0.1"/>
    <d v="2019-11-09T00:00:00"/>
    <d v="2019-11-16T00:00:00"/>
    <n v="2.0000000000000004E-2"/>
    <s v="Subdirección Operativa"/>
    <m/>
    <m/>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Curso Bomberitos _x000a_&quot;Nicolas Quevedo Rizo&quot;"/>
    <n v="0.2"/>
    <n v="2"/>
    <m/>
    <m/>
    <s v="Subdirección Operativa"/>
    <n v="2"/>
    <s v="Ejecución."/>
    <n v="0.35"/>
    <d v="2019-11-25T00:00:00"/>
    <d v="2019-12-09T00:00:00"/>
    <n v="6.9999999999999993E-2"/>
    <s v="Subdirección Operativa"/>
    <m/>
    <m/>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Curso Bomberitos _x000a_&quot;Nicolas Quevedo Rizo&quot;"/>
    <n v="0.2"/>
    <n v="2"/>
    <m/>
    <m/>
    <s v="Subdirección Operativa"/>
    <n v="3"/>
    <s v="Presentación de informe por compañía, ante la Subdirección Operativa."/>
    <n v="0.05"/>
    <d v="2019-12-10T00:00:00"/>
    <d v="2019-12-16T00:00:00"/>
    <n v="1.0000000000000002E-2"/>
    <s v="Subdirección Operativa"/>
    <m/>
    <m/>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n v="2"/>
    <s v="Revisión, ajuste y/o actualización del árbol de servicios"/>
    <n v="0.2"/>
    <n v="100"/>
    <s v="Porciento"/>
    <s v="Revisión, ajuste y/o actualización del  árbol de servicios y socialización a personal de las diecisiete  (17) estaciones de la Subdirección Operativa._x000a_"/>
    <s v="Subdirección Operativa"/>
    <n v="1"/>
    <s v="Revisión del árbol actual para ajuste o actualización"/>
    <n v="0.15"/>
    <d v="2019-01-10T00:00:00"/>
    <d v="2019-02-28T00:00:00"/>
    <n v="0.03"/>
    <s v="Subdirección Operativa"/>
    <n v="1"/>
    <s v="El equipo de la Central de Comunicaciones de la Subdirección Operativa, realizó reunión para programar las actividades de ajuste del árbol de servicios soportado en Acta del 25 de marzo de 2019."/>
    <n v="0.15"/>
    <n v="0.15"/>
    <n v="0.03"/>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Revisión, ajuste y/o actualización del árbol de servicios"/>
    <n v="0.2"/>
    <n v="100"/>
    <m/>
    <m/>
    <s v="Subdirección Operativa"/>
    <n v="2"/>
    <s v="Ajustes y/o actualización del árbol de servicios"/>
    <n v="0.4"/>
    <d v="2019-03-01T00:00:00"/>
    <d v="2019-04-30T00:00:00"/>
    <n v="8.0000000000000016E-2"/>
    <s v="Subdirección Operativa"/>
    <n v="0.5"/>
    <s v="Se realizó ajuste a la matriz del árbol de servicios en donde se agregaron estos tres servicios: falla estructural, incidente emergencia en potencia y activación"/>
    <n v="0.2"/>
    <n v="0.1"/>
    <n v="4.0000000000000008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Revisión, ajuste y/o actualización del árbol de servicios"/>
    <n v="0.2"/>
    <n v="100"/>
    <m/>
    <m/>
    <s v="Subdirección Operativa"/>
    <n v="3"/>
    <s v="Publicación en ruta de calidad"/>
    <n v="0.15"/>
    <d v="2019-05-01T00:00:00"/>
    <d v="2019-05-31T00:00:00"/>
    <n v="0.03"/>
    <s v="Subdirección Operativa"/>
    <n v="0"/>
    <s v="La publicacion se realizara en el tercer trimestre"/>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Revisión, ajuste y/o actualización del árbol de servicios"/>
    <n v="0.2"/>
    <n v="100"/>
    <m/>
    <m/>
    <s v="Subdirección Operativa"/>
    <n v="4"/>
    <s v="Socialización"/>
    <n v="0.2"/>
    <d v="2019-06-01T00:00:00"/>
    <d v="2019-10-31T00:00:00"/>
    <n v="4.0000000000000008E-2"/>
    <s v="Subdirección Operativa"/>
    <m/>
    <m/>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Revisión, ajuste y/o actualización del árbol de servicios"/>
    <n v="0.2"/>
    <n v="100"/>
    <m/>
    <m/>
    <s v="Subdirección Operativa"/>
    <n v="5"/>
    <s v="Informe de socialización"/>
    <n v="0.1"/>
    <d v="2019-11-01T00:00:00"/>
    <s v="15/112019"/>
    <n v="2.0000000000000004E-2"/>
    <s v="Subdirección Operativa"/>
    <m/>
    <m/>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n v="3"/>
    <s v="Información  estadística de las emergencias atendidas por la UAECOB."/>
    <n v="0.2"/>
    <n v="4"/>
    <s v="Publicaciones"/>
    <s v="Publicación trimestral de la información estadística de emergencias atendidas por la  UAECOB, en la página web de la entidad.  _x000a_(trimestre vencido)"/>
    <s v="Subdirección Operativa"/>
    <n v="1"/>
    <s v="Preparación y análisis de la información enviada por la C.C.C.-Centro de Comando y Comunicaciones "/>
    <n v="0.12"/>
    <d v="2019-04-01T00:00:00"/>
    <d v="2019-04-10T00:00:00"/>
    <n v="2.4E-2"/>
    <s v="Subdirección Operativa"/>
    <n v="1"/>
    <s v="Se preparó la información estadística del primer trimestre con la información enviada por el Centro de Comando y Comunicaciones (C.C.C.) de la Subdirección Operativa."/>
    <n v="0.12"/>
    <n v="0.12"/>
    <n v="2.4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Información  estadística de las emergencias atendidas por la UAECOB."/>
    <n v="0.2"/>
    <n v="4"/>
    <m/>
    <m/>
    <s v="Subdirección Operativa"/>
    <n v="2"/>
    <s v="Presentación de informe al área  encargada _x000a_para la publicación respectiva"/>
    <n v="0.08"/>
    <d v="2019-04-01T00:00:00"/>
    <d v="2019-04-10T00:00:00"/>
    <n v="1.6E-2"/>
    <s v="Subdirección Operativa"/>
    <n v="0"/>
    <s v="Se envió mediante correo electrónico, el informe respectivo para la publicación en la web la cual se realizará en el tercer trimestre, por lo que no alcanza a cumplir la fecha del segundo trimestre.  "/>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Información  estadística de las emergencias atendidas por la UAECOB."/>
    <n v="0.2"/>
    <n v="4"/>
    <m/>
    <m/>
    <s v="Subdirección Operativa"/>
    <n v="3"/>
    <s v="Revisión y verificación de  la  publicación en la web de la entidad"/>
    <n v="0.05"/>
    <d v="2019-04-11T00:00:00"/>
    <d v="2019-04-25T00:00:00"/>
    <n v="1.0000000000000002E-2"/>
    <s v="Subdirección Operativa"/>
    <n v="0"/>
    <s v="Debido a que la información se suministró terminando el segundo trimestre por lo que el informe y publicación quedo fuera de la fecha establecida"/>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Información  estadística de las emergencias atendidas por la UAECOB."/>
    <n v="0.2"/>
    <n v="4"/>
    <m/>
    <m/>
    <s v="Subdirección Operativa"/>
    <n v="1"/>
    <s v="Preparación y análisis de la información enviada por la C.C.C."/>
    <n v="0.12"/>
    <d v="2019-04-01T00:00:00"/>
    <d v="2019-06-30T00:00:00"/>
    <n v="2.4E-2"/>
    <s v="Subdirección Operativa"/>
    <n v="1"/>
    <s v="Se preparó la información estadística del segundo trimestre con la información enviada por el Centro de Comando y Comunicaciones (C.C.C.) de la Subdirección Operativa."/>
    <n v="0.12"/>
    <n v="0.12"/>
    <n v="2.4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Información  estadística de las emergencias atendidas por la UAECOB."/>
    <n v="0.2"/>
    <n v="4"/>
    <m/>
    <m/>
    <s v="Subdirección Operativa"/>
    <n v="2"/>
    <s v="Presentación de informe al área  encargada _x000a_para la publicación respectiva"/>
    <n v="0.08"/>
    <d v="2019-07-07T00:00:00"/>
    <d v="2019-07-10T00:00:00"/>
    <n v="1.6E-2"/>
    <s v="Subdirección Operativa"/>
    <m/>
    <m/>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Información  estadística de las emergencias atendidas por la UAECOB."/>
    <n v="0.2"/>
    <n v="4"/>
    <m/>
    <m/>
    <s v="Subdirección Operativa"/>
    <n v="3"/>
    <s v="Revisión y verificación de  la  publicación en la web de la entidad"/>
    <n v="0.05"/>
    <d v="2019-07-10T00:00:00"/>
    <d v="2019-07-12T00:00:00"/>
    <n v="1.0000000000000002E-2"/>
    <s v="Subdirección Operativa"/>
    <m/>
    <m/>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Información  estadística de las emergencias atendidas por la UAECOB."/>
    <n v="0.2"/>
    <n v="4"/>
    <m/>
    <m/>
    <s v="Subdirección Operativa"/>
    <n v="1"/>
    <s v="Preparación y análisis de la información enviada por la C.C.C."/>
    <n v="0.12"/>
    <d v="2019-07-01T00:00:00"/>
    <d v="2019-09-30T00:00:00"/>
    <n v="2.4E-2"/>
    <s v="Subdirección Operativa"/>
    <m/>
    <m/>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Información  estadística de las emergencias atendidas por la UAECOB."/>
    <n v="0.2"/>
    <n v="4"/>
    <m/>
    <m/>
    <s v="Subdirección Operativa"/>
    <n v="2"/>
    <s v="Presentación de informe al área  encargada _x000a_para la publicación respectiva"/>
    <n v="0.08"/>
    <d v="2019-10-07T00:00:00"/>
    <d v="2019-10-10T00:00:00"/>
    <n v="1.6E-2"/>
    <s v="Subdirección Operativa"/>
    <m/>
    <m/>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Información  estadística de las emergencias atendidas por la UAECOB."/>
    <n v="0.2"/>
    <n v="4"/>
    <m/>
    <m/>
    <s v="Subdirección Operativa"/>
    <n v="3"/>
    <s v="Revisión y verificación de  la  publicación en la web de la entidad"/>
    <n v="0.05"/>
    <d v="2019-10-10T00:00:00"/>
    <d v="2019-10-12T00:00:00"/>
    <n v="1.0000000000000002E-2"/>
    <s v="Subdirección Operativa"/>
    <m/>
    <m/>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Información  estadística de las emergencias atendidas por la UAECOB."/>
    <n v="0.2"/>
    <n v="4"/>
    <m/>
    <m/>
    <s v="Subdirección Operativa"/>
    <n v="1"/>
    <s v="Preparación y análisis de la información enviada por la C.C.C."/>
    <n v="0.12"/>
    <d v="2019-10-01T00:00:00"/>
    <d v="2019-12-31T00:00:00"/>
    <n v="2.4E-2"/>
    <s v="Subdirección Operativa"/>
    <m/>
    <m/>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Información  estadística de las emergencias atendidas por la UAECOB."/>
    <n v="0.2"/>
    <n v="4"/>
    <m/>
    <m/>
    <s v="Subdirección Operativa"/>
    <n v="2"/>
    <s v="Presentación de informe al área  encargada _x000a_para la publicación respectiva"/>
    <n v="0.08"/>
    <d v="2019-12-31T00:00:00"/>
    <d v="2019-12-31T00:00:00"/>
    <n v="1.6E-2"/>
    <s v="Subdirección Operativa"/>
    <m/>
    <m/>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Información  estadística de las emergencias atendidas por la UAECOB."/>
    <n v="0.2"/>
    <n v="4"/>
    <m/>
    <m/>
    <s v="Subdirección Operativa"/>
    <n v="3"/>
    <s v="Revisión y verificación de  la  publicación en la web de la entidad"/>
    <n v="0.05"/>
    <d v="2019-12-31T00:00:00"/>
    <d v="2019-12-31T00:00:00"/>
    <n v="1.0000000000000002E-2"/>
    <s v="Subdirección Operativa"/>
    <m/>
    <m/>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n v="4"/>
    <s v="Simulacro de comunicaciones en emergencias"/>
    <n v="0.2"/>
    <n v="1"/>
    <s v="Simulacro"/>
    <s v="Realización un simulacro de comunicaciones en emergencias para validar la capacidad de respuesta ante un fallo en la infraestructura de comunicaciones troncalizadas."/>
    <s v="Jefe de Central de radio, Subdirección Operativa"/>
    <n v="1"/>
    <s v="Actualización del procedimiento COORDINACION Y COMUNICACIONES EN INCIDENTES DE NIVEL III Y IV, en la ruta de la calidad"/>
    <n v="0.2"/>
    <d v="2019-01-15T00:00:00"/>
    <d v="2019-02-28T00:00:00"/>
    <n v="4.0000000000000008E-2"/>
    <s v="Subdirección Operativa"/>
    <n v="1"/>
    <s v="El equipo de la Central de Comunicaciones de la Subdirección Operativa, realizó reunión para programar las actividades del simulacro de comunicaciones. Se evidencia acta del 21 de marzo de 2019, con la cual se actualizo el procedimiento y ya se encuentra publicada en la ruta de la calidad."/>
    <n v="0.2"/>
    <n v="0.2"/>
    <n v="4.0000000000000008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Simulacro de comunicaciones en emergencias"/>
    <n v="0.2"/>
    <n v="1"/>
    <m/>
    <m/>
    <s v="Jefe de Central de radio, Subdirección Operativa"/>
    <n v="2"/>
    <s v="Actualización del instructivo SIMULACRO FALLAS EN LAS COMUNICACIONES EN EMERGENCIAS, en la ruta de la calidad"/>
    <n v="0.2"/>
    <d v="2019-03-01T00:00:00"/>
    <d v="2019-03-31T00:00:00"/>
    <n v="4.0000000000000008E-2"/>
    <s v="Subdirección Operativa"/>
    <n v="0"/>
    <s v="Ya se actualizo el intructivo y se encuentra pendiente la publicación en la ruta de la calidad para el tercer trimestre"/>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Simulacro de comunicaciones en emergencias"/>
    <n v="0.2"/>
    <n v="1"/>
    <m/>
    <m/>
    <s v="Jefe de Central de radio, Subdirección Operativa"/>
    <n v="3"/>
    <s v="Elaboración de Cronograma y libreto para ejecutar el simulacro."/>
    <n v="0.15"/>
    <d v="2019-04-01T00:00:00"/>
    <d v="2019-04-30T00:00:00"/>
    <n v="0.03"/>
    <s v="Subdirección Operativa"/>
    <n v="1"/>
    <s v="El documento adjunto contiene cronograma y libreto o guion del simulacro. El equipo de la Central de Comunicaciones de la Subdirección Operativa, realizó reuniones en el cual se evidencia que la fecha de ejecución del Simulacro será el 13 de julio de 2019, en las instalaciones de la Cámara de Comercio, Sede del Salitre."/>
    <n v="0.15"/>
    <n v="0.15"/>
    <n v="0.03"/>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Simulacro de comunicaciones en emergencias"/>
    <n v="0.2"/>
    <n v="1"/>
    <m/>
    <m/>
    <s v="Jefe de Central de radio, Subdirección Operativa"/>
    <n v="4"/>
    <s v="Ejecución del simulacro"/>
    <n v="0.4"/>
    <d v="2019-05-01T00:00:00"/>
    <d v="2019-05-31T00:00:00"/>
    <n v="8.0000000000000016E-2"/>
    <s v="Subdirección Operativa"/>
    <n v="0"/>
    <s v="Esta pendiente el simulacro, se realizara el 13 de julio de 2019."/>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Simulacro de comunicaciones en emergencias"/>
    <n v="0.2"/>
    <n v="1"/>
    <m/>
    <m/>
    <s v="Jefe de Central de radio, Subdirección Operativa"/>
    <n v="5"/>
    <s v="Entrega de informe de ejecución ante la Subdirección Operativa, según formato establecido."/>
    <n v="0.05"/>
    <d v="2019-06-01T00:00:00"/>
    <d v="2019-06-10T00:00:00"/>
    <n v="1.0000000000000002E-2"/>
    <s v="Subdirección Operativa"/>
    <m/>
    <m/>
    <n v="0"/>
    <n v="0"/>
    <n v="0"/>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n v="5"/>
    <s v="Revisión de hidrantes en Bogotá"/>
    <n v="0.2"/>
    <n v="100"/>
    <s v="Porciento"/>
    <s v="Revisión del 10%  de hidrantes de Bogotá según las jurisdicciones de cada una de las 17 estaciones._x000a__x000a_(el 10% de la meta equivale al 100% de la gestión durante la vigencia)"/>
    <s v="Subdirección Operativa"/>
    <n v="1"/>
    <s v="Documentar  los antecedentes de hidrantes en la ciudad y socializar la información  con  los jefes de estación de las cinco (5) compañías "/>
    <n v="0.2"/>
    <d v="2019-01-15T00:00:00"/>
    <d v="2019-02-28T00:00:00"/>
    <n v="4.0000000000000008E-2"/>
    <s v="Subdirección Operativa"/>
    <n v="1"/>
    <s v="Se documentaron los antecedentes de hidrantes y se socializó con los jefes de las estaciones el procedimiento de revisión de hidrantes."/>
    <n v="0.2"/>
    <n v="0.2"/>
    <n v="4.0000000000000008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Revisión de hidrantes en Bogotá"/>
    <n v="0.2"/>
    <n v="100"/>
    <m/>
    <m/>
    <s v="Subdirección Operativa"/>
    <n v="2"/>
    <s v="Revisión física y prueba funcional de los hidrantes para determinar su estado"/>
    <n v="0.35"/>
    <d v="2019-03-01T00:00:00"/>
    <d v="2019-11-30T00:00:00"/>
    <n v="6.9999999999999993E-2"/>
    <s v="Subdirección Operativa"/>
    <n v="1"/>
    <s v="Según la jurisdicción de las estaciones se ha realizado la revisión física y funcional de los hidrantes, conforme se puede evidenciar en el archivo de Google Drive HIDRANTES_COMPAÑIA_I; HIDRANTES_COMPAÑIA_II; HIDRANTES_COMPAÑIA_III; HIDRANTES_COMPAÑIA_IV; e HIDRANTES_COMPAÑIA_V._x000a__x000a__x000a__x000a_"/>
    <n v="0.35"/>
    <n v="0.35"/>
    <n v="6.9999999999999993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Revisión de hidrantes en Bogotá"/>
    <n v="0.2"/>
    <n v="100"/>
    <m/>
    <m/>
    <s v="Subdirección Operativa"/>
    <n v="3"/>
    <s v="_x000a_Diligenciamiento de formatos según lo evidenciado en las actividades 2 y 3."/>
    <n v="0.35"/>
    <d v="2019-03-01T00:00:00"/>
    <d v="2019-11-30T00:00:00"/>
    <n v="6.9999999999999993E-2"/>
    <s v="Subdirección Operativa"/>
    <n v="1"/>
    <s v="Se diligencio los formatos según las actividades de revision de los hidrantes"/>
    <n v="0.35"/>
    <n v="0.35"/>
    <n v="6.9999999999999993E-2"/>
  </r>
  <r>
    <s v="3.  Construcción de comunidad y cultura ciudadana"/>
    <s v="103. Adelantar el 100% de acciones para 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m/>
    <s v="Revisión de hidrantes en Bogotá"/>
    <n v="0.2"/>
    <n v="100"/>
    <m/>
    <m/>
    <s v="Subdirección Operativa"/>
    <n v="4"/>
    <s v="_x000a_Resultado estadístico"/>
    <n v="0.1"/>
    <d v="2019-12-01T00:00:00"/>
    <d v="2019-12-31T00:00:00"/>
    <n v="2.0000000000000004E-2"/>
    <s v="Subdirección Operativa"/>
    <m/>
    <m/>
    <n v="0"/>
    <n v="0"/>
    <n v="0"/>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Integral de Vehículos y Equipos"/>
    <x v="6"/>
    <n v="1"/>
    <s v="Plan para el Fortalecimiento de la Gestión Integral de los Servicios Logísticos"/>
    <n v="0.33"/>
    <n v="100"/>
    <s v="Potcentaje"/>
    <s v="Formalizar y Actualizar el Plan  para el fortalecimiento de  la Gestion Integral de los servicios Logisticos "/>
    <s v="Subdirección Logística"/>
    <n v="1"/>
    <s v="Formalizar  el Plan  para el fortalecimiento de  la Gestion Integral de los servicios Logisticos "/>
    <n v="0.5"/>
    <d v="2019-03-01T00:00:00"/>
    <d v="2019-04-30T00:00:00"/>
    <n v="0.16500000000000001"/>
    <s v="Subdirección Logística"/>
    <n v="1"/>
    <s v="Se socializa y formaliza el Plan para el fortalecimiento de la Gestión Integral de los servicios Logísticos con el Director "/>
    <n v="0.5"/>
    <n v="0.5"/>
    <n v="0.16500000000000001"/>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Integral de Vehículos y Equipos"/>
    <x v="6"/>
    <m/>
    <s v="Plan para el Fortalecimiento de la Gestión Integral de los Servicios Logísticos"/>
    <n v="0.33"/>
    <n v="100"/>
    <s v="Potcentaje"/>
    <s v="Formalizar y Actualizar el Plan  para el fortalecimiento de  la Gestion Integral de los servicios Logisticos "/>
    <s v="Subdirección Logística"/>
    <n v="2"/>
    <s v="Actualizar el Plan  para el fortalecimiento de  la Gestion Integral de los servicios Logisticos "/>
    <n v="0.5"/>
    <d v="2019-05-01T00:00:00"/>
    <d v="2019-06-30T00:00:00"/>
    <n v="0.16500000000000001"/>
    <s v="Subdirección Logística"/>
    <n v="1"/>
    <s v="Se actualiza el Plan para el fortalecimiento de la Gestión Integral de los servicios Logísticos"/>
    <n v="0.5"/>
    <n v="0.5"/>
    <n v="0.16500000000000001"/>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Integral de Vehículos y Equipos"/>
    <x v="6"/>
    <n v="2"/>
    <s v="_x000a_Plan de Mantenimiento Preventivo y Correctivo de Parque Automotor _x000a_"/>
    <n v="0.33"/>
    <n v="100"/>
    <s v="Potcentaje"/>
    <s v="Generar una Propuesta de la Estructura Funcional  de la Subdirección Logística"/>
    <s v="Líder Grupo de Parque Automotor_x000a_Líder Grupo Equipo Menor_x000a_Líder Grupo Suministros"/>
    <n v="1"/>
    <s v="Verificacion Fichas Técnicas de Parque Automotor "/>
    <n v="0.3"/>
    <d v="2019-03-01T00:00:00"/>
    <d v="2019-05-15T00:00:00"/>
    <n v="9.9000000000000005E-2"/>
    <s v="Subdireccion Logistica"/>
    <n v="1"/>
    <s v="Se realizó la revisión del estado actual de las fichas y se realizaron los ajustes pertinentes de la documentación de acuerdo a los lineamientos dados por Gestión Documental. Con base a lo anterior, se inicia el proceso de seguimiento de mantenimientos preventivos y correctivos de acuerdo al diseño de una base de datos para el seguimiento y control de cada proceso. Se consolidó la Matriz histórica de los mantenimientos correctivos y preventivos realizados a cada una de las máquinas de acuerdo con los dos últimos contratos de mantenimientos realizados al Parque Automotor."/>
    <n v="0.3"/>
    <n v="0.3"/>
    <n v="9.9000000000000005E-2"/>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Integral de Vehículos y Equipos"/>
    <x v="6"/>
    <m/>
    <s v="_x000a_Plan de Mantenimiento Preventivo y Correctivo de Parque Automotor _x000a_"/>
    <n v="0.33"/>
    <n v="100"/>
    <s v="Potcentaje"/>
    <s v="Generar una Propuesta de la Estructura Funcional  de la Subdirección Logística"/>
    <s v="Líder Grupo de Parque Automotor_x000a_Líder Grupo Equipo Menor_x000a_Líder Grupo Suministros"/>
    <n v="2"/>
    <s v="Revisar el  100% y Alinear el 45% de las Hojas de vidas de Parque Automotor de acuerdo al procedimiento de Gestion Documental de la entidad."/>
    <n v="0.3"/>
    <d v="2019-05-16T00:00:00"/>
    <d v="2019-08-15T00:00:00"/>
    <n v="9.9000000000000005E-2"/>
    <s v="Subdireccion Logistica"/>
    <n v="0.5"/>
    <s v="se inicia la revisión las hojas de vida del parque automotor con un check list establecido, para evidenciar los pendientes de cada una de las hojas de vida para lograr al 100% de los parámetros dados por Gestión Documental"/>
    <n v="0.15"/>
    <n v="7.4999999999999997E-2"/>
    <n v="4.9500000000000002E-2"/>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Integral de Vehículos y Equipos"/>
    <x v="6"/>
    <m/>
    <s v="_x000a_Plan de Mantenimiento Preventivo y Correctivo de Parque Automotor _x000a_"/>
    <n v="0.33"/>
    <n v="100"/>
    <s v="Potcentaje"/>
    <s v="Generar una Propuesta de la Estructura Funcional  de la Subdirección Logística"/>
    <s v="Líder Grupo de Parque Automotor_x000a_Líder Grupo Equipo Menor_x000a_Líder Grupo Suministros"/>
    <n v="3"/>
    <s v="Documentar Plan de Mantenimiento Preventivo y Correctivo de  Parque Automotor "/>
    <n v="0.4"/>
    <d v="2019-08-16T00:00:00"/>
    <d v="2019-11-30T00:00:00"/>
    <n v="0.13200000000000001"/>
    <s v="Subdireccion Logistica"/>
    <n v="0.38"/>
    <s v="Se inicia la elaboración del Plan de mantenimiento preventivo para el parque Automotor de la UAECOB donde se toman en cuenta los parámetros por kilometrajes para el cambio de aceite motor, estado de frenos, alineación y balanceo de los vehículos, estado de luces y sistema eléctrico. Se continuará   el plan de mantenimiento con las fichas técnicas de los vehículos para los sistemas de Bomba de extinción, sistema de suspensión, compartimientos, chapas, y demás componentes de las maquinas extintoras de la UAECOB."/>
    <n v="0.15200000000000002"/>
    <n v="5.7760000000000013E-2"/>
    <n v="5.016000000000001E-2"/>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Integral de Vehículos y Equipos"/>
    <x v="6"/>
    <n v="3"/>
    <s v="_x000a_Plan de Mantenimiento Preventivo y Correctivo de  Equipo Menor_x000a__x000a__x000a_"/>
    <n v="0.34"/>
    <n v="100"/>
    <s v="Potcentaje"/>
    <s v="Generar una Propuesta de la Estructura Funcional  de la Subdirección Logística"/>
    <s v="Líder Grupo de Parque Automotor_x000a_Líder Grupo Equipo Menor_x000a_Líder Grupo Suministros"/>
    <n v="1"/>
    <s v="Verificacion Fichas Técnicas de Equipo Menor"/>
    <n v="0.3"/>
    <d v="2019-03-01T00:00:00"/>
    <d v="2019-05-15T00:00:00"/>
    <n v="0.10200000000000001"/>
    <s v="Subdireccion Logistica"/>
    <n v="1"/>
    <s v="Se inició la revisión de las fichas existentes de los elementos de Equipo Menor de mayor rotación en este grupo, se está seleccionando toda la relación de los equipos para así determinar los componentes del Plan. Se desarrolló la base de datos del Equipo menor."/>
    <n v="0.3"/>
    <n v="0.3"/>
    <n v="0.10200000000000001"/>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Integral de Vehículos y Equipos"/>
    <x v="6"/>
    <m/>
    <s v="_x000a_Plan de Mantenimiento Preventivo y Correctivo de  Equipo Menor_x000a__x000a__x000a_"/>
    <n v="0.34"/>
    <n v="100"/>
    <s v="Potcentaje"/>
    <s v="Generar una Propuesta de la Estructura Funcional  de la Subdirección Logística"/>
    <s v="Líder Grupo de Parque Automotor_x000a_Líder Grupo Equipo Menor_x000a_Líder Grupo Suministros"/>
    <n v="2"/>
    <s v="Revisar el 100 % y Alinear el 15% de las Hojas de vidas de Equipo Menor de acuerdo al procedimiento de Gestion Documental de la entidad."/>
    <n v="0.3"/>
    <d v="2019-05-16T00:00:00"/>
    <d v="2019-08-15T00:00:00"/>
    <n v="0.10200000000000001"/>
    <s v="Subdireccion Logistica"/>
    <n v="0.5"/>
    <s v="Se realizó la verificación de inventario de las hojas de vida que se encuentran en B-3, analizando inicialmente las que se encuentran físicas en esta estación que son alrededor de 250 y las que se encuentran pendientes por archivar y que se encuentran de manera digital que son alrededor de 1000 hojas de vida._x000a__x000a_Se encuentra pendiente capacitación por parte de gestión documental para el personal de apoyo en Equipo Menor B-3_x000a_"/>
    <n v="0.15"/>
    <n v="7.4999999999999997E-2"/>
    <n v="5.1000000000000004E-2"/>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Integral de Vehículos y Equipos"/>
    <x v="6"/>
    <m/>
    <s v="_x000a_Plan de Mantenimiento Preventivo y Correctivo de  Equipo Menor_x000a__x000a__x000a_"/>
    <n v="0.34"/>
    <n v="100"/>
    <s v="Potcentaje"/>
    <s v="Generar una Propuesta de la Estructura Funcional  de la Subdirección Logística"/>
    <s v="Líder Grupo de Parque Automotor_x000a_Líder Grupo Equipo Menor_x000a_Líder Grupo Suministros"/>
    <n v="3"/>
    <s v="Documentar el Plan de Mantenimiento Preventivo y Correctivo de Equipo Menor"/>
    <n v="0.4"/>
    <d v="2019-08-16T00:00:00"/>
    <d v="2019-11-30T00:00:00"/>
    <n v="0.13600000000000001"/>
    <s v="Subdireccion Logistica"/>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Administrativa"/>
    <x v="7"/>
    <n v="1"/>
    <s v="Diagnostico Integral de Archivos"/>
    <n v="6.25E-2"/>
    <n v="1"/>
    <s v="Porcentaje"/>
    <s v="El Diagnostico Integral de Archivo es el instrumento que permite identificar la problemática, fortalezas y necesidades de la gestión documental de la Entidad."/>
    <s v="Coordinador Sistema de Gestión Documental- Francisco Rubiano"/>
    <n v="1"/>
    <s v="Elaboración del modelo de encuesta para elaborar el diagnostico integral de archivo."/>
    <n v="0.25"/>
    <d v="2019-01-02T00:00:00"/>
    <d v="2019-03-30T00:00:00"/>
    <n v="1.5625E-2"/>
    <s v="Coordinador Sistema de Gestión Documental- Francisco Rubiano"/>
    <n v="1"/>
    <s v="Se elaboró el formato para la Encuesta para elaborar el diagnostico de archivo"/>
    <n v="0.25"/>
    <n v="0.25"/>
    <n v="1.56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Administrativa"/>
    <x v="7"/>
    <m/>
    <s v="Diagnostico Integral de Archivos"/>
    <n v="6.25E-2"/>
    <n v="1"/>
    <m/>
    <s v="El Diagnostico Integral de Archivo es el instrumento que permite identificar la problemática, fortalezas y necesidades de la gestión documental de la Entidad."/>
    <s v="Coordinador Sistema de Gestión Documental- Francisco Rubiano"/>
    <n v="2"/>
    <s v="Aplicación de la encuesta en las dependencias del Edificio Comando y en cada una de las Estaciones"/>
    <n v="0.25"/>
    <d v="2019-04-02T00:00:00"/>
    <d v="2019-06-30T00:00:00"/>
    <n v="1.5625E-2"/>
    <s v="Coordinador Sistema de Gestión Documental- Francisco Rubiano"/>
    <n v="0"/>
    <s v="No se ha ejecutado la encuesta, debido a inconvenientes de procesos que lleva el área, sin embargo, se va a aplicar de manera conjunta con el desarrollo de la transferencia documental primaria número 10 en el tercer trimestre. "/>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Administrativa"/>
    <x v="7"/>
    <m/>
    <s v="Diagnostico Integral de Archivos"/>
    <n v="6.25E-2"/>
    <n v="1"/>
    <m/>
    <s v="El Diagnostico Integral de Archivo es el instrumento que permite identificar la problemática, fortalezas y necesidades de la gestión documental de la Entidad."/>
    <s v="Coordinador Sistema de Gestión Documental- Francisco Rubiano"/>
    <n v="3"/>
    <s v="Tabulación de la información recolectada"/>
    <n v="0.25"/>
    <d v="2019-07-02T00:00:00"/>
    <d v="2019-09-30T00:00:00"/>
    <n v="1.5625E-2"/>
    <s v="Coordinador Sistema de Gestión Documental- Francisco Rubiano"/>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Administrativa"/>
    <x v="7"/>
    <m/>
    <s v="Diagnostico Integral de Archivos"/>
    <n v="6.25E-2"/>
    <n v="1"/>
    <m/>
    <s v="El Diagnostico Integral de Archivo es el instrumento que permite identificar la problemática, fortalezas y necesidades de la gestión documental de la Entidad."/>
    <s v="Coordinador Sistema de Gestión Documental- Francisco Rubiano"/>
    <n v="4"/>
    <s v="Análisis y presentación del Diagnostico Integral de Archivo."/>
    <n v="0.25"/>
    <d v="2019-10-02T00:00:00"/>
    <d v="2019-12-30T00:00:00"/>
    <n v="1.5625E-2"/>
    <s v="Coordinador Sistema de Gestión Documental- Francisco Rubiano"/>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Administrativa"/>
    <x v="7"/>
    <n v="2"/>
    <s v="Dar cumplimiento a la Política de Cero Papel en la Entidad, de conformidad con la Resolución 730 de 2013."/>
    <n v="6.25E-2"/>
    <n v="0.2"/>
    <s v="Porcentaje"/>
    <s v="Sensibilización en el  consumo de papel responsable en las 17 Estaciones y el Edificio Comando de la UAECOB"/>
    <s v="Coordinador Sistema de Gestión ambiental - Jesús Rojas"/>
    <n v="1"/>
    <s v="Fortalecer las campañas de Ahorro de Papel en las dependencias de la UAECOB."/>
    <n v="0.5"/>
    <d v="2019-02-01T00:00:00"/>
    <d v="2019-12-31T00:00:00"/>
    <n v="3.125E-2"/>
    <s v="Coordinador Sistema de Gestión ambiental - Jesús Rojas"/>
    <n v="1"/>
    <s v="En coordinación con la Oficina Asesora de Comunicación, se está articulando el fortalecimiento de la campaña de ahorro de papel en la dependencia, para lo cual se estableció la campaña a través de fondos de pantalla y correo institucional."/>
    <n v="0.5"/>
    <n v="0.5"/>
    <n v="3.1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Administrativa"/>
    <x v="7"/>
    <m/>
    <s v="Dar cumplimiento a la Política de Cero Papel en la Entidad, de conformidad con la Resolución 730 de 2013."/>
    <n v="6.25E-2"/>
    <n v="0.2"/>
    <m/>
    <s v="Sensibilización en el  consumo de papel responsable en las 17 Estaciones y el Edificio Comando de la UAECOB"/>
    <s v="Coordinador Sistema de Gestión ambiental - Jesús Rojas"/>
    <n v="2"/>
    <s v="Realizar Jornadas de sensibilización  y capacitación en cada una de las  17 Estaciones y el Edificio Comando de la UAECOB"/>
    <n v="0.5"/>
    <d v="2019-02-01T00:00:00"/>
    <d v="2019-12-31T00:00:00"/>
    <n v="3.125E-2"/>
    <s v="Coordinador Sistema de Gestión ambiental - Jesus Rojas"/>
    <n v="1"/>
    <s v="Se realizaron jornadas de sensibilización y capacitación en cada una de las 17 Estaciones y el Edificio Comando de la UAECOB en el mes de mayo de 2019, sobre los temas de ahorro de papel en cumplimiento de la política cero papel."/>
    <n v="0.5"/>
    <n v="0.5"/>
    <n v="3.1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Administrativa"/>
    <x v="7"/>
    <n v="3"/>
    <s v="Realizar Seguimiento a la implementación del PIGA"/>
    <n v="6.25E-2"/>
    <n v="51"/>
    <s v="visitas"/>
    <s v="Se realizará una visita a partir del segundo trimestre a cada estación, para hacer seguimiento a la implementación del PIGA"/>
    <s v="Coordinador Sistema de Gestión ambiental - Jesús Rojas"/>
    <n v="1"/>
    <s v="Desarrollar el contenido de la visita de seguimiento y la planeación de las visitas."/>
    <n v="0.1"/>
    <d v="2019-03-26T00:00:00"/>
    <d v="2019-03-29T00:00:00"/>
    <n v="6.2500000000000003E-3"/>
    <s v="Coordinador Sistema de Gestión ambiental - Jesús Rojas"/>
    <n v="1"/>
    <s v="Se desarrolló el cuerpo del formato con el cual se va a verificar el seguimiento a la implementación del PIGA, así como la programación en cuanto a fechas de las visitas."/>
    <n v="0.1"/>
    <n v="0.1"/>
    <n v="6.2500000000000003E-3"/>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Administrativa"/>
    <x v="7"/>
    <m/>
    <s v="Realizar Seguimiento a la implementación del PIGA"/>
    <n v="6.25E-2"/>
    <n v="51"/>
    <m/>
    <m/>
    <s v="Coordinador Sistema de Gestión ambiental - Jesús Rojas"/>
    <n v="2"/>
    <s v="Realizar una visita trimestral a cada estación, para hacer seguimiento a la implementación del PIGA"/>
    <n v="0.9"/>
    <d v="2019-04-01T00:00:00"/>
    <d v="2019-12-31T00:00:00"/>
    <n v="5.6250000000000001E-2"/>
    <s v="Coordinador Sistema de Gestión ambiental - Jesús Rojas"/>
    <n v="1"/>
    <s v="Se realizó una jornada de sensibilización y capacitación del PIGA en cada una de las 17 Estaciones y el Edificio Comando de la UAECOB en el mes de mayo de 2019."/>
    <n v="0.9"/>
    <n v="0.9"/>
    <n v="5.6250000000000001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Administrativa"/>
    <x v="7"/>
    <n v="4"/>
    <s v="Realizar charlas comunicativas a los servidores públicos y/o contratistas del Edificio comando, en lo relacionado a las funciones del Defensor de la Ciudadanía de la UAECOB, para generar importancia frente a la oportunidad y coherencia de los requerimientos ciudadanos "/>
    <n v="6.25E-2"/>
    <n v="4"/>
    <s v="socializaciones"/>
    <s v="En el año se realizarán 4 publicaciones trimestrales sobre la socializacion de las funciones del defensor de la ciudadania al personal de la UAECOB."/>
    <s v="Servicio a la Ciudadanía - Cesar Augusto Zea Arevalo"/>
    <n v="1"/>
    <s v="Publicación de la socialización sobre la función del defensor del ciudadano Trimestral"/>
    <n v="0.25"/>
    <d v="2019-01-02T00:00:00"/>
    <d v="2019-03-30T00:00:00"/>
    <n v="1.5625E-2"/>
    <s v="Servicio a la Ciudadanía - Cesar Augusto Zea Arevalo"/>
    <n v="1"/>
    <s v="Se realizó la publicación sobre las funciones del defensor del ciudadano en el trimestre para socializar a toda la entidad a través del correo de la UAECOB."/>
    <n v="0.25"/>
    <n v="0.25"/>
    <n v="1.56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Administrativa"/>
    <x v="7"/>
    <m/>
    <s v="Realizar charlas comunicativas a los servidores públicos y/o contratistas del Edificio comando, en lo relacionado a las funciones del Defensor de la Ciudadanía de la UAECOB, para generar importancia frente a la oportunidad y coherencia de los requerimientos ciudadanos "/>
    <n v="6.25E-2"/>
    <n v="4"/>
    <m/>
    <m/>
    <s v="Servicio a la Ciudadanía - Cesar Augusto Zea Arevalo"/>
    <n v="2"/>
    <s v="Publicación de la socialización sobre la función del defensor del ciudadano Trimestral"/>
    <n v="0.25"/>
    <d v="2019-04-02T00:00:00"/>
    <d v="2019-06-30T00:00:00"/>
    <n v="1.5625E-2"/>
    <s v="Servicio a la Ciudadanía - Cesar Augusto Zea Arevalo"/>
    <n v="1"/>
    <s v="Se realizó la publicación sobre las funciones del defensor del ciudadano en el trimestre para socializar a toda la entidad a través del correo de la UAECOB."/>
    <n v="0.25"/>
    <n v="0.25"/>
    <n v="1.56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Administrativa"/>
    <x v="7"/>
    <m/>
    <s v="Realizar charlas comunicativas a los servidores públicos y/o contratistas del Edificio comando, en lo relacionado a las funciones del Defensor de la Ciudadanía de la UAECOB, para generar importancia frente a la oportunidad y coherencia de los requerimientos ciudadanos "/>
    <n v="6.25E-2"/>
    <n v="4"/>
    <m/>
    <m/>
    <s v="Servicio a la Ciudadanía - Cesar Augusto Zea Arevalo"/>
    <n v="3"/>
    <s v="Publicación de la socialización sobre la función del defensor del ciudadano Trimestral"/>
    <n v="0.25"/>
    <d v="2019-07-02T00:00:00"/>
    <d v="2019-09-30T00:00:00"/>
    <n v="1.5625E-2"/>
    <s v="Servicio a la Ciudadanía - Cesar Augusto Zea Arevalo"/>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Administrativa"/>
    <x v="7"/>
    <m/>
    <s v="Realizar charlas comunicativas a los servidores públicos y/o contratistas del Edificio comando, en lo relacionado a las funciones del Defensor de la Ciudadanía de la UAECOB, para generar importancia frente a la oportunidad y coherencia de los requerimientos ciudadanos "/>
    <n v="6.25E-2"/>
    <n v="4"/>
    <m/>
    <m/>
    <s v="Servicio a la Ciudadanía - Cesar Augusto Zea Arevalo"/>
    <n v="4"/>
    <s v="Publicación de la socialización sobre la función del defensor del ciudadano Trimestral"/>
    <n v="0.25"/>
    <d v="2019-10-02T00:00:00"/>
    <d v="2019-12-30T00:00:00"/>
    <n v="1.5625E-2"/>
    <s v="Servicio a la Ciudadanía - Cesar Augusto Zea Arevalo"/>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Administrativa"/>
    <x v="7"/>
    <n v="5"/>
    <s v="Socializar a los funcionarios de la Línea 195, sobre la información de los trámites y servicios con los que cuenta la UAECOB."/>
    <n v="6.25E-2"/>
    <n v="2"/>
    <s v="Capacitaciones"/>
    <s v="Fortalecimiento del Chat Distrital de la Línea 195, teniendo en cuenta que la Entidad genera información a la ciudadanía a través de este medio"/>
    <s v="Servicio a la Ciudadanía - Cesar Augusto Zea Arevalo"/>
    <n v="1"/>
    <s v="Preparación del material para realización de las socializaciones"/>
    <n v="0.25"/>
    <d v="2019-01-02T00:00:00"/>
    <d v="2019-12-22T00:00:00"/>
    <n v="1.5625E-2"/>
    <s v="Servicio a la Ciudadanía - Cesar Augusto Zea Arevalo"/>
    <n v="1"/>
    <s v="Se realizó preparación del material para la Presentación Institucional de los trámites de Bomberos "/>
    <n v="0.25"/>
    <n v="0.25"/>
    <n v="1.56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Administrativa"/>
    <x v="7"/>
    <m/>
    <s v="Socializar a los funcionarios de la Línea 195, sobre la información de los trámites y servicios con los que cuenta la UAECOB."/>
    <n v="6.25E-2"/>
    <n v="2"/>
    <m/>
    <m/>
    <s v="Servicio a la Ciudadanía - Cesar Augusto Zea Arevalo"/>
    <n v="2"/>
    <s v="Verificación asistencia de los participantes"/>
    <n v="0.25"/>
    <d v="2019-01-02T00:00:00"/>
    <d v="2019-12-22T00:00:00"/>
    <n v="1.5625E-2"/>
    <s v="Servicio a la Ciudadanía - Cesar Augusto Zea Arevalo"/>
    <n v="0.5"/>
    <s v="Se verifico la asistencia de los participantes a través de Actas de asistencia con un total de 92 participantes"/>
    <n v="0.125"/>
    <n v="6.25E-2"/>
    <n v="7.8125E-3"/>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Administrativa"/>
    <x v="7"/>
    <m/>
    <s v="Socializar a los funcionarios de la Línea 195, sobre la información de los trámites y servicios con los que cuenta la UAECOB."/>
    <n v="6.25E-2"/>
    <n v="2"/>
    <m/>
    <m/>
    <s v="Servicio a la Ciudadanía - Cesar Augusto Zea Arevalo"/>
    <n v="3"/>
    <s v="Resultados de la evaluación de la socialización"/>
    <n v="0.5"/>
    <d v="2019-01-02T00:00:00"/>
    <d v="2019-12-22T00:00:00"/>
    <n v="3.125E-2"/>
    <s v="Servicio a la Ciudadanía - Cesar Augusto Zea Arevalo"/>
    <n v="0.5"/>
    <s v="La evaluación del desempeño del funcionario que genero la capacitación estuvo de acuerdo a la satisfacción de los servidores de la Linea 195 fue del 99,63%"/>
    <n v="0.25"/>
    <n v="0.125"/>
    <n v="1.56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7"/>
    <n v="6"/>
    <s v=" Desarrollo académico de socialización y prevención disciplinaria a través del proceso de inducción y reinducción Coordinado por la OCDI"/>
    <n v="6.25E-2"/>
    <n v="5"/>
    <s v="Capacitaciones"/>
    <s v="Realizar durante la vigencia 2019, cinco (05) capacitaciones dirigidas a los funcionarios de la UAECOB, las cuales se adelantaran por compañías."/>
    <s v="Coordinador Oficina de Control Disciplinario Interno - Blanca Irene Delgadillo"/>
    <n v="1"/>
    <s v="Gestión de las actividades de planeación y ejecución para las 2 capacitaciones a realizar en el 2do trimestre del año."/>
    <n v="0.33"/>
    <d v="2019-04-02T00:00:00"/>
    <d v="2019-06-30T00:00:00"/>
    <n v="2.0625000000000001E-2"/>
    <s v="Coordinador Oficina de Control Disciplinario Interno - Blanca Irene Delgadillo"/>
    <n v="1"/>
    <s v="Se realizaron dos capacitaciones referentes a la inducción en temas de prevención en asuntos disciplinarios, una se realizó el 15/02/2019 y la otra el 05/03/2019 a las 8 de la mañana en los auditorios del Edificio Comando."/>
    <n v="0.33"/>
    <n v="0.33"/>
    <n v="2.0625000000000001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7"/>
    <m/>
    <s v=" Desarrollo académico de socialización y prevención disciplinaria a través del proceso de inducción y reinducción Coordinado por la OCDI"/>
    <n v="6.25E-2"/>
    <n v="5"/>
    <m/>
    <m/>
    <s v="Coordinador Oficina de Control Disciplinario Interno - Blanca Irene Delgadillo"/>
    <n v="2"/>
    <s v="Gestión de las actividades de planeación y ejecución para las 2 capacitaciones a realizar en el 3er trimestre del año."/>
    <n v="0.33"/>
    <d v="2019-07-01T00:00:00"/>
    <d v="2019-09-30T00:00:00"/>
    <n v="2.0625000000000001E-2"/>
    <s v="Coordinador Oficina de Control Disciplinario Interno - Blanca Irene Delgadillo"/>
    <n v="0.5"/>
    <s v="Para el segundo trimestre se realizó una capacitación referente a las faltas Disciplinarias el día 05/04/2019 a las 9: 00 am en las instalaciones del edificio Comando._x000a_NOTA ACLARATORIA: Esta actividad tiene inicio el segundo trimestre, sin embargo, en el primer trimestre se realizaron Dos (2) capacitaciones, en este sentido, a la fecha se han realizado 3 capacitaciones._x000a_"/>
    <n v="0.16500000000000001"/>
    <n v="8.2500000000000004E-2"/>
    <n v="1.031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de Asuntos Jurídicos"/>
    <x v="7"/>
    <m/>
    <s v=" Desarrollo académico de socialización y prevención disciplinaria a través del proceso de inducción y reinducción Coordinado por la OCDI"/>
    <n v="6.25E-2"/>
    <n v="5"/>
    <m/>
    <m/>
    <s v="Coordinador Oficina de Control Disciplinario Interno - Blanca Irene Delgadillo"/>
    <n v="3"/>
    <s v="Gestión de las actividades de planeación y ejecución para la capacitación final a realizar en el 4to trimestre del año."/>
    <n v="0.34"/>
    <d v="2019-10-01T00:00:00"/>
    <d v="2019-12-31T00:00:00"/>
    <n v="2.1250000000000002E-2"/>
    <s v="Coordinador Oficina de Control Disciplinario Interno - Blanca Irene Delgadillo"/>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Financiera"/>
    <x v="7"/>
    <n v="7"/>
    <s v="Capacitar en  el marco normativo contable para entidades de Gobierno (NMNCEG) aplicables a la UAE Cuerpo Oficial de Bomberos."/>
    <n v="6.25E-2"/>
    <n v="4"/>
    <s v="Capacitaciones"/>
    <s v="_x000a_Efectuar cuatro (4) capacitaciones en medición posterior bajo el nuevo marco normativo contable, en el año 2019."/>
    <s v="Jefe de la Oficina Financiera - Hernando Ibagué"/>
    <n v="1"/>
    <s v="Elaborar el  plan de trabajo para las capacitaciones"/>
    <n v="0.33333333333333337"/>
    <d v="2019-02-01T00:00:00"/>
    <d v="2019-03-31T00:00:00"/>
    <n v="2.0833333333333336E-2"/>
    <s v="Jefe de la Oficina Financiera- Hernando Ibagué R."/>
    <n v="1"/>
    <s v="Se elaboró el plan de trabajo para las capacitaciones, enfocado en: Manejo de elementos de propiedad planta y equipo e intangibles._x000a_Presentación del manual de políticas contables definitivas._x000a_Cálculo de beneficios a empleados a corto y largo plazo._x000a_Criterios en la actualización de los elementos de propiedad planta y equipo e intangibles en cuanto a las vidas útiles y para el cálculo del deterioro._x000a__x000a_"/>
    <n v="0.33333333333333337"/>
    <n v="0.33333333333333337"/>
    <n v="2.0833333333333336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Financiera"/>
    <x v="7"/>
    <m/>
    <s v="Capacitar en  el marco normativo contable para entidades de Gobierno (NMNCEG) aplicables a la UAE Cuerpo Oficial de Bomberos."/>
    <n v="6.25E-2"/>
    <n v="4"/>
    <m/>
    <m/>
    <s v="Jefe de la Oficina Financiera - Hernando Ibagué"/>
    <n v="2"/>
    <s v="Preparar del material para las Capacitaciones"/>
    <n v="0.33333333333333337"/>
    <d v="2019-02-01T00:00:00"/>
    <d v="2019-03-31T00:00:00"/>
    <n v="2.0833333333333336E-2"/>
    <s v="Jefe de la Oficina Financiera- Hernando Ibagué R."/>
    <n v="1"/>
    <s v="Se elaboró el plan de trabajo para las capacitaciones, enfocado en: Manejo de elementos de propiedad planta y equipo e intangibles._x000a_Y se prepara el material respectivo para las capacitaciones _x000a__x000a__x000a_"/>
    <n v="0.33333333333333337"/>
    <n v="0.33333333333333337"/>
    <n v="2.0833333333333336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Financiera"/>
    <x v="7"/>
    <m/>
    <s v="Capacitar en  el marco normativo contable para entidades de Gobierno (NMNCEG) aplicables a la UAE Cuerpo Oficial de Bomberos."/>
    <n v="6.25E-2"/>
    <n v="4"/>
    <m/>
    <m/>
    <s v="Jefe de la Oficina Financiera - Hernando Ibagué"/>
    <n v="3"/>
    <s v="Registrar la asistencias a las Capacitaciones"/>
    <n v="0.33333333333333337"/>
    <d v="2019-02-01T00:00:00"/>
    <d v="2019-12-31T00:00:00"/>
    <n v="2.0833333333333336E-2"/>
    <s v="Jefe de la Oficina Financiera- Hernando Ibagué R."/>
    <n v="0.25"/>
    <s v="Se realizó Una (1) capacitación el día 30 de abril/2019, donde se trato el tema de Manejo de elementos propiedad planta y equipo Nuevo Marco Normativo Contable."/>
    <n v="8.3333333333333343E-2"/>
    <n v="2.0833333333333336E-2"/>
    <n v="5.2083333333333339E-3"/>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7"/>
    <n v="8"/>
    <s v="Auditores internos entrenados"/>
    <n v="6.25E-2"/>
    <n v="100"/>
    <s v="Porcentaje"/>
    <s v="100% de los auditores formados en la Entidad, tengan entrenamiento de mínimo cuatro (4) horas de auditorias SIG"/>
    <s v="Coordinador de Sistema Integrado de Gestión - Jenny Alexandra Peña Padilla"/>
    <n v="1"/>
    <s v="Programar las auditorias del SIG en el plan anual de auditorias de la entidad"/>
    <n v="0.25"/>
    <d v="2019-01-01T00:00:00"/>
    <d v="2019-03-01T00:00:00"/>
    <n v="1.5625E-2"/>
    <s v="Coordinador de Sistema Integrado de Gestión - Jenny Alexandra Peña Padilla"/>
    <n v="1"/>
    <s v="Se  realizó la solicitud de incluir la auditoría interna al sistema de gestión respecto a la norma ISO 9001:2015 a la jefatura de la OCI el día 9 de enero de 2019 vía e-mail, por lo que el día 14 de enero la OCI citó a comité dando a conocer el plan anual de auditorías,  en este mismo se encuentra planificada la auditoria interna al sistema de gestión,  iniciando en octubre y finalizando en diciembre, finalmente es aprobado en acta de comité de control interno el día 21 de enero de 2019 por el personal directivo de la entidad._x000a_Ver anexo correos, Plan anual de auditorías y acta de reunión de enero 21 de 2019, en poder de OCI._x000a_"/>
    <n v="0.25"/>
    <n v="0.25"/>
    <n v="1.56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7"/>
    <m/>
    <s v="Auditores internos entrenados"/>
    <n v="6.25E-2"/>
    <n v="100"/>
    <m/>
    <s v="100% de los auditores formados en la Entidad, tengan entrenamiento de mínimo cuatro (4) horas de auditorias SIG"/>
    <s v="Coordinador de Sistema Integrado de Gestión - Jenny Alexandra Peña Padilla"/>
    <n v="2"/>
    <s v="Realizar la actualización del procedimiento de auditorias internas"/>
    <n v="0.25"/>
    <d v="2019-01-01T00:00:00"/>
    <d v="2019-03-01T00:00:00"/>
    <n v="1.5625E-2"/>
    <s v="Coordinador de Sistema Integrado de Gestión - Jenny Alexandra Peña Padilla"/>
    <n v="1"/>
    <s v="Se evidencia la publicación del procedimiento en la Ruta de la Calidad"/>
    <n v="0.25"/>
    <n v="0.25"/>
    <n v="1.56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7"/>
    <m/>
    <s v="Auditores internos entrenados"/>
    <n v="6.25E-2"/>
    <n v="100"/>
    <m/>
    <s v="100% de los auditores formados en la Entidad, tengan entrenamiento de mínimo cuatro (4) horas de auditorias SIG"/>
    <s v="Coordinador de Sistema Integrado de Gestión - Jenny Alexandra Peña Padilla"/>
    <n v="3"/>
    <s v="Realizar reuniones de preparación y socialización con los auditores internos de la entidad"/>
    <n v="0.25"/>
    <d v="2019-08-01T00:00:00"/>
    <d v="2019-10-01T00:00:00"/>
    <n v="1.5625E-2"/>
    <s v="Coordinador de Sistema Integrado de Gestión - Jenny Alexandra Peña Padilla"/>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7"/>
    <m/>
    <s v="Auditores internos entrenados"/>
    <n v="6.25E-2"/>
    <n v="100"/>
    <m/>
    <s v="100% de los auditores formados en la Entidad, tengan entrenamiento de mínimo cuatro (4) horas de auditorias SIG"/>
    <s v="Coordinador de Sistema Integrado de Gestión - Jenny Alexandra Peña Padilla"/>
    <n v="4"/>
    <s v="Realizar el plan de auditorias individuales por proceso con los auditores e incluir observadores"/>
    <n v="0.25"/>
    <d v="2019-10-01T00:00:00"/>
    <d v="2019-11-01T00:00:00"/>
    <n v="1.5625E-2"/>
    <s v="Coordinador de Sistema Integrado de Gestión - Jenny Alexandra Peña Padilla"/>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7"/>
    <n v="9"/>
    <s v="Cambio de la Cultura del Sistema Integrado de Gestión - MIPG"/>
    <n v="6.25E-2"/>
    <n v="80"/>
    <s v="Porcentaje"/>
    <s v="Conseguir una eficacia de capacitación del 80 % del personal administrativo y operativo"/>
    <s v="Coordinador de Sistema Integrado de Gestión - Jenny Alexandra Peña Padilla"/>
    <n v="1"/>
    <s v="Ejecutar las 3 actividades del plan de adecución de MIPG en la entidad asignadas a la subdirección de gestión corporativa"/>
    <n v="0.25"/>
    <d v="2019-01-01T00:00:00"/>
    <d v="2019-06-28T00:00:00"/>
    <n v="1.5625E-2"/>
    <s v="Coordinador de Sistema Integrado de Gestión - Jenny Alexandra Peña Padilla"/>
    <n v="1"/>
    <s v="Actividad 1:  Se realizó mesa de trabajo con la Subdirector de Gestión Corporativa, en donde se definió la estrategia de socialización al interior de la UAECOB: Se realizó mesa de trabajo donde se acordó crear un Slogan &quot;Todos unidos por un cambio&quot;_x000a_como estrategia de socialización del MIPG en la entidad, que se trabajó con la oficina de Prensa Institucional y fue divulgado por el correo institucional. (Acta de reunión 4 abril 2019; Plantilla del Slogan) y se ejecutó el curso con la ESAP, en los temas relacionados con la integración de MIPG con un referente de cada proceso, esta última se llevó a cabo los días 9, 21 y 28 de mayo del presente año._x000a_Actividad 2:  Documento que describe la integración de los procesos de la UAECOB, las políticas del MIPG y los subsistemas de gestión: Se trabajó conjuntamente con la OAP en la Resolución 306/19 y se creó una Matriz que describe la integración de los procesos, subprocesos   y responsables de la UAECOB para liderar su articulación, versus las dimensiones y políticas MIPG._x000a_Actividad 3: Documento que describe la integración de los procesos de la UAECOB, las políticas del MIPG y los subsistemas de gestión: En el Capítulo 5 de la Resolución 306/19, se especifica y se designa a la OAP como responsable de los equipos técnicos, así mismo se encuentran los lineamientos, funciones y deberes de estos equipos técnicos._x000a__x000a_ "/>
    <n v="0.25"/>
    <n v="0.25"/>
    <n v="1.562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7"/>
    <m/>
    <s v="Cambio de la Cultura del Sistema Integrado de Gestión - MIPG"/>
    <n v="6.25E-2"/>
    <n v="80"/>
    <m/>
    <m/>
    <s v="Coordinador de Sistema Integrado de Gestión - Jenny Alexandra Peña Padilla"/>
    <n v="2"/>
    <s v="Realizar dos (2) Capacitaciones Sistemas de Gestión - MIPG"/>
    <n v="0.75"/>
    <d v="2019-06-01T00:00:00"/>
    <d v="2019-12-31T00:00:00"/>
    <n v="4.6875E-2"/>
    <s v="Coordinador de Sistema Integrado de Gestión - Jenny Alexandra Peña Padilla"/>
    <n v="1"/>
    <s v="Se realizaron tres (3) capacitaciones en el edificio comando, sobre Sistema Integrado de Gestión -MIPG, los días 23 y 31 de mayo, y el 6 de junio del año en curso."/>
    <n v="0.75"/>
    <n v="0.75"/>
    <n v="4.6875E-2"/>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7"/>
    <n v="10"/>
    <s v="Certificación ISO 9001-2015"/>
    <n v="6.25E-2"/>
    <n v="100"/>
    <s v="Porcentaje"/>
    <s v="Cumplir al 100% del cronograma del Proyecto"/>
    <s v="Coordinador de Sistema Integrado de Gestión - Jenny Alexandra Peña Padilla"/>
    <n v="1"/>
    <s v="Identificar el estado del Sistema de Gestión de Calidad"/>
    <n v="0.16"/>
    <d v="2019-01-02T00:00:00"/>
    <d v="2019-03-29T00:00:00"/>
    <n v="0.01"/>
    <s v="Coordinador de Sistema Integrado de Gestión - Jenny Alexandra Peña Padilla"/>
    <n v="1"/>
    <s v="Se llevó a cabo la verificación de los requisitos ISO 9001 vs las políticas y dimensiones de MIPG, en donde se evaluaron los documentos existentes en la ruta de la calidad y el estado de cumplimiento respecto a las normas._x000a_- Ver anexo Matriz 9001, matriz de responsabilidades ISO 9001, cronograma certificación, Alineación políticas vs procesos_x000a_"/>
    <n v="0.16"/>
    <n v="0.16"/>
    <n v="0.01"/>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7"/>
    <m/>
    <s v="Certificación ISO 9001-2015"/>
    <n v="6.25E-2"/>
    <n v="100"/>
    <m/>
    <s v="Cumplir al 100% del cronograma del Proyecto"/>
    <s v="Coordinador de Sistema Integrado de Gestión - Jenny Alexandra Peña Padilla"/>
    <n v="2"/>
    <s v="Definir el plan estratégico, Identificar riesgos y oportunidades"/>
    <n v="0.16"/>
    <d v="2019-04-01T00:00:00"/>
    <d v="2019-06-28T00:00:00"/>
    <n v="0.01"/>
    <s v="Coordinador de Sistema Integrado de Gestión - Jenny Alexandra Peña Padilla"/>
    <n v="1"/>
    <s v="Se realizó el plan estratégico para la certificación ISO 9001-2015"/>
    <n v="0.16"/>
    <n v="0.16"/>
    <n v="0.01"/>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7"/>
    <m/>
    <s v="Certificación ISO 9001-2015"/>
    <n v="6.25E-2"/>
    <n v="100"/>
    <m/>
    <s v="Cumplir al 100% del cronograma del Proyecto"/>
    <s v="Coordinador de Sistema Integrado de Gestión - Jenny Alexandra Peña Padilla"/>
    <n v="3"/>
    <s v="Documentación o reingeniería de  procesos"/>
    <n v="0.16"/>
    <d v="2019-07-01T00:00:00"/>
    <d v="2019-09-30T00:00:00"/>
    <n v="0.01"/>
    <s v="Coordinador de Sistema Integrado de Gestión - Jenny Alexandra Peña Padilla"/>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7"/>
    <m/>
    <s v="Certificación ISO 9001-2015"/>
    <n v="6.25E-2"/>
    <n v="100"/>
    <m/>
    <s v="Cumplir al 100% del cronograma del Proyecto"/>
    <s v="Coordinador de Sistema Integrado de Gestión - Jenny Alexandra Peña Padilla"/>
    <n v="4"/>
    <s v="Auditoría interna"/>
    <n v="0.16"/>
    <d v="2019-10-01T00:00:00"/>
    <d v="2019-11-29T00:00:00"/>
    <n v="0.01"/>
    <s v="Coordinador de Sistema Integrado de Gestión - Jenny Alexandra Peña Padilla"/>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7"/>
    <m/>
    <s v="Certificación ISO 9001-2015"/>
    <n v="6.25E-2"/>
    <n v="100"/>
    <m/>
    <s v="Cumplir al 100% del cronograma del Proyecto"/>
    <s v="Coordinador de Sistema Integrado de Gestión - Jenny Alexandra Peña Padilla"/>
    <n v="5"/>
    <s v="Realizar la revisión por la dirección"/>
    <n v="0.16"/>
    <d v="2019-12-01T00:00:00"/>
    <d v="2019-12-31T00:00:00"/>
    <n v="0.01"/>
    <s v="Coordinador de Sistema Integrado de Gestión - Jenny Alexandra Peña Padilla"/>
    <m/>
    <m/>
    <n v="0"/>
    <n v="0"/>
    <n v="0"/>
  </r>
  <r>
    <s v="7. Gobierno Legítimo, fortalecimiento Local y eficiencia"/>
    <s v="71. Incrementar a un 90% la sostenibilidad del SIG en el Gobierno Distrital"/>
    <s v="4. Fortalecer la capacidad de gestión y desarrollo institucional e interinstitucional, para consolidar la modernización de la UAECOB y llevarla a la excelencia"/>
    <s v="Gestión Integrada"/>
    <x v="7"/>
    <m/>
    <s v="Certificación ISO 9001-2015"/>
    <n v="6.25E-2"/>
    <n v="100"/>
    <m/>
    <s v="Cumplir al 100% del cronograma del Proyecto"/>
    <s v="Coordinador de Sistema Integrado de Gestión - Jenny Alexandra Peña Padilla"/>
    <n v="6"/>
    <s v="Auditoría de certificación"/>
    <n v="0.2"/>
    <d v="2019-12-31T00:00:00"/>
    <d v="2020-01-31T00:00:00"/>
    <n v="1.2500000000000001E-2"/>
    <s v="Coordinador de Sistema Integrado de Gestión - Jenny Alexandra Peña Padilla"/>
    <m/>
    <m/>
    <n v="0"/>
    <n v="0"/>
    <n v="0"/>
  </r>
  <r>
    <s v="3.  Construcción de comunidad y cultura ciudadana"/>
    <s v="117. Construcción y puesta en marcha una (1) academia bomberil de Bogotá "/>
    <s v="4. Fortalecer la capacidad de gestión y desarrollo institucional e interinstitucional, para consolidar la modernización de la UAECOB y llevarla a la excelencia"/>
    <s v="Gestión de Infraestructura"/>
    <x v="7"/>
    <n v="11"/>
    <s v="Gestionar la adquisición de un predio para la elaboración de estudios, diseños y construcción de una (1) Escuela de Formación Bomberil y una (1) estación de Bomberos."/>
    <n v="6.25E-2"/>
    <n v="100"/>
    <s v="Porcentaje"/>
    <s v="Gestionar la compra del predio donde será ubicada la escuela de formación bomberil y una estación de bomberos."/>
    <s v="Coordinador de Infraestructura _x000a_Daniel Vera Ruiz"/>
    <n v="1"/>
    <s v="* Elaborar los Estudios Previos para la compra del predio. "/>
    <n v="0.25"/>
    <d v="2019-01-01T00:00:00"/>
    <d v="2019-03-31T00:00:00"/>
    <n v="1.5625E-2"/>
    <s v="Área de Infraestructura"/>
    <n v="0.2"/>
    <s v="El 19 de febrero de 2019 mediante radicado No. 2019EE1104 se solicita a través de derecho de petición ante la Unidad Administrativa Especial de Catastro Distrital con el fin de consultar el Valor Final para compra de predio, _x000a_* El 20 de marzo de 2019 mediante radicado No. 2019ER6173 se solicita ante Catastro Distrital solicitud de Cotización para realizar un Avalúo Comercial para el predio de interés_x000a_* El 28 de marzo de 2019 se recibe de Catastro Distrital, Respuesta al Derecho de Petición del 19 de febrero de 2019._x000a__x000a_* Se presentan los estudios previos radicados ante la oficina jurídica el 13 de diciembre de 2017, que como resultado de la revisión del área jurídica se estipuló que debía contratarse un Avalúo Predial._x000a_"/>
    <n v="0.05"/>
    <n v="1.0000000000000002E-2"/>
    <n v="3.1250000000000002E-3"/>
  </r>
  <r>
    <s v="3.  Construcción de comunidad y cultura ciudadana"/>
    <s v="117. Construcción y puesta en marcha una (1) academia bomberil de Bogotá "/>
    <s v="4. Fortalecer la capacidad de gestión y desarrollo institucional e interinstitucional, para consolidar la modernización de la UAECOB y llevarla a la excelencia"/>
    <s v="Gestión de Infraestructura"/>
    <x v="7"/>
    <m/>
    <s v="Gestionar la adquisición de un predio para la elaboración de estudios, diseños y construcción de una (1) Escuela de Formación Bomberil y una (1) estación de Bomberos."/>
    <n v="6.25E-2"/>
    <n v="100"/>
    <m/>
    <m/>
    <s v="Coordinador de Infraestructura _x000a_Daniel Vera Ruiz"/>
    <n v="2"/>
    <s v="* Gestionar el proceso de contratación ante OAJ para la compra del predio"/>
    <n v="0.25"/>
    <d v="2019-04-01T00:00:00"/>
    <d v="2019-06-30T00:00:00"/>
    <n v="1.5625E-2"/>
    <s v="Área de Infraestructura"/>
    <n v="0"/>
    <s v="Se suscribe contrato interadministrativo con Catastro Distrital con el fin de realizar un avalúo del predio ubicado en la Localidad de Usme, donde se ubicará la academia y una estación de bomberos nueva, predio que cumple con las características técnicas y de operatividad consignadas dentro del informe preliminar realizado por los profesionales del Área de Infraestructura; este contrato tiene un plazo de tres meses con el objetivo de realizar el avalúo de dicho predio para la respectiva gestión de recursos y compra del mismo, de acuerdo a lo anterior, el día 26 de junio de 2019 se suscribe el Contrato Interadministrativo No. 363 de 2019, cuyo objeto es &quot;CONTRATO INTERADMINISTRATIVO ENTRE LA UAE CUERPO OFICIAL DE BOMBEROS DE BOGOTÁ Y UAE-CATASTRO DISTRITAL PARA REALIZAR AVALÚO COMERCIAL A UN PREDIO DENTRO DEL PROYECTO ESCUELA DE FORMACIÓN (ACADEMIA) DE BOMBEROS DE BOGOTÁ Y ESTACIÓN DE BOMBEROS. Hasta tanto se tenga el avalúo catastral del valor acertado del predio, será posible gestionar el proceso de contratación ante la Oficina Asesora Jurídica."/>
    <n v="0"/>
    <n v="0"/>
    <n v="0"/>
  </r>
  <r>
    <s v="3.  Construcción de comunidad y cultura ciudadana"/>
    <s v="117. Construcción y puesta en marcha una (1) academia bomberil de Bogotá "/>
    <s v="4. Fortalecer la capacidad de gestión y desarrollo institucional e interinstitucional, para consolidar la modernización de la UAECOB y llevarla a la excelencia"/>
    <s v="Gestión de Infraestructura"/>
    <x v="7"/>
    <m/>
    <s v="Gestionar la adquisición de un predio para la elaboración de estudios, diseños y construcción de una (1) Escuela de Formación Bomberil y una (1) estación de Bomberos."/>
    <n v="6.25E-2"/>
    <n v="100"/>
    <m/>
    <m/>
    <s v="Coordinador de Infraestructura _x000a_Daniel Vera Ruiz"/>
    <n v="3"/>
    <s v="* Adquisición del predio"/>
    <n v="0.4"/>
    <d v="2019-07-01T00:00:00"/>
    <d v="2019-09-30T00:00:00"/>
    <n v="2.5000000000000001E-2"/>
    <s v="Área de Infraestructura"/>
    <n v="0"/>
    <m/>
    <n v="0"/>
    <n v="0"/>
    <n v="0"/>
  </r>
  <r>
    <s v="3.  Construcción de comunidad y cultura ciudadana"/>
    <s v="117. Construcción y puesta en marcha una (1) academia bomberil de Bogotá "/>
    <s v="4. Fortalecer la capacidad de gestión y desarrollo institucional e interinstitucional, para consolidar la modernización de la UAECOB y llevarla a la excelencia"/>
    <s v="Gestión de Infraestructura"/>
    <x v="7"/>
    <m/>
    <s v="Gestionar la adquisición de un predio para la elaboración de estudios, diseños y construcción de una (1) Escuela de Formación Bomberil y una (1) estación de Bomberos."/>
    <n v="6.25E-2"/>
    <n v="100"/>
    <m/>
    <m/>
    <s v="Coordinador de Infraestructura _x000a_Daniel Vera Ruiz"/>
    <n v="4"/>
    <s v="* Elaboración de Estudios Previos para los Estudios y Diseños de la Escuela de Formación Bomberil y Una Estación de Bomberos "/>
    <n v="0.1"/>
    <d v="2019-10-01T00:00:00"/>
    <d v="2019-12-31T00:00:00"/>
    <n v="6.2500000000000003E-3"/>
    <s v="Área de Infraestructura"/>
    <n v="0"/>
    <m/>
    <n v="0"/>
    <n v="0"/>
    <n v="0"/>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n v="12"/>
    <s v="Aprobación de Estudios, Diseños y Estudios Previos para la adecuación y ampliación de la Estación de Bomberos de Marichuela - B10."/>
    <n v="6.25E-2"/>
    <n v="100"/>
    <s v="Porcentase"/>
    <s v="Elaboración de los Estudios y diseños para la obtención de la Licencia de Construcción en modalidad de Ampliación y Adecuación de la Estación de Bomberos de Marichuela - B10."/>
    <s v="Coordinador de Infraestructura _x000a_Daniel Vera Ruiz"/>
    <n v="1"/>
    <s v="* Supervisión de avance del 50% de la elaboración de Estudios y Diseños para la Adecuación y Ampliación de la Estación de Bomberos de Marichuela - B10."/>
    <n v="0.3"/>
    <d v="2019-01-01T00:00:00"/>
    <d v="2019-03-31T00:00:00"/>
    <n v="1.8749999999999999E-2"/>
    <s v="Área de Infraestructura"/>
    <n v="1"/>
    <s v="El 18 de marzo de 2019, el interventor del contrato No. 401 de 2018 cuyo objeto es &quot;Estudios, diseños y demás trámites para la obtención de la Licencia de Construcción para la ampliación y reforzamiento estructural de la Estación de Bomberos Marichuela&quot; certifica el cumplimiento del 30% de Avance de ejecución y el 20 de mayo de 2019 el interventor certifica un 20% adicional de cumplimiento. Es decir que el porcentaje de avance de ejecución corresponde a un 50%."/>
    <n v="0.3"/>
    <n v="0.3"/>
    <n v="1.8749999999999999E-2"/>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m/>
    <s v="Aprobación de Estudios, Diseños y Estudios Previos para la adecuación y ampliación de la Estación de Bomberos de Marichuela - B10."/>
    <n v="6.25E-2"/>
    <n v="100"/>
    <m/>
    <m/>
    <s v="Coordinador de Infraestructura _x000a_Daniel Vera Ruiz"/>
    <n v="2"/>
    <s v="* Supervisión de avance del 90% de la elaboración de Estudios y Diseños para la Adecuación y Ampliación de la Estación de Bomberos de Marichuela - B10."/>
    <n v="0.3"/>
    <d v="2019-04-01T00:00:00"/>
    <d v="2019-06-30T00:00:00"/>
    <n v="1.8749999999999999E-2"/>
    <s v="Área de Infraestructura"/>
    <n v="0"/>
    <s v="Se inicia con la elaboración de los diseños de las Instalaciones Eléctricas, Hidro-sanitárias y de Voz y Datos con el fin de ser verificadas y aprobadas por la Interventoría como por la Supervisión del contrato._x000a__x000a_* El 17 de junio de 2019 mediante radicado No. 2019-400-013107-2 al Departamento Administrativo de la defensoría del espacio Público DADEP, se radica el diseño arquitectónico y estructural de la estación, con el fin de solicitar la Anuencia por parte de dicha entidad.  _x000a_"/>
    <n v="0"/>
    <n v="0"/>
    <n v="0"/>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m/>
    <s v="Aprobación de Estudios, Diseños y Estudios Previos para la adecuación y ampliación de la Estación de Bomberos de Marichuela - B10."/>
    <n v="6.25E-2"/>
    <n v="100"/>
    <m/>
    <m/>
    <s v="Coordinador de Infraestructura _x000a_Daniel Vera Ruiz"/>
    <n v="3"/>
    <s v="* Validación y Aprobación de los Estudios y Diseños, Radicación ante Curaduría para la obtención de la Licencia de Construcción."/>
    <n v="0.2"/>
    <d v="2019-07-01T00:00:00"/>
    <d v="2019-09-30T00:00:00"/>
    <n v="1.2500000000000001E-2"/>
    <s v="Área de Infraestructura"/>
    <m/>
    <m/>
    <n v="0"/>
    <n v="0"/>
    <n v="0"/>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m/>
    <s v="Aprobación de Estudios, Diseños y Estudios Previos para la adecuación y ampliación de la Estación de Bomberos de Marichuela - B10."/>
    <n v="6.25E-2"/>
    <n v="100"/>
    <m/>
    <m/>
    <s v="Coordinador de Infraestructura _x000a_Daniel Vera Ruiz"/>
    <n v="4"/>
    <s v="* Gestión y trámite para la obtención de la Licencia de Construcción para la Estación de Bomberos de Marichuela - B10"/>
    <n v="0.2"/>
    <d v="2019-10-01T00:00:00"/>
    <d v="2019-12-31T00:00:00"/>
    <n v="1.2500000000000001E-2"/>
    <s v="Área de Infraestructura"/>
    <m/>
    <m/>
    <n v="0"/>
    <n v="0"/>
    <n v="0"/>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n v="13"/>
    <s v="Desarrollar un programa que garantice el 100% del mantenimiento de la infraestructura física de las Estaciones de Bomberos y el Edificio Comando"/>
    <n v="6.25E-2"/>
    <n v="100"/>
    <s v="Porcentaje"/>
    <s v="Ejecutar el Plan de Mantenimiento de la infraestructura física de las 17 estaciones de bomberos."/>
    <s v="Coordinador de Infraestructura _x000a_Daniel Vera Ruiz"/>
    <n v="1"/>
    <s v="*Ejecutar el mantenimiento de la infraestructura física de cuatro (4) estaciones de Bomberos."/>
    <n v="0.2"/>
    <d v="2019-01-01T00:00:00"/>
    <d v="2019-03-31T00:00:00"/>
    <n v="1.2500000000000001E-2"/>
    <s v="Área de Infraestructura"/>
    <n v="1"/>
    <s v="Estación de Bomberos Bicentenario: Se funde la placa en concreto de la tarima, se instala el piso vinílico autoportante y pintura general de la Capilla._x000a_*Estación de Bomberos de Bellavista: Construcción de estructura metálica para cubierta en el pasillo costado sur y en el gimnasio._x000a_*Estación de Bomberos de Puente Aranda: Estucado y pintura general de la estación, reparación de grifería y accesorios sanitarios._x000a_*Estación de Bomberos de Fontibón: Reparación general del sistema eléctrico, cambio general de las luminarias._x000a_*Estación de Bomberos Kennedy: Mantenimiento correctivo de la caldera de la Piscina de la estación._x000a_"/>
    <n v="0.2"/>
    <n v="0.2"/>
    <n v="1.2500000000000001E-2"/>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m/>
    <s v="Desarrollar un programa que garantice el 100% del mantenimiento de la infraestructura física de las Estaciones de Bomberos y el Edificio Comando"/>
    <n v="6.25E-2"/>
    <n v="100"/>
    <m/>
    <m/>
    <s v="Coordinador de Infraestructura _x000a_Daniel Vera Ruiz"/>
    <n v="2"/>
    <s v="*Ejecutar el mantenimiento de la infraestructura física de cuatro (4) estaciones de Bomberos."/>
    <n v="0.3"/>
    <d v="2019-04-01T00:00:00"/>
    <d v="2019-06-30T00:00:00"/>
    <n v="1.8749999999999999E-2"/>
    <s v="Área de Infraestructura"/>
    <n v="1"/>
    <s v=" Estación de Bomberos de Kennedy: Instalación de calentadores solares con capacidad de 300 litros c/u, suministro baños alojamientos bomberos, renovación de los acabados del primer piso, incluye estucado, lijado y pintura general, 10% de ejecución de obra en el mantenimiento del área de la piscina._x000a_* Estación de Bomberos de Suba: construcción de estructura metálica y montaje de cubierta en lámina de policarbonato, incluye tratamiento anticorrosivo y pintura, instalación eléctrica, montaje de reflectores._x000a_* Estación de Bomberos de Bosa: Se adelanta la ejecución del contrato No. 168 de 2018 con un avance de ejecución de obra civil del 80% e instalaciones eléctricas del 40%._x000a_* Edificio Comando: desmonte de Caniles, relleno y compactación de base y se funde placa de contra piso en concreto y armado de caniles. Mantenimiento de los Ascensores._x000a_"/>
    <n v="0.3"/>
    <n v="0.3"/>
    <n v="1.8749999999999999E-2"/>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m/>
    <s v="Desarrollar un programa que garantice el 100% del mantenimiento de la infraestructura física de las Estaciones de Bomberos y el Edificio Comando"/>
    <n v="6.25E-2"/>
    <n v="100"/>
    <m/>
    <m/>
    <s v="Coordinador de Infraestructura _x000a_Daniel Vera Ruiz"/>
    <n v="3"/>
    <s v="*Ejecutar el mantenimiento de la infraestructura física de cinco (5) estaciones de Bomberos."/>
    <n v="0.3"/>
    <d v="2019-07-01T00:00:00"/>
    <d v="2019-09-30T00:00:00"/>
    <n v="1.8749999999999999E-2"/>
    <s v="Área de Infraestructura"/>
    <m/>
    <m/>
    <n v="0"/>
    <n v="0"/>
    <n v="0"/>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m/>
    <s v="Desarrollar un programa que garantice el 100% del mantenimiento de la infraestructura física de las Estaciones de Bomberos y el Edificio Comando"/>
    <n v="6.25E-2"/>
    <n v="100"/>
    <m/>
    <m/>
    <s v="Coordinador de Infraestructura _x000a_Daniel Vera Ruiz"/>
    <n v="4"/>
    <s v="*Ejecutar el mantenimiento de la infraestructura física de cuatro (4) estaciones de Bomberos."/>
    <n v="0.2"/>
    <d v="2019-10-01T00:00:00"/>
    <d v="2019-12-31T00:00:00"/>
    <n v="1.2500000000000001E-2"/>
    <s v="Área de Infraestructura"/>
    <m/>
    <m/>
    <n v="0"/>
    <n v="0"/>
    <n v="0"/>
  </r>
  <r>
    <s v="3.  Construcción de comunidad y cultura ciudadana"/>
    <s v="118. Aumentar en 2 las estaciones de Bomberos en Bogotá"/>
    <s v="4. Fortalecer la capacidad de gestión y desarrollo institucional e interinstitucional, para consolidar la modernización de la UAECOB y llevarla a la excelencia"/>
    <s v="Gestión de Infraestructura"/>
    <x v="7"/>
    <n v="14"/>
    <s v="Gestionar la adquisición de un (1) predio para la implementación de una (1) estación de Bomberos"/>
    <n v="6.25E-2"/>
    <n v="100"/>
    <s v="Porcentaje"/>
    <s v="Gestionar ante el DADEP la entrega de un predio para la implementación de una (1) estación de bomberos"/>
    <s v="Coordinador de Infraestructura _x000a_Daniel Vera Ruiz"/>
    <n v="1"/>
    <s v="* Solicitud al DADEP sobre la disponibilidad de predios."/>
    <n v="0.3"/>
    <d v="2019-01-01T00:00:00"/>
    <d v="2019-03-31T00:00:00"/>
    <n v="1.8749999999999999E-2"/>
    <s v="Área de Infraestructura"/>
    <n v="1"/>
    <s v="El 19 de febrero de 2019 mediante radicado No. 2019EE1104 se solicita a través de derecho de petición ante la Unidad Administrativa Especial de Catastro Distrital con el fin de consultar el Valor Final para compra de predio, _x000a_* El 20 de marzo de 2019 mediante radicado No. 2019ER6173 se solicita ante Catastro Distrital solicitud de Cotización para realizar un Avalúo Comercial para el predio de interés_x000a_* El 28 de marzo de 2019 se recibe de Catastro Distrital, Respuesta al Derecho de Petición del 19 de febrero de 2019._x000a_"/>
    <n v="0.3"/>
    <n v="0.3"/>
    <n v="1.8749999999999999E-2"/>
  </r>
  <r>
    <s v="3.  Construcción de comunidad y cultura ciudadana"/>
    <s v="118. Aumentar en 2 las estaciones de Bomberos en Bogotá"/>
    <s v="4. Fortalecer la capacidad de gestión y desarrollo institucional e interinstitucional, para consolidar la modernización de la UAECOB y llevarla a la excelencia"/>
    <s v="Gestión de Infraestructura"/>
    <x v="7"/>
    <m/>
    <s v="Gestionar la adquisición de un (1) predio para la implementación de una (1) estación de Bomberos"/>
    <n v="6.25E-2"/>
    <n v="100"/>
    <m/>
    <m/>
    <s v="Coordinador de Infraestructura _x000a_Daniel Vera Ruiz"/>
    <n v="2"/>
    <s v="* Verificación y acompañamiento ante el DADEP la incorporación de los predios producto de planes parciales a su base de datos."/>
    <n v="0.3"/>
    <d v="2019-04-01T00:00:00"/>
    <d v="2019-06-30T00:00:00"/>
    <n v="1.8749999999999999E-2"/>
    <s v="Área de Infraestructura"/>
    <n v="0.2"/>
    <s v="Se solicita concepto de Uso del Suelos ante la Curaduría Urbana. De igual forma se expide una Certificación del Bien del patrimonio inmobiliario distrital donde se especifica que el uso del predio perteneciente a Bomberos y Ubicado en la Carrera 33  con calle 8A es Zonas de Equipamiento Comunal. _x000a_No es posible realizar incorporación de los predios teniendo en cuenta que no ha surtido el trámite de entrega de las áreas de sesión por parte de las constructoras a la Defensoría del Espacio Público. "/>
    <n v="0.06"/>
    <n v="1.2E-2"/>
    <n v="3.7499999999999999E-3"/>
  </r>
  <r>
    <s v="3.  Construcción de comunidad y cultura ciudadana"/>
    <s v="118. Aumentar en 2 las estaciones de Bomberos en Bogotá"/>
    <s v="4. Fortalecer la capacidad de gestión y desarrollo institucional e interinstitucional, para consolidar la modernización de la UAECOB y llevarla a la excelencia"/>
    <s v="Gestión de Infraestructura"/>
    <x v="7"/>
    <m/>
    <s v="Gestionar la adquisición de un (1) predio para la implementación de una (1) estación de Bomberos"/>
    <n v="6.25E-2"/>
    <n v="100"/>
    <m/>
    <m/>
    <s v="Coordinador de Infraestructura _x000a_Daniel Vera Ruiz"/>
    <n v="3"/>
    <s v="* Gestionar la entrega del predio a cargo del DADEP a la UAE Cuerpo Oficial de Bomberos de Bogotá."/>
    <n v="0.3"/>
    <d v="2019-07-01T00:00:00"/>
    <d v="2019-09-30T00:00:00"/>
    <n v="1.8749999999999999E-2"/>
    <s v="Área de Infraestructura"/>
    <m/>
    <m/>
    <n v="0"/>
    <n v="0"/>
    <n v="0"/>
  </r>
  <r>
    <s v="3.  Construcción de comunidad y cultura ciudadana"/>
    <s v="118. Aumentar en 2 las estaciones de Bomberos en Bogotá"/>
    <s v="4. Fortalecer la capacidad de gestión y desarrollo institucional e interinstitucional, para consolidar la modernización de la UAECOB y llevarla a la excelencia"/>
    <s v="Gestión de Infraestructura"/>
    <x v="7"/>
    <m/>
    <s v="Gestionar la adquisición de un (1) predio para la implementación de una (1) estación de Bomberos"/>
    <n v="6.25E-2"/>
    <n v="100"/>
    <m/>
    <m/>
    <s v="Coordinador de Infraestructura _x000a_Daniel Vera Ruiz"/>
    <n v="4"/>
    <s v="* Adquisición del predio mediante Acta de Entrega por parte del DADEP."/>
    <n v="0.1"/>
    <d v="2019-10-01T00:00:00"/>
    <d v="2019-12-31T00:00:00"/>
    <n v="6.2500000000000003E-3"/>
    <s v="Área de Infraestructura"/>
    <m/>
    <m/>
    <n v="0"/>
    <n v="0"/>
    <n v="0"/>
  </r>
  <r>
    <s v="3.  Construcción de comunidad y cultura ciudadana"/>
    <s v="119. Implementar (1) estación satélite forestal de bomberos sujeta al proyecto del sendero ambiental en los cerros orientales"/>
    <s v="4. Fortalecer la capacidad de gestión y desarrollo institucional e interinstitucional, para consolidar la modernización de la UAECOB y llevarla a la excelencia"/>
    <s v="Gestión de Infraestructura"/>
    <x v="7"/>
    <n v="15"/>
    <s v="Implementación de (1) estación satélite forestal de bomberos sujeta al proyecto del sendero ambiental en los cerros orientales)"/>
    <n v="6.25E-2"/>
    <n v="100"/>
    <s v="Porcentaje"/>
    <s v="Realizar la supervisión del 80% de avance de obra para la Construcción de la Estación de Bomberos de Bellavista - B9."/>
    <s v="Coordinador de Infraestructura _x000a_Daniel Vera Ruiz"/>
    <n v="1"/>
    <s v="* Aprobación de los Estudios Previos e Inicio de proceso contractual para la Interventoría a la Construcción de la Estación de Bomberos de Bellavista - B9.  "/>
    <n v="0.2"/>
    <d v="2019-01-01T00:00:00"/>
    <d v="2019-03-31T00:00:00"/>
    <n v="1.2500000000000001E-2"/>
    <s v="Área de Infraestructura"/>
    <n v="1"/>
    <s v="El 4 de marzo de 2019 se radicó ante la Oficina Asesora Jurídica la solicitud de revisión del proceso de contratación cuyo objeto es: &quot;Interventoría Técnica, Administrativa, Financiera, contable, Jurídica y ambiental a: i - Construcción de la Estación de Bomberos de Bellavista. ii- Realizar el mantenimiento predictivo, preventivo, correctivo, adecuaciones y mejoras a las instalaciones de las dependencias de la UNIDAD ADMINISTRATIVA ESPECIAL CUERPO OFICIAL DE BOMBEROS D.C. iii - Estudios, diseños y obras de la estación de Bomberos las Ferias&quot;. Proceso que se encuentra en la plataforma de SECOP II, mediante número UAECOB-CMA-001-2019 desde el 15 de marzo de 2019."/>
    <n v="0.2"/>
    <n v="0.2"/>
    <n v="1.2500000000000001E-2"/>
  </r>
  <r>
    <s v="3.  Construcción de comunidad y cultura ciudadana"/>
    <s v="119. Implementar (1) estación satélite forestal de bomberos sujeta al proyecto del sendero ambiental en los cerros orientales"/>
    <s v="4. Fortalecer la capacidad de gestión y desarrollo institucional e interinstitucional, para consolidar la modernización de la UAECOB y llevarla a la excelencia"/>
    <s v="Gestión de Infraestructura"/>
    <x v="7"/>
    <m/>
    <s v="Implementación de (1) estación satélite forestal de bomberos sujeta al proyecto del sendero ambiental en los cerros orientales)"/>
    <n v="6.25E-2"/>
    <n v="100"/>
    <m/>
    <m/>
    <s v="Coordinador de Infraestructura _x000a_Daniel Vera Ruiz"/>
    <n v="2"/>
    <s v="* Supervisión del 20% de avance a la construcción de la Estación de Bomberos de Bellavista - B9."/>
    <n v="0.3"/>
    <d v="2019-04-01T00:00:00"/>
    <d v="2019-06-30T00:00:00"/>
    <n v="1.8749999999999999E-2"/>
    <s v="Área de Infraestructura"/>
    <n v="0"/>
    <s v="El 28 de mayo de 2019 se adjudica el Contrato de consultoría No. 331 de 2019 - Interventoría para la Construcción de la Estación de Bomberos de Bellavista_x000a_* Se inicia con el trámite de desembolso del Anticipo, para ello se deben surtir actividades tanto del contratista de obra como de la Interventoría._x000a_"/>
    <n v="0"/>
    <n v="0"/>
    <n v="0"/>
  </r>
  <r>
    <s v="3.  Construcción de comunidad y cultura ciudadana"/>
    <s v="119. Implementar (1) estación satélite forestal de bomberos sujeta al proyecto del sendero ambiental en los cerros orientales"/>
    <s v="4. Fortalecer la capacidad de gestión y desarrollo institucional e interinstitucional, para consolidar la modernización de la UAECOB y llevarla a la excelencia"/>
    <s v="Gestión de Infraestructura"/>
    <x v="7"/>
    <m/>
    <s v="Implementación de (1) estación satélite forestal de bomberos sujeta al proyecto del sendero ambiental en los cerros orientales)"/>
    <n v="6.25E-2"/>
    <n v="100"/>
    <m/>
    <m/>
    <s v="Coordinador de Infraestructura _x000a_Daniel Vera Ruiz"/>
    <n v="3"/>
    <s v="* Supervisión del 50% de avance a la construcción de la Estación de Bomberos de Bellavista - B9."/>
    <n v="0.3"/>
    <d v="2019-07-01T00:00:00"/>
    <d v="2019-09-30T00:00:00"/>
    <n v="1.8749999999999999E-2"/>
    <s v="Área de Infraestructura"/>
    <m/>
    <m/>
    <n v="0"/>
    <n v="0"/>
    <n v="0"/>
  </r>
  <r>
    <s v="3.  Construcción de comunidad y cultura ciudadana"/>
    <s v="119. Implementar (1) estación satélite forestal de bomberos sujeta al proyecto del sendero ambiental en los cerros orientales"/>
    <s v="4. Fortalecer la capacidad de gestión y desarrollo institucional e interinstitucional, para consolidar la modernización de la UAECOB y llevarla a la excelencia"/>
    <s v="Gestión de Infraestructura"/>
    <x v="7"/>
    <m/>
    <s v="Implementación de (1) estación satélite forestal de bomberos sujeta al proyecto del sendero ambiental en los cerros orientales)"/>
    <n v="6.25E-2"/>
    <n v="100"/>
    <m/>
    <m/>
    <s v="Coordinador de Infraestructura _x000a_Daniel Vera Ruiz"/>
    <n v="4"/>
    <s v="* Supervisión del 80% de avance a la construcción de la Estación de Bomberos de Bellavista - B9."/>
    <n v="0.2"/>
    <d v="2019-10-01T00:00:00"/>
    <d v="2019-12-31T00:00:00"/>
    <n v="1.2500000000000001E-2"/>
    <s v="Área de Infraestructura"/>
    <m/>
    <m/>
    <n v="0"/>
    <n v="0"/>
    <n v="0"/>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n v="16"/>
    <s v="Elaboración de los estudios y diseños para la adecuación de la Estación de Bomberos de Ferias - B7."/>
    <n v="6.25E-2"/>
    <n v="100"/>
    <s v="Porcentaje"/>
    <s v="Elaborar los estudios previos, la adjudicación del proceso contractual e inicio de la elaboración de estudios y diseños del reforzamiento estructural de la estación de bomberos de Ferias."/>
    <s v="Coordinador de Infraestructura _x000a_Daniel Vera Ruiz"/>
    <n v="1"/>
    <s v="* Elaboración y aprobación de estudios previos para los estudios y diseños del reforzamiento estructural de la estación de Bomberos de Ferias.  "/>
    <n v="0.2"/>
    <d v="2019-01-01T00:00:00"/>
    <d v="2019-03-31T00:00:00"/>
    <n v="1.2500000000000001E-2"/>
    <s v="Área de Infraestructura"/>
    <n v="1"/>
    <s v="El 4 de Marzo de 2019 se radicó ante la Oficina Asesora Jurídica la solicitud de revisión del proceso de contratación cuyo objeto es: &quot;Interventoría Técnica, Administrativa, Financiera, contable, Jurídica y ambiental a: i - Construcción de la Estación de Bomberos de Bellavista. ii- Realizar el mantenimiento predictivo, preventivo, correctivo, adecuaciones y mejoras a las instalaciones de las dependencias de la UNIDAD ADMINISTRATIVA ESPECIAL CUERPO OFICIAL DE BOMBEROS D.C. iii - Estudios, diseños y obras de la estación de Bomberos las Ferias&quot;. Proceso que se encuentra en la plataforma de SECOP II, mediante número UAECOB-CMA-001-2019 desde el 15 de marzo de 2019._x000a__x000a_El 10 de Junio de 2019 se inicia proceso de contratación para la elaboración de los Estudios, diseños y obras de la Estación de Bomberos de Ferias, cuyo proceso es UAECOB-LP-007-2019"/>
    <n v="0.2"/>
    <n v="0.2"/>
    <n v="1.2500000000000001E-2"/>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m/>
    <s v="Elaboración de los estudios y diseños para la adecuación de la Estación de Bomberos de Ferias - B7."/>
    <n v="6.25E-2"/>
    <n v="100"/>
    <m/>
    <m/>
    <s v="Coordinador de Infraestructura _x000a_Daniel Vera Ruiz"/>
    <n v="2"/>
    <s v="* Gestionar el proceso contractual."/>
    <n v="0.2"/>
    <d v="2019-04-01T00:00:00"/>
    <d v="2019-06-30T00:00:00"/>
    <n v="1.2500000000000001E-2"/>
    <s v="Área de Infraestructura"/>
    <n v="1"/>
    <s v="El día 28 de Mayo de 2019 se adjudica el Contrato de consultoría No. 331 de 2019 cuyo objeto es &quot;Interventoría Técnica, Administrativa, Financiera, contable, Jurídica y ambiental a: i - Construcción de la Estación de Bomberos de Bellavista. ii- Realizar el mantenimiento predictivo, preventivo, correctivo, adecuaciones y mejoras a las instalaciones de las dependencias de la UNIDAD ADMINISTRATIVA ESPECIAL CUERPO OFICIAL DE BOMBEROS D.C. iii - Estudios, diseños y obras de la estación de Bomberos las Ferias&quot;._x000a__x000a_Se vienen respondiendo Observaciones presentadas a los Pliegos de Condiciones de la Licitación Pública No. UAECOB-LP-007-2019. Con el fin de pasar a Pliegos Definitivos y Resolución de Apertura."/>
    <n v="0.2"/>
    <n v="0.2"/>
    <n v="1.2500000000000001E-2"/>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m/>
    <s v="Elaboración de los estudios y diseños para la adecuación de la Estación de Bomberos de Ferias - B7."/>
    <n v="6.25E-2"/>
    <n v="100"/>
    <m/>
    <m/>
    <s v="Coordinador de Infraestructura _x000a_Daniel Vera Ruiz"/>
    <n v="3"/>
    <s v="* Adjudicación proceso para la elaboración de estudios y diseños en la adecuación de la estación."/>
    <n v="0.4"/>
    <d v="2019-07-01T00:00:00"/>
    <d v="2019-09-30T00:00:00"/>
    <n v="2.5000000000000001E-2"/>
    <s v="Área de Infraestructura"/>
    <m/>
    <m/>
    <n v="0"/>
    <n v="0"/>
    <n v="0"/>
  </r>
  <r>
    <s v="3.  Construcción de comunidad y cultura ciudadana"/>
    <s v="103. Adelantar el 100% de acciones para 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m/>
    <s v="Elaboración de los estudios y diseños para la adecuación de la Estación de Bomberos de Ferias - B7."/>
    <n v="6.25E-2"/>
    <n v="100"/>
    <m/>
    <m/>
    <s v="Coordinador de Infraestructura _x000a_Daniel Vera Ruiz"/>
    <n v="4"/>
    <s v="* Entrega del 30% de avance en el diseño propuesto dentro de los diseños y reforzamiento de la estación"/>
    <n v="0.2"/>
    <d v="2019-10-01T00:00:00"/>
    <d v="2019-12-31T00:00:00"/>
    <n v="1.2500000000000001E-2"/>
    <s v="Área de Infraestructura"/>
    <m/>
    <m/>
    <n v="0"/>
    <n v="0"/>
    <n v="0"/>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n v="1"/>
    <s v="Implementar una Biblioteca virtual para la Unidad administrativa especial cuerpo oficial de bomberos Bogotá."/>
    <n v="0.2"/>
    <n v="100"/>
    <s v="Porcentaje"/>
    <s v="Desarrollar e implementar una biblioteca virtual para la entidad"/>
    <s v="Líder de Grupo - ACE-SGH"/>
    <n v="1"/>
    <s v="Realizar mesas de trabajo con la oficina asesora de planeación (área de tecnología)"/>
    <n v="0.35"/>
    <d v="2019-01-01T00:00:00"/>
    <d v="2019-04-30T00:00:00"/>
    <n v="6.9999999999999993E-2"/>
    <s v="Líder de Grupo - ACE-SGH"/>
    <n v="1"/>
    <s v="Se realizó mesa de trabajo con empresa especializada en la elaboración de herramientas virtuales, con el fin de dar a conocer las necesidades que tiene la UAECOB correspondiente a la creación de la Biblioteca Virtual para la entidad.                   _x000a_* Se realizó mesa de trabajo con el área de tecnología, con el fin de dar a conocer las necesidades que tiene la UAECOB correspondiente a la creación de la Biblioteca Virtual para la entidad.           _x000a_"/>
    <n v="0.35"/>
    <n v="0.35"/>
    <n v="6.9999999999999993E-2"/>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m/>
    <s v="Implementar una Biblioteca virtual para la Unidad administrativa especial cuerpo oficial de bomberos Bogotá."/>
    <n v="0.2"/>
    <n v="100"/>
    <m/>
    <m/>
    <s v="Líder de Grupo - ACE-SGH"/>
    <n v="2"/>
    <s v="Generar nodo (dentro del servidor) para el almacenamiento de objetos virtuales de aprendizaje"/>
    <n v="0.35"/>
    <d v="2019-05-01T00:00:00"/>
    <d v="2019-09-30T00:00:00"/>
    <n v="6.9999999999999993E-2"/>
    <s v="Líder de Grupo - ACE-SGH"/>
    <n v="1"/>
    <s v="Reunión con el Sena a fin de dar inicio a la creación del nodo que sea aplicable a la plataforma LMS"/>
    <n v="0.35"/>
    <n v="0.35"/>
    <n v="6.9999999999999993E-2"/>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m/>
    <s v="Implementar una Biblioteca virtual para la Unidad administrativa especial cuerpo oficial de bomberos Bogotá."/>
    <n v="0.2"/>
    <n v="100"/>
    <m/>
    <m/>
    <s v="Líder de Grupo - ACE-SGH"/>
    <n v="3"/>
    <s v="Socializar en estaciones y área, el uso de la herramienta virtual"/>
    <n v="0.3"/>
    <d v="2019-09-01T00:00:00"/>
    <d v="2019-12-31T00:00:00"/>
    <n v="0.06"/>
    <s v="Líder de Grupo - ACE-SGH"/>
    <m/>
    <m/>
    <n v="0"/>
    <n v="0"/>
    <n v="0"/>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n v="2"/>
    <s v="Diseñar un programa de capacitación para ascenso de oficiales y suboficiales adaptado a la misionalidad de la entidad "/>
    <n v="0.2"/>
    <n v="100"/>
    <s v="Porcentaje"/>
    <s v="Desarrollar un programa de capacitación para ascenso de oficiales y suboficiales adaptado a nacionalidad de la entidad "/>
    <s v="Líder de Grupo - ACE-SGH"/>
    <n v="1"/>
    <s v="Realizar Mesas de trabajo con comandantes y subcomandantes para evaluar el alcance normativo y demás componentes del programa."/>
    <n v="0.25"/>
    <d v="2019-01-01T00:00:00"/>
    <d v="2019-03-31T00:00:00"/>
    <n v="0.05"/>
    <s v="Líder de Grupo - ACE-SGH"/>
    <n v="0"/>
    <s v="No fue posible establecer mesas de trabajo con comandantes y subcomandantes para evaluar el alcance normativo y demás componentes del programa."/>
    <n v="0"/>
    <n v="0"/>
    <n v="0"/>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m/>
    <s v="Diseñar un programa de capacitación para ascenso de oficiales y suboficiales adaptado a la misionalidad de la entidad "/>
    <n v="0.2"/>
    <n v="100"/>
    <m/>
    <m/>
    <s v="Líder de Grupo - ACE-SGH"/>
    <n v="2"/>
    <s v="Diseñar la malla curricular con base al componente normativo revisado y evaluado"/>
    <n v="0.25"/>
    <d v="2019-04-01T00:00:00"/>
    <d v="2019-06-30T00:00:00"/>
    <n v="0.05"/>
    <s v="Líder de Grupo - ACE-SGH"/>
    <n v="0"/>
    <s v="No fue posible establecer mesas de trabajo con comandantes y subcomandantes para evaluar el alcance normativo y demás componentes del programa, dado que se encuentra incapacitado el Comandante de la compañía 1 y 3, el comandante encargado de las compañías 2, se encuentra en vacaciones. Los operativos asignados a la academia se encuentran desarrollando el proceso de formación de los cursos 45 y 46."/>
    <n v="0"/>
    <n v="0"/>
    <n v="0"/>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m/>
    <s v="Diseñar un programa de capacitación para ascenso de oficiales y suboficiales adaptado a la misionalidad de la entidad "/>
    <n v="0.2"/>
    <n v="100"/>
    <m/>
    <m/>
    <s v="Líder de Grupo - ACE-SGH"/>
    <n v="3"/>
    <s v="Evaluar la aplicabilidad del programa realizando su implementación en tres oficiales quienes evaluaran la efectividad del mismo, y realizar control de cambios "/>
    <n v="0.25"/>
    <d v="2019-07-01T00:00:00"/>
    <d v="2019-09-30T00:00:00"/>
    <n v="0.05"/>
    <s v="Líder de Grupo - ACE-SGH"/>
    <m/>
    <m/>
    <n v="0"/>
    <n v="0"/>
    <n v="0"/>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m/>
    <s v="Diseñar un programa de capacitación para ascenso de oficiales y suboficiales adaptado a la misionalidad de la entidad "/>
    <n v="0.2"/>
    <n v="100"/>
    <m/>
    <m/>
    <s v="Líder de Grupo - ACE-SGH"/>
    <n v="4"/>
    <s v="Adoptar a través de un acto administrativo el programa de capacitación para ascenso a suboficiales y oficiales"/>
    <n v="0.25"/>
    <d v="2019-10-01T00:00:00"/>
    <d v="2019-12-31T00:00:00"/>
    <n v="0.05"/>
    <s v="Líder de Grupo - ACE-SGH"/>
    <m/>
    <m/>
    <n v="0"/>
    <n v="0"/>
    <n v="0"/>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n v="3"/>
    <s v="Realizar un programa de capacitación y reentrenamiento a mínimo dos grupos especializados durante dos jornadas "/>
    <n v="0.2"/>
    <n v="100"/>
    <s v="Porcentaje"/>
    <s v="Desarrollar e implementar  un programa de capacitación y entrenamiento a mínimo dos grupos especializados durante dos jornadas "/>
    <s v="Líder de Grupo - ACE-SGH"/>
    <n v="1"/>
    <s v="Definir temas y consolidar material de formación"/>
    <n v="0.25"/>
    <d v="2019-01-01T00:00:00"/>
    <d v="2019-03-31T00:00:00"/>
    <n v="0.05"/>
    <s v="Líder de Grupo - ACE-SGH"/>
    <n v="1"/>
    <s v="Se realizó una reunión con el personal administrativo de la academia el día 26 de marzo con el fin de definir quiénes serán los participantes del plan de reentrenamiento, como se realizaría la convocatoria y los respectivos compromisos para la ejecución de los mismos"/>
    <n v="0.25"/>
    <n v="0.25"/>
    <n v="0.05"/>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m/>
    <s v="Realizar un programa de capacitación y reentrenamiento a mínimo dos grupos especializados durante dos jornadas "/>
    <n v="0.2"/>
    <n v="100"/>
    <m/>
    <m/>
    <s v="Líder de Grupo - ACE-SGH"/>
    <n v="2"/>
    <s v="Asegurar Logística para los cursos y concertar programación con los responsables del equipo especializado "/>
    <n v="0.25"/>
    <d v="2019-04-01T00:00:00"/>
    <d v="2019-06-30T00:00:00"/>
    <n v="0.05"/>
    <s v="Líder de Grupo - ACE-SGH"/>
    <n v="1"/>
    <s v="Se realizó una reunión con el personal logístico de la academia el día 26 de junio con el fin de definir la logística necesaria para realizar el plan de reentrenamiento y los respectivos compromisos para la ejecución de los mismos"/>
    <n v="0.25"/>
    <n v="0.25"/>
    <n v="0.05"/>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m/>
    <s v="Realizar un programa de capacitación y reentrenamiento a mínimo dos grupos especializados durante dos jornadas "/>
    <n v="0.2"/>
    <n v="100"/>
    <m/>
    <m/>
    <s v="Líder de Grupo - ACE-SGH"/>
    <n v="3"/>
    <s v="Selección de personal para los Curso"/>
    <n v="0.25"/>
    <d v="2019-07-01T00:00:00"/>
    <d v="2019-09-30T00:00:00"/>
    <n v="0.05"/>
    <s v="Líder de Grupo - ACE-SGH"/>
    <m/>
    <m/>
    <n v="0"/>
    <n v="0"/>
    <n v="0"/>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m/>
    <s v="Realizar un programa de capacitación y reentrenamiento a mínimo dos grupos especializados durante dos jornadas "/>
    <n v="0.2"/>
    <n v="100"/>
    <m/>
    <m/>
    <s v="Líder de Grupo - ACE-SGH"/>
    <n v="4"/>
    <s v="Desarrollar los cursos de acuerdo a los grupos especializados "/>
    <n v="0.25"/>
    <d v="2019-10-01T00:00:00"/>
    <d v="2019-12-31T00:00:00"/>
    <n v="0.05"/>
    <s v="Líder de Grupo - ACE-SGH"/>
    <m/>
    <m/>
    <n v="0"/>
    <n v="0"/>
    <n v="0"/>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n v="4"/>
    <s v="Realizar seguimiento a la implementación del subsistema de Seguridad y Salud en el Trabajo"/>
    <n v="0.2"/>
    <n v="100"/>
    <s v="Porcentaje"/>
    <s v="Implementar el Subsistema de Gestión en Seguridad y Salud en el Trabajo, cumpliendo la normatividad vigente"/>
    <s v="Líder Grupo Seguridad y Salud en el Trabajo - Ing. William Cabrejo"/>
    <n v="1"/>
    <s v="Definir el plan de trabajo en SYST y enviarlo para firma de la Dirección"/>
    <n v="0.25"/>
    <d v="2019-02-01T00:00:00"/>
    <d v="2019-03-31T00:00:00"/>
    <n v="0.05"/>
    <s v="Líder Grupo Seguridad y Salud en el Trabajo - Ing. William Cabrejo"/>
    <n v="1"/>
    <s v="Documento del plan de trabajo en SYST para 2019, aprobado por el COPASST y firmado por el Subdirector de Gestión Humana y el Director de la UAECOB."/>
    <n v="0.25"/>
    <n v="0.25"/>
    <n v="0.05"/>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m/>
    <s v="Realizar seguimiento a la implementación del subsistema de Seguridad y Salud en el Trabajo"/>
    <n v="0.2"/>
    <n v="100"/>
    <m/>
    <m/>
    <s v="Líder Grupo Seguridad y Salud en el Trabajo - Ing. William Cabrejo"/>
    <n v="2"/>
    <s v="Solicitar la actualización de la política y objetivos del SGSYST"/>
    <n v="0.25"/>
    <d v="2019-04-01T00:00:00"/>
    <d v="2019-06-30T00:00:00"/>
    <n v="0.05"/>
    <s v="Líder Grupo Seguridad y Salud en el Trabajo - Ing. William Cabrejo"/>
    <n v="1"/>
    <s v="Teniendo en cuenta que los objetivos del SGSYST están firmados por la Dirección, se presenta la propuesta para actualización de la Política a través solicitud enviada por correo electrónico a la representante de la Dirección del SIG, para formalizar estos documentos."/>
    <n v="0.25"/>
    <n v="0.25"/>
    <n v="0.05"/>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m/>
    <s v="Realizar seguimiento a la implementación del subsistema de Seguridad y Salud en el Trabajo"/>
    <n v="0.2"/>
    <n v="100"/>
    <m/>
    <m/>
    <s v="Líder Grupo Seguridad y Salud en el Trabajo - Ing. William Cabrejo"/>
    <n v="3"/>
    <s v="Establecer mecanismos para la rendición de cuentas"/>
    <n v="0.25"/>
    <d v="2019-07-01T00:00:00"/>
    <d v="2019-09-30T00:00:00"/>
    <n v="0.05"/>
    <s v="Líder Grupo Seguridad y Salud en el Trabajo - Ing. William Cabrejo"/>
    <m/>
    <m/>
    <n v="0"/>
    <n v="0"/>
    <n v="0"/>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m/>
    <s v="Realizar seguimiento a la implementación del subsistema de Seguridad y Salud en el Trabajo"/>
    <n v="0.2"/>
    <n v="100"/>
    <m/>
    <m/>
    <s v="Líder Grupo Seguridad y Salud en el Trabajo - Ing. William Cabrejo"/>
    <n v="4"/>
    <s v="Realizar la autoevaluación según los estándares mínimos"/>
    <n v="0.25"/>
    <d v="2019-10-01T00:00:00"/>
    <d v="2019-12-31T00:00:00"/>
    <n v="0.05"/>
    <s v="Líder Grupo Seguridad y Salud en el Trabajo - Ing. William Cabrejo"/>
    <m/>
    <m/>
    <n v="0"/>
    <n v="0"/>
    <n v="0"/>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n v="5"/>
    <s v="Realizar las acciones necesarias para la Formalización de la Escuela de Formación Bomberil de la UAECOB ante las autoridades competentes"/>
    <n v="0.2"/>
    <n v="100"/>
    <s v="Porcentaje"/>
    <s v="Formalización de la Escuela de Formación Bomberil "/>
    <s v="Líder de Grupo - ACE-SGH"/>
    <n v="1"/>
    <s v="Obtener la licencia de  funcionamiento de la Escuela ante la Secretaria Distrital de Educación."/>
    <n v="0.5"/>
    <d v="2019-01-01T00:00:00"/>
    <d v="2019-06-30T00:00:00"/>
    <n v="0.1"/>
    <s v="Líder de Grupo - ACE-SGH"/>
    <n v="0.8"/>
    <s v="Se radico en la alcaldía de Fontibón bajo número 2019EE1885 solicitud de concepto favorable Desarrollo De obra, documento necesario para la expedición de la Licencia de Funcionamiento                                                       Radicado 2019E002750 solicitud de desarrollo de obra.                                                  _x000a_El 10 de junio fue entregado el desarrollo de obra favorable por parte de la alcaldía                                                                            Radicado en el DILE (E2019100611) radicado interno 2019E004185 14 DE JUNIO_x000a_"/>
    <n v="0.4"/>
    <n v="0.32000000000000006"/>
    <n v="8.0000000000000016E-2"/>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m/>
    <s v="Realizar las acciones necesarias para la Formalización de la Escuela de Formación Bomberil de la UAECOB ante las autoridades competentes"/>
    <n v="0.2"/>
    <n v="100"/>
    <m/>
    <m/>
    <s v="Líder de Grupo - ACE-SGH"/>
    <n v="2"/>
    <s v="Realizar la gestión con el fin de suscribir convenios interadministrativos que permitan asegurar los escenarios de la Escuela de Formacion Bomberil"/>
    <n v="0.25"/>
    <d v="2019-07-01T00:00:00"/>
    <d v="2019-09-30T00:00:00"/>
    <n v="0.05"/>
    <s v="Líder de Grupo - ACE-SGH"/>
    <m/>
    <m/>
    <n v="0"/>
    <n v="0"/>
    <n v="0"/>
  </r>
  <r>
    <s v="3.  Construcción de comunidad y cultura ciudadana"/>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m/>
    <s v="Realizar las acciones necesarias para la Formalización de la Escuela de Formación Bomberil de la UAECOB ante las autoridades competentes"/>
    <n v="0.2"/>
    <n v="100"/>
    <m/>
    <m/>
    <s v="Líder de Grupo - ACE-SGH"/>
    <n v="3"/>
    <s v="Suscribir convenios interadministrativos para asegurar los escenarios de la Escuela de Formación Bomberil"/>
    <n v="0.25"/>
    <d v="2019-10-01T00:00:00"/>
    <d v="2019-12-31T00:00:00"/>
    <n v="0.05"/>
    <s v="Líder de Grupo - ACE-SGH"/>
    <m/>
    <m/>
    <n v="0"/>
    <n v="0"/>
    <n v="0"/>
  </r>
</pivotCacheRecords>
</file>

<file path=xl/pivotCache/pivotCacheRecords2.xml><?xml version="1.0" encoding="utf-8"?>
<pivotCacheRecords xmlns="http://schemas.openxmlformats.org/spreadsheetml/2006/main" xmlns:r="http://schemas.openxmlformats.org/officeDocument/2006/relationships" count="72">
  <r>
    <x v="0"/>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n v="1"/>
    <x v="0"/>
    <n v="0.2"/>
    <n v="12"/>
    <s v="PDF enviado por correo electrónico"/>
    <s v="En el año se realizarán 12 publicaciones, en las cuales se destacará la  información más importante realizada durante el mes en curso, para de esta forma mantener actualizado al personal de la UAECOB."/>
    <s v="Oficina Asesora Prensa y Comunicaciones"/>
    <n v="3"/>
    <n v="6"/>
    <n v="9"/>
    <n v="12"/>
    <n v="6"/>
    <n v="0.2"/>
    <n v="6"/>
    <s v="Durante el segundo  trimestre se realizaron 3 Ediciones de la Revista Bomberos Hoy, del mes de Abril, Mayo y Junio, los cuales fueron emitidos en el mes siguiente a su finalización."/>
    <s v="ABRIL: ps://mail.google.com/mail/u/0/?tab=rm&amp;ogbl#search/revista+bomberos/FMfcgxwCgVTbfVjsFCVtLhHfvhtFqPTl_x000a__x000a_MAYO:https://mail.google.com/mail/u/0/?tab=rm&amp;ogbl#search/revista+bomberos/FMfcgxwCgxwZrdxVSJVrjfgcrMrqDpdB_x000a__x000a_JUNIO: https://mail.google.com/mail/u/0/?tab=rm&amp;ogbl#search/revista+bomberos/FMfcgxwChSPVQzJGCmwXvgjlHSZKVjWS"/>
    <m/>
    <n v="1"/>
    <x v="0"/>
    <x v="0"/>
    <n v="0.2"/>
  </r>
  <r>
    <x v="0"/>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n v="2"/>
    <x v="1"/>
    <n v="0.2"/>
    <n v="50"/>
    <s v="Noticiero en video subido a la plataforma de YouTube de la entidad"/>
    <s v="En el año se realizarán 50 publicaciones, en las cuales se destacará la información de los eventos, actividades y emergencias más relevantes desarrolladas durante la semana en curso en que se emita el noticiero"/>
    <s v="Oficina Asesora Prensa y Comunicaciones"/>
    <n v="12"/>
    <n v="25"/>
    <n v="38"/>
    <n v="50"/>
    <n v="25"/>
    <n v="0.2"/>
    <n v="25"/>
    <s v="Durante el trimestre se realizaron 13 Ediciones del Noticiero &quot;Bomberos Hoy&quot;"/>
    <s v="1, https://www.youtube.com/watch?v=7Bee-fWb45g&amp;t=648s_x000a_2, https://www.youtube.com/watch?v=SSaKGSSs7rI&amp;t=147s_x000a_3, https://www.youtube.com/watch?v=IEViGIJfLqg&amp;t=3s_x000a_4. https://www.youtube.com/watch?v=WR3j1E3VLYc&amp;t=1s_x000a_5, https://www.youtube.com/watch?v=MtTbRK9uB9Y&amp;t=24s_x000a_6. https://www.youtube.com/watch?v=kOWjB9TLZP0&amp;t=40s_x000a_7, https://www.youtube.com/watch?v=T1u7Qo5nKMY&amp;t=23s_x000a_8, https://www.youtube.com/watch?v=GovgrdRQPso&amp;t=62s_x000a_9, https://www.youtube.com/watch?v=dH-uRJXkiR0&amp;t=4s_x000a_10, https://www.youtube.com/watch?v=_6-F04HsnCI_x000a_11, https://www.youtube.com/watch?v=Vru1GUfGE9E_x000a_12. https://www.youtube.com/watch?v=CnZcnqbzqzk&amp;t=564s_x000a_13, https://www.youtube.com/watch?v=dH-uRJXkiR0&amp;t=4s"/>
    <m/>
    <n v="1"/>
    <x v="0"/>
    <x v="0"/>
    <n v="0.2"/>
  </r>
  <r>
    <x v="0"/>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n v="3"/>
    <x v="2"/>
    <n v="0.15"/>
    <n v="50"/>
    <s v="Imagen enviada a través de correo electrónico a las cuentas de la UAECOB"/>
    <s v="En el año se realizarán 50 publicaciones, en las cuales se destacará la información de comunicación interna, para de esta forma mantener actualizado al personal de la UAECOB."/>
    <s v="Oficina Asesora Prensa y Comunicaciones"/>
    <n v="12"/>
    <n v="25"/>
    <n v="38"/>
    <n v="50"/>
    <n v="25"/>
    <n v="0.15"/>
    <n v="25"/>
    <s v="Durante el trimestre se realizaron 13 Ediciones de El Hidrante periódico digital, el cual fue enviado a través de correo electrónico a la entidad."/>
    <s v="1. https://mail.google.com/mail/u/0/?tab=rm&amp;ogbl#search/HIDRANTE/FMfcgxwBWTHnkBFfQHpnjPVznstBVFlb_x000a_2. https://mail.google.com/mail/u/0/?tab=rm&amp;ogbl#search/HIDRANTE/FMfcgxwCgCRVbjLPVJWRmMvVPVWLgqKh_x000a_3. https://mail.google.com/mail/u/0/?tab=rm&amp;ogbl#search/HIDRANTE/FMfcgxwCgLlfSQXJFhVncjCTqwTTxjvW_x000a_4. https://mail.google.com/mail/u/0/?tab=rm&amp;ogbl#search/HIDRANTE/FMfcgxwCgLzJlXCxdMkzlQzggRFJzNfp_x000a_5. https://mail.google.com/mail/u/0/?tab=rm&amp;ogbl#search/HIDRANTE/FMfcgxwCgLzJlXCxdMkzlQzggRFJzNfp_x000a_6. https://mail.google.com/mail/u/0/?tab=rm&amp;ogbl#search/HIDRANTE/FMfcgxwCgfrCkhsXtkbWSDSFXWBVmvSL_x000a_7. https://mail.google.com/mail/u/0/?tab=rm&amp;ogbl#search/HIDRANTE/FMfcgxwCgfwmrqGcgjdCPFWkqlldBrpp_x000a_8, https://mail.google.com/mail/u/0/?tab=rm&amp;ogbl#search/HIDRANTE/FMfcgxwCggCQWjDVcQgqgcxQgxmxZqCQ_x000a_9. https://mail.google.com/mail/u/0/?tab=rm&amp;ogbl#search/HIDRANTE/FMfcgxwCgpXqDfkGnPKQzwrdCLlfNBKh_x000a_10. https://mail.google.com/mail/u/0/?tab=rm&amp;ogbl#search/HIDRANTE/FMfcgxwCgzHmPnLDGnjkXmCJGlNWwBrS_x000a_11. https://mail.google.com/mail/u/0/?tab=rm&amp;ogbl#search/HIDRANTE/FMfcgxwChJdFSTbCBJcZTFwfXsVVcmQW_x000a_12. https://mail.google.com/mail/u/0/?tab=rm&amp;ogbl#search/HIDRANTE/FMfcgxwChJmKWZqXGRJSkpRdbmbNFkML_x000a_13. https://mail.google.com/mail/u/0/?tab=rm&amp;ogbl#search/HIDRANTE/FMfcgxwChSKrcxGnrnvbqcrNWzQxPGCR"/>
    <m/>
    <n v="1"/>
    <x v="0"/>
    <x v="0"/>
    <n v="0.15"/>
  </r>
  <r>
    <x v="0"/>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n v="4"/>
    <x v="3"/>
    <n v="0.2"/>
    <n v="50"/>
    <s v="Video enviado a través de Redes Sociales y publicado en los noticieros de cada semana de la UAECOB"/>
    <s v="50 Videos enviado a través de Redes Sociales y publicado en los noticieros de cada semana de la UAECOB. De esta forma se mostrará a la comunidad la labor que realizan los Bomberos en materia de atención de incidentes"/>
    <s v="Oficina Asesora Prensa y Comunicaciones"/>
    <n v="12"/>
    <n v="25"/>
    <n v="38"/>
    <n v="50"/>
    <n v="25"/>
    <n v="0.2"/>
    <n v="25"/>
    <s v="Durante el trimestre se realizaron 13 ediciones de Bomberos en Acción, los cuales fueron publicados en las Redes Sociales de la Entidad"/>
    <s v="1. https://twitter.com/BomberosBogota/status/1113491296684060672_x000a_2.https://twitter.com/BomberosBogota/status/1113949728629231617_x000a_3. https://twitter.com/Pedromanosalvar/status/1121022224125825024_x000a_4. https://twitter.com/BomberosBogota/status/1122949093620363265_x000a_5. https://twitter.com/BomberosBogota/status/1123989057913139200_x000a_6. https://twitter.com/BomberosBogota/status/1124306989796950016_x000a_7. https://twitter.com/BomberosBogota/status/1133412943868121089_x000a_8. https://twitter.com/BomberosBogota/status/1136469040694796291_x000a_9. https://twitter.com/BomberosBogota/status/1137083409996636160_x000a_10. https://twitter.com/BomberosBogota/status/1137153571928064005_x000a_11. https://twitter.com/BomberosBogota/status/1137359082510331907_x000a_12. https://twitter.com/BomberosBogota/status/1138867000372080640_x000a_13. https://twitter.com/BomberosBogota/status/1138916905304100865"/>
    <m/>
    <n v="1"/>
    <x v="0"/>
    <x v="0"/>
    <n v="0.2"/>
  </r>
  <r>
    <x v="0"/>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n v="5"/>
    <x v="4"/>
    <n v="0.1"/>
    <n v="50"/>
    <s v="Foto diagramada publicada en redes sociales"/>
    <s v="50 Fotos diagramada publicada en redes sociales. A través de una fotografía mostrar el incidente o hecho que haya sido relevante durante la semana y que por sí misma genere impacto visual"/>
    <s v="Oficina Asesora Prensa y Comunicaciones"/>
    <n v="12"/>
    <n v="25"/>
    <n v="38"/>
    <n v="50"/>
    <n v="25"/>
    <n v="0.1"/>
    <n v="25"/>
    <s v="Durante el trimestre se realizaron 13 ediciones de la Foto de la Semana, la cual fue enviada a través de redes sociales los días viernes."/>
    <s v="1. https://twitter.com/BomberosBogota/status/1114294161287598087_x000a_2. https://twitter.com/BomberosBogota/status/1116887015176507398_x000a_3. https://twitter.com/BomberosBogota/status/1119377330764419072_x000a_4. https://twitter.com/BomberosBogota/status/1121932533573324800_x000a_5. https://twitter.com/BomberosBogota/status/1124441017367842816_x000a_6. https://twitter.com/BomberosBogota/status/1127011305439801344_x000a_7. https://twitter.com/BomberosBogota/status/1129514431346597889_x000a_8. https://twitter.com/BomberosBogota/status/1132072400970047488_x000a_9. https://twitter.com/BomberosBogota/status/1134587860844195841_x000a_10. https://twitter.com/BomberosBogota/status/1137124576024879105_x000a_11. https://twitter.com/BomberosBogota/status/1139661290559795200_x000a_12. https://twitter.com/BomberosBogota/status/1142198257814298631_x000a_13. https://twitter.com/BomberosBogota/status/1144720230565986304"/>
    <m/>
    <n v="1"/>
    <x v="0"/>
    <x v="0"/>
    <n v="0.1"/>
  </r>
  <r>
    <x v="0"/>
    <s v="71. Incrementar a un 90% la sostenibilidad del SIG en el Gobierno Distrital"/>
    <s v="4. Fortalecer la capacidad de gestión y desarrollo institucional e interinstitucional, para consolidar la modernización de la UAECOB y llevarla a la excelencia"/>
    <s v="Gestión de las Comunicaciones Internas y Externas"/>
    <x v="0"/>
    <n v="6"/>
    <x v="5"/>
    <n v="0.15"/>
    <n v="50"/>
    <s v="Video enviado a través de Redes Sociales y publicado en los noticieros de cada semana de la UAECOB"/>
    <s v="50 Video. Contar a través de videos las historias que suceden en las estaciones o a los bomberos y que son dignas de contar"/>
    <s v="Oficina Asesora Prensa y Comunicaciones"/>
    <n v="12"/>
    <n v="25"/>
    <n v="38"/>
    <n v="50"/>
    <n v="25"/>
    <n v="0.15"/>
    <n v="25"/>
    <s v="Durante el trimestre se realizaron 13 ediciones de videos de historias de Bomberos, entre visitas, entregas y cosas que pasan al interior de cada una de las estaciones de Bomberos."/>
    <s v="6. https://twitter.com/BomberosBogota/status/1126466750927835142_x000a_7. https://twitter.com/BomberosBogota/status/1133817348018835462_x000a_8. https://twitter.com/BomberosBogota/status/1133860019852795906_x000a_9. https://twitter.com/BomberosBogota/status/1134167974590525440_x000a_10. https://twitter.com/BomberosBogota/status/1134218594169102337_x000a_11. https://twitter.com/BomberosBogota/status/1136342315163893760_x000a_12.https://twitter.com/BomberosBogota/status/1138922795063304192_x000a_13.https://twitter.com/BomberosBogota/status/1144586081813356544"/>
    <m/>
    <n v="1"/>
    <x v="0"/>
    <x v="0"/>
    <n v="0.15"/>
  </r>
  <r>
    <x v="0"/>
    <s v="71. Incrementar a un 90% la sostenibilidad del SIG en el Gobierno Distrital"/>
    <s v="4. Fortalecer la capacidad de gestión y desarrollo institucional e interinstitucional, para consolidar la modernización de la UAECOB y llevarla a la excelencia"/>
    <s v="Evaluación Independiente"/>
    <x v="1"/>
    <n v="1"/>
    <x v="6"/>
    <n v="1"/>
    <n v="100"/>
    <s v="Porcentaje"/>
    <s v="Cumplir el 100% de las actividades programadas en el Plan Anual de Auditorías para la vigencia"/>
    <s v="Oficina de Control Interno"/>
    <n v="0.25"/>
    <n v="0.5"/>
    <n v="0.75"/>
    <n v="1"/>
    <n v="0.5"/>
    <n v="1"/>
    <n v="0.45"/>
    <s v="Las actividades se iniciaron pero no se entregaron los informes a tiempo, no obstante se están realizando las reuniones de validación de hallasgoz  y los seguimientos correspondientes con el fin de cumplir con las actividades programda en el  PAA "/>
    <s v="Informes, actas de reunión, carteles, correos, entre otros"/>
    <m/>
    <n v="0.9"/>
    <x v="1"/>
    <x v="0"/>
    <n v="0.9"/>
  </r>
  <r>
    <x v="0"/>
    <s v="71. Incrementar a un 90% la sostenibilidad del SIG en el Gobierno Distrital"/>
    <s v="4. Fortalecer la capacidad de gestión y desarrollo institucional e interinstitucional, para consolidar la modernización de la UAECOB y llevarla a la excelencia"/>
    <s v="Gestión Integrada"/>
    <x v="2"/>
    <n v="1"/>
    <x v="7"/>
    <n v="6.25E-2"/>
    <n v="100"/>
    <s v="Porcentaje"/>
    <s v="100% Actividades cumplidas del plan de adecuación. En los estándares definidos en el Sistema Integrado de Gestión a los requerimientos del MIPG"/>
    <s v="Responsable del Sistema de Gestión de Calidad"/>
    <n v="0.5"/>
    <n v="1"/>
    <n v="0"/>
    <n v="0"/>
    <n v="1"/>
    <n v="6.25E-2"/>
    <n v="1"/>
    <s v="De las 9 actividades previstas dentro de este producto se cumplio 4 actividades al 100% y se avanzó en las otras.  "/>
    <s v="Resolución 306 de 2019_x000a_Matriz responsables y participantes politicas MIPG_x000a_Evaluaciones y listados de asistencia 3 sesiones de socialización SIG-MIPG"/>
    <m/>
    <n v="1"/>
    <x v="0"/>
    <x v="0"/>
    <n v="6.25E-2"/>
  </r>
  <r>
    <x v="0"/>
    <s v="71. Incrementar a un 90% la sostenibilidad del SIG en el Gobierno Distrital"/>
    <s v="4. Fortalecer la capacidad de gestión y desarrollo institucional e interinstitucional, para consolidar la modernización de la UAECOB y llevarla a la excelencia"/>
    <s v="Gestión Integrada"/>
    <x v="2"/>
    <n v="2"/>
    <x v="8"/>
    <n v="6.25E-2"/>
    <n v="12"/>
    <s v="Caracterizaciones de proceso publicadas"/>
    <s v="Actualizar el 100% de las caracterizaciones de proceso de la UAECOB"/>
    <s v="Responsable del Sistema de Gestión de Calidad"/>
    <n v="6"/>
    <n v="12"/>
    <n v="0"/>
    <n v="0"/>
    <n v="12"/>
    <n v="6.25E-2"/>
    <n v="12"/>
    <s v="Se cumplio con la actualizacion de las 12 caracterizaciones en el segundo trimestre. "/>
    <s v="Ruta de la Calidad "/>
    <m/>
    <n v="1"/>
    <x v="0"/>
    <x v="0"/>
    <n v="6.25E-2"/>
  </r>
  <r>
    <x v="0"/>
    <s v="71. Incrementar a un 90% la sostenibilidad del SIG en el Gobierno Distrital"/>
    <s v="4. Fortalecer la capacidad de gestión y desarrollo institucional e interinstitucional, para consolidar la modernización de la UAECOB y llevarla a la excelencia"/>
    <s v="Gestión Integrada"/>
    <x v="2"/>
    <n v="3"/>
    <x v="9"/>
    <n v="6.25E-2"/>
    <n v="15"/>
    <s v="Diagrama de flujo de procesos publicados"/>
    <s v="Documentar los diagramas de flujo de proceso de acuerdo con las actualizaciones realizadas al mapa de proceso"/>
    <s v="Responsable del Sistema de Gestión de Calidad"/>
    <n v="0"/>
    <n v="7"/>
    <n v="15"/>
    <n v="0"/>
    <n v="7"/>
    <n v="6.25E-2"/>
    <n v="1"/>
    <s v="No se cumplio debido a diferentes compromisos de los contratistas debido a atrasos en el coronograma de actividades. "/>
    <s v="N/A"/>
    <s v="Los profesionales encargados estan realizando las mesas de trabajo para realizar a mas tardar el 30 de Agosto el producto. "/>
    <n v="0.14285714285714285"/>
    <x v="2"/>
    <x v="0"/>
    <n v="8.9285714285714281E-3"/>
  </r>
  <r>
    <x v="0"/>
    <s v="92. Optimizar sistemas de información implementados y optimizados"/>
    <s v="4. Fortalecer la capacidad de gestión y desarrollo institucional e interinstitucional, para consolidar la modernización de la UAECOB y llevarla a la excelencia"/>
    <s v="Gestión Tecnológica"/>
    <x v="2"/>
    <n v="4"/>
    <x v="10"/>
    <n v="6.25E-2"/>
    <n v="100"/>
    <s v="Porcentaje"/>
    <s v="Implementación de un servicio y/o tramite en la ventanilla única de Atención al Ciudadano."/>
    <s v="Líder Área de Tecnología OAP - Mariano Garrido"/>
    <n v="0.5"/>
    <n v="0.75"/>
    <n v="0.85"/>
    <n v="1"/>
    <n v="0.75"/>
    <n v="6.25E-2"/>
    <n v="0.75"/>
    <s v="Se llevó a cabo la reunión para hacer entrega de los  sistemas de administración y liquidador de servicios de conceptos de revisiones técnicas del SIM. Estas aplicaciones son adyacentes al sistema de información misional (SIM) actual, que actúan como apoyo al proceso de pago del servicio de concepto de revisiones técnicas._x000a__x000a_1. Sistema Administrador Liquidador Misional (SALM): Sistema que permite administrar los usuarios que se le asignan a las empresas para que puedan generar e imprimir y el recibo de liquidación por conceptos de revisiones técnicas._x000a__x000a_2. Sistema Liquidador Misional (SLM): Sistema que le permite a las empresas generar e imprimir el recibo de liquidación por conceptos de revisiones técnicas._x000a__x000a_3. Manuales de Usuarios (SALM) y (SLM)._x000a_Los sistemas actualmente se encuentran instalados en producción y entrarán en funcionamiento cuando se termine el proceso de depuración los registros de la base de datos de &lt;EMPRESAS&gt; del sistema SIM y la resolución que da soporte a la formulación implementada en la aplicación (SLM)."/>
    <s v="1, Acta de Reunión de Entrega de los aplicativos SALM y SLM se encuentran en la siguiente url: https://drive.google.com/drive/folders/1vMOfELK7UUCVNa6C5DsM84ozwH2VXdoS_x000a__x000a__x000a_Los manuales del usuario se encuentran el la siguiente url:https://drive.google.com/drive/folders/1XdFzB4U-Fy3CQEGnihzKdnaTsRGIXuiq"/>
    <m/>
    <n v="1"/>
    <x v="0"/>
    <x v="0"/>
    <n v="6.25E-2"/>
  </r>
  <r>
    <x v="0"/>
    <s v="92. Optimizar sistemas de información implementados y optimizados"/>
    <s v="4. Fortalecer la capacidad de gestión y desarrollo institucional e interinstitucional, para consolidar la modernización de la UAECOB y llevarla a la excelencia"/>
    <s v="Gestión Tecnológica"/>
    <x v="2"/>
    <n v="5"/>
    <x v="11"/>
    <n v="6.25E-2"/>
    <n v="100"/>
    <s v="Porcentaje"/>
    <s v="Realizar el diseño, desarrollo de la nueva Intranet para la UAECOB"/>
    <s v="Líder Área de Tecnología OAP - Mariano Garrido"/>
    <n v="0.25"/>
    <n v="0.5"/>
    <n v="0.75"/>
    <n v="1"/>
    <n v="0.5"/>
    <n v="6.25E-2"/>
    <n v="0.5"/>
    <s v="Se realizo la instalacion de los componnetes del CMS para la nueva intranet de la UAECOB y se empiza estructurar el desarrllo del sitio"/>
    <s v="puede verificar en: http://172.16.92.27/intranet "/>
    <m/>
    <n v="1"/>
    <x v="0"/>
    <x v="0"/>
    <n v="6.25E-2"/>
  </r>
  <r>
    <x v="0"/>
    <s v="92. Optimizar sistemas de información implementados y optimizados"/>
    <s v="4. Fortalecer la capacidad de gestión y desarrollo institucional e interinstitucional, para consolidar la modernización de la UAECOB y llevarla a la excelencia"/>
    <s v="Gestión Tecnológica"/>
    <x v="2"/>
    <n v="6"/>
    <x v="12"/>
    <n v="6.25E-2"/>
    <n v="100"/>
    <s v="Porcentaje"/>
    <s v="Diseño, Revision, estructutacion e implementacion  de la Politica de Gobierno Digital al interior de la UAECOB   "/>
    <s v="Líder Área de Tecnología OAP - Mariano Garrido"/>
    <n v="0.25"/>
    <n v="0.5"/>
    <n v="0.75"/>
    <n v="1"/>
    <n v="0.5"/>
    <n v="6.25E-2"/>
    <n v="0.5"/>
    <s v="Se da sostenibilidad a los componentes de Goberio Digital y se empieza a estruturar e imlmentar los primeros tramites en linea de la UAECOB: Tramite enlinea SIREP:"/>
    <s v="irep_x000a_En desarrollo: Capacitacion Comunitaria y Acompañamientos en Simulacreos: http://172.16.92.18/WEB/  "/>
    <m/>
    <n v="1"/>
    <x v="0"/>
    <x v="0"/>
    <n v="6.25E-2"/>
  </r>
  <r>
    <x v="0"/>
    <s v="92. Optimizar sistemas de información implementados y optimizados"/>
    <s v="4. Fortalecer la capacidad de gestión y desarrollo institucional e interinstitucional, para consolidar la modernización de la UAECOB y llevarla a la excelencia"/>
    <s v="Gestión Tecnológica"/>
    <x v="2"/>
    <n v="7"/>
    <x v="13"/>
    <n v="6.25E-2"/>
    <n v="100"/>
    <s v="Porcentaje"/>
    <s v="Una aplicación móvil para la gestión de los incidentes atendidos por el personal operativo del UEACOP."/>
    <s v="Líder Área de Tecnología OAP - Mariano Garrido"/>
    <n v="0.5"/>
    <n v="1"/>
    <m/>
    <m/>
    <n v="1"/>
    <n v="6.25E-2"/>
    <n v="1"/>
    <s v="Se entregan las tablet y se evidencia en memorando del 30 de mayo del 2019 con numero radicado 2019I008626 donde se da inicio a unas modific aciones y mejoras a las mismas"/>
    <s v="1, Memorando 2019I008626._x000a_2,correo del 28 de mayo del 2019_x000a_3, Tablet Et1"/>
    <m/>
    <n v="1"/>
    <x v="0"/>
    <x v="0"/>
    <n v="6.25E-2"/>
  </r>
  <r>
    <x v="0"/>
    <s v="92. Optimizar sistemas de información implementados y optimizados"/>
    <s v="4. Fortalecer la capacidad de gestión y desarrollo institucional e interinstitucional, para consolidar la modernización de la UAECOB y llevarla a la excelencia"/>
    <s v="Gestión Tecnológica"/>
    <x v="2"/>
    <n v="8"/>
    <x v="14"/>
    <n v="6.25E-2"/>
    <n v="100"/>
    <s v="Porcentaje"/>
    <s v="Herramienta implementada"/>
    <s v="Líder Área de Tecnología OAP - Mariano Garrido"/>
    <n v="1"/>
    <m/>
    <m/>
    <m/>
    <m/>
    <m/>
    <m/>
    <m/>
    <m/>
    <m/>
    <m/>
    <x v="3"/>
    <x v="1"/>
    <m/>
  </r>
  <r>
    <x v="0"/>
    <s v="92. Optimizar sistemas de información implementados y optimizados"/>
    <s v="4. Fortalecer la capacidad de gestión y desarrollo institucional e interinstitucional, para consolidar la modernización de la UAECOB y llevarla a la excelencia"/>
    <s v="Gestión Tecnológica"/>
    <x v="2"/>
    <n v="9"/>
    <x v="15"/>
    <n v="6.25E-2"/>
    <n v="100"/>
    <s v="Porcentaje"/>
    <s v="Implementar una herramienta tecnológica que soporte  la gestión documental en la entidad, bajo la administración de la Subdirección Corporativa."/>
    <s v="Líder Área de Tecnología OAP - Mariano Garrido"/>
    <n v="1"/>
    <m/>
    <m/>
    <m/>
    <m/>
    <m/>
    <m/>
    <m/>
    <m/>
    <m/>
    <m/>
    <x v="3"/>
    <x v="1"/>
    <m/>
  </r>
  <r>
    <x v="0"/>
    <s v="92. Optimizar sistemas de información implementados y optimizados"/>
    <s v="4. Fortalecer la capacidad de gestión y desarrollo institucional e interinstitucional, para consolidar la modernización de la UAECOB y llevarla a la excelencia"/>
    <s v="Gestión Tecnológica"/>
    <x v="2"/>
    <n v="10"/>
    <x v="16"/>
    <n v="6.25E-2"/>
    <n v="100"/>
    <s v="Porcentaje"/>
    <s v="Cuadro de caracterización documental de los procedimientos actualizados."/>
    <s v="Líder Área de Tecnología OAP - Mariano Garrido"/>
    <n v="0.25"/>
    <n v="0.5"/>
    <n v="0"/>
    <n v="1"/>
    <n v="0.5"/>
    <n v="6.25E-2"/>
    <n v="0.5"/>
    <s v="Se realizara seguimiento y control al area de gestion documental con el fin de concatenar la informacion restante mediante memorando"/>
    <s v="1, Se adjunta parcial de las tablas de valoración como modelo a seguir de ahora en adelante"/>
    <m/>
    <n v="1"/>
    <x v="0"/>
    <x v="0"/>
    <n v="6.25E-2"/>
  </r>
  <r>
    <x v="0"/>
    <s v="92. Optimizar sistemas de información implementados y optimizados"/>
    <s v="4. Fortalecer la capacidad de gestión y desarrollo institucional e interinstitucional, para consolidar la modernización de la UAECOB y llevarla a la excelencia"/>
    <s v="Gestión Tecnológica"/>
    <x v="2"/>
    <n v="11"/>
    <x v="17"/>
    <n v="6.25E-2"/>
    <n v="100"/>
    <s v="Porcentaje"/>
    <s v="Realizar la contratación de un proveedor para el diseño y desarrollo del Nuevo Sistema de Información Misional para la Entidad"/>
    <s v="Líder Área de Tecnología OAP - Mariano Garrido"/>
    <n v="0.25"/>
    <n v="0.5"/>
    <n v="0.75"/>
    <n v="1"/>
    <n v="0.5"/>
    <n v="6.25E-2"/>
    <n v="0.5"/>
    <s v="Según memorando 2019I009375 se radicaron los estudios previos, estudios de mercado, estudiuos del sector, matriz de riesgo y documentos soporte"/>
    <s v="1, Acta operativa_x000a_2, bActa de reunion funcionalidad SGC_x000a_3, Acta SGR"/>
    <m/>
    <n v="1"/>
    <x v="0"/>
    <x v="0"/>
    <n v="6.25E-2"/>
  </r>
  <r>
    <x v="0"/>
    <s v="71. Incrementar a un 90% la sostenibilidad del SIG en el Gobierno Distrital"/>
    <s v="4. Fortalecer la capacidad de gestión y desarrollo institucional e interinstitucional, para consolidar la modernización de la UAECOB y llevarla a la excelencia"/>
    <s v="Gestión Estratégica"/>
    <x v="2"/>
    <n v="12"/>
    <x v="18"/>
    <n v="6.25E-2"/>
    <n v="100"/>
    <s v="Porcentaje"/>
    <s v="Se actualizará la guía de Buenas Prácticas UAECOB con la datos e información de resultados de 2018, así como se identificarán nuevas buenas prácticas"/>
    <s v="Grupo Cooperación Internacional y Alianzas Estratégicas"/>
    <n v="0.45"/>
    <n v="1"/>
    <n v="0"/>
    <n v="0"/>
    <n v="1"/>
    <n v="6.25E-2"/>
    <n v="1"/>
    <s v="Se actualizó la guía de Buenas Prácticas UAECOB con la datos e información de resultados de 2018, así como se identificaron 2 nuevas buenas prácticas: Prevención en Incendios forestales con la comunidad y Grupo de Investigación de incendios _x000a_"/>
    <s v="Documento en word con la Guía de Buenas Practicas actualizada"/>
    <m/>
    <n v="1"/>
    <x v="0"/>
    <x v="0"/>
    <n v="6.25E-2"/>
  </r>
  <r>
    <x v="0"/>
    <s v="71. Incrementar a un 90% la sostenibilidad del SIG en el Gobierno Distrital"/>
    <s v="4. Fortalecer la capacidad de gestión y desarrollo institucional e interinstitucional, para consolidar la modernización de la UAECOB y llevarla a la excelencia"/>
    <s v="Gestión Estratégica"/>
    <x v="2"/>
    <n v="13"/>
    <x v="19"/>
    <n v="6.25E-2"/>
    <n v="100"/>
    <s v="Porcentaje"/>
    <s v="Se actualizará el Portafolio de Servicios de la UAECOB con la información de 2018, así como se identificarán las nuevas líneas de servicios brindadas por la entidad"/>
    <s v="Grupo Cooperación Internacional y Alianzas Estratégicas"/>
    <n v="0.45"/>
    <n v="1"/>
    <n v="0"/>
    <n v="0"/>
    <n v="1"/>
    <n v="6.25E-2"/>
    <n v="1"/>
    <s v="Se actualizó el Portafolio de Servicios  UAECOB con la datos e información de resultados de 2018."/>
    <s v="Documento en word con el Portafolio de Servicios actualizado"/>
    <m/>
    <n v="1"/>
    <x v="0"/>
    <x v="0"/>
    <n v="6.25E-2"/>
  </r>
  <r>
    <x v="0"/>
    <s v="71. Incrementar a un 90% la sostenibilidad del SIG en el Gobierno Distrital"/>
    <s v="4. Fortalecer la capacidad de gestión y desarrollo institucional e interinstitucional, para consolidar la modernización de la UAECOB y llevarla a la excelencia"/>
    <s v="Gestión Estratégica"/>
    <x v="2"/>
    <n v="14"/>
    <x v="20"/>
    <n v="6.25E-2"/>
    <n v="4"/>
    <s v="Und"/>
    <s v="Se realizarán en el año 4 actividades de articulación con la Academia, donde se promueve la interlocución con universidades e instituciones de educación superior y técnica sobre temas de interés relacionados con las actividades bomberiles"/>
    <s v="Grupo Cooperación Internacional y Alianzas Estratégicas"/>
    <n v="1"/>
    <n v="2"/>
    <n v="3"/>
    <n v="4"/>
    <n v="2"/>
    <n v="6.25E-2"/>
    <n v="2"/>
    <s v="Se realizó la jornada de articulación  sobre el manejo de abejas urbanas y las emergencias el día 20 de mayo de 2019"/>
    <s v="Agenda del conversatorio _x000a_Registro fotografico _x000a_Invitación _x000a_Lista de asistencia _x000a_Memorias del conversatorio "/>
    <m/>
    <n v="1"/>
    <x v="0"/>
    <x v="0"/>
    <n v="6.25E-2"/>
  </r>
  <r>
    <x v="0"/>
    <s v="71. Incrementar a un 90% la sostenibilidad del SIG en el Gobierno Distrital"/>
    <s v="4. Fortalecer la capacidad de gestión y desarrollo institucional e interinstitucional, para consolidar la modernización de la UAECOB y llevarla a la excelencia"/>
    <s v="Gestión Estratégica"/>
    <x v="2"/>
    <n v="15"/>
    <x v="21"/>
    <n v="6.25E-2"/>
    <n v="100"/>
    <s v="Porcentaje"/>
    <s v="Se entregará un modelo que describa los elementos fundamentales bajo los cuales se desarrolla la articulación de la UAECOB con sus aliados estratégicos"/>
    <s v="Grupo Cooperación Internacional y Alianzas Estratégicas"/>
    <n v="0.25"/>
    <n v="0.85"/>
    <n v="1"/>
    <n v="0"/>
    <n v="0.85"/>
    <n v="6.25E-2"/>
    <n v="0.85"/>
    <s v="Se Identificaron los  grupos de Interes del equipo de cooperación de la UAECOB , se recopiló y evaluó  la información encontrada y se diseñó un modelo Canvas adaptado "/>
    <s v="Modelo Canvas adaptado en documento en word y anexo de mapa de grupo de interes en documento word "/>
    <m/>
    <n v="1"/>
    <x v="0"/>
    <x v="0"/>
    <n v="6.25E-2"/>
  </r>
  <r>
    <x v="0"/>
    <s v="71. Incrementar a un 90% la sostenibilidad del SIG en el Gobierno Distrital"/>
    <s v="4. Fortalecer la capacidad de gestión y desarrollo institucional e interinstitucional, para consolidar la modernización de la UAECOB y llevarla a la excelencia"/>
    <s v="Gestión Estratégica"/>
    <x v="2"/>
    <n v="16"/>
    <x v="22"/>
    <n v="6.25E-2"/>
    <n v="100"/>
    <s v="Porcentaje"/>
    <s v="Generar los Informes trimestrales con los resultados de los planes e indicadores que gestiona la Entidad "/>
    <s v="Area de Planeación y Gestión Estrategica - OAP"/>
    <n v="0.25"/>
    <n v="0.5"/>
    <n v="0.75"/>
    <n v="1"/>
    <n v="0.5"/>
    <n v="6.25E-2"/>
    <n v="0.5"/>
    <s v="Informes trimestrales generados"/>
    <s v="Publicacion en la web"/>
    <m/>
    <n v="1"/>
    <x v="0"/>
    <x v="0"/>
    <n v="6.25E-2"/>
  </r>
  <r>
    <x v="0"/>
    <s v="71. Incrementar a un 90% la sostenibilidad del SIG en el Gobierno Distrital"/>
    <s v="4. Fortalecer la capacidad de gestión y desarrollo institucional e interinstitucional, para consolidar la modernización de la UAECOB y llevarla a la excelencia"/>
    <s v="Gestión de Asuntos Jurídicos"/>
    <x v="3"/>
    <n v="1"/>
    <x v="23"/>
    <n v="0.25"/>
    <n v="100"/>
    <s v="Porcentaje"/>
    <s v="Base de datos estructurada y revisada"/>
    <s v="Jefe Oficina Asesora Jurídica - Giohana Catarine Gonzalez Turizo"/>
    <n v="0.25"/>
    <n v="0.5"/>
    <n v="0.75"/>
    <n v="1"/>
    <n v="0.5"/>
    <n v="0.25"/>
    <n v="0.5"/>
    <s v="Se elaboró y se actualizó Matriz de contratación de la vigencia 2019 con datos como: objeto, valor, plazo, fecha de suscripción, adiciones, prorrogas, terminaciones anticipadas, Cesiones, con el fin de llevar un control y seguimiento adecuado de la UAECOB"/>
    <s v="Matriz ubicada en carpeta digital 2019 Base de contratación"/>
    <m/>
    <n v="1"/>
    <x v="0"/>
    <x v="0"/>
    <n v="0.25"/>
  </r>
  <r>
    <x v="0"/>
    <s v="71. Incrementar a un 90% la sostenibilidad del SIG en el Gobierno Distrital"/>
    <s v="4. Fortalecer la capacidad de gestión y desarrollo institucional e interinstitucional, para consolidar la modernización de la UAECOB y llevarla a la excelencia"/>
    <s v="Gestión de Asuntos Jurídicos"/>
    <x v="3"/>
    <n v="2"/>
    <x v="24"/>
    <n v="0.25"/>
    <n v="100"/>
    <s v="Porcentaje"/>
    <s v="Matriz control y seguimiento de aprobación de garantías"/>
    <s v="Jefe Oficina Asesora Jurídica - Giohana Catarine Gonzalez Turizo"/>
    <n v="0.4"/>
    <n v="0.8"/>
    <n v="0.9"/>
    <n v="1"/>
    <n v="0.8"/>
    <n v="0.25"/>
    <n v="0.8"/>
    <s v="Se elaboró  Matriz control y seguimiento de aprobación de garantías con el fin de realizar un seguimiento oportuno y efectivo a la constitución de las mismas por parte de los contratistas "/>
    <s v="Matriz ubicada en el PC de Profesional Especializado"/>
    <m/>
    <n v="1"/>
    <x v="0"/>
    <x v="0"/>
    <n v="0.25"/>
  </r>
  <r>
    <x v="0"/>
    <s v="71. Incrementar a un 90% la sostenibilidad del SIG en el Gobierno Distrital"/>
    <s v="4. Fortalecer la capacidad de gestión y desarrollo institucional e interinstitucional, para consolidar la modernización de la UAECOB y llevarla a la excelencia"/>
    <s v="Gestión de Asuntos Jurídicos"/>
    <x v="3"/>
    <n v="3"/>
    <x v="25"/>
    <n v="0.25"/>
    <n v="100"/>
    <s v="Porcentaje"/>
    <s v="Actas de reunión de la Jefe de la OAJ con el grupo de contratación "/>
    <s v="Jefe Oficina Asesora Jurídica - Giohana Catarine Gonzalez Turizo"/>
    <n v="0"/>
    <n v="0.5"/>
    <n v="1"/>
    <n v="0"/>
    <n v="0.5"/>
    <n v="0.25"/>
    <n v="0.5"/>
    <s v="Actas de reunión de los meses de Abril. Mayo y Junio de 2019"/>
    <s v="Actas Mesa de Trabajo"/>
    <m/>
    <n v="1"/>
    <x v="0"/>
    <x v="0"/>
    <n v="0.25"/>
  </r>
  <r>
    <x v="0"/>
    <s v="71. Incrementar a un 90% la sostenibilidad del SIG en el Gobierno Distrital"/>
    <s v="4. Fortalecer la capacidad de gestión y desarrollo institucional e interinstitucional, para consolidar la modernización de la UAECOB y llevarla a la excelencia"/>
    <s v="Gestión de Asuntos Jurídicos"/>
    <x v="3"/>
    <n v="4"/>
    <x v="26"/>
    <n v="0.25"/>
    <n v="100"/>
    <s v="Porcentaje"/>
    <s v="Aplicación de protocolo para la puesta en marcha de medios alternativos de solución de conflictos. "/>
    <s v="Jefe Oficina Asesora Jurídica - Giohana Catarine Gonzalez Turizo"/>
    <n v="0.35"/>
    <n v="0.7"/>
    <n v="0.85"/>
    <n v="1"/>
    <n v="0.7"/>
    <n v="0.25"/>
    <n v="0.35"/>
    <s v="Protocolo para revisión con un avance del 50%, teniendo en cuenta la normatividad vigente, basados en las indicaciones  impartidas por la Alcaldía Mayor de Bogotá"/>
    <s v="Protocolo  ubicado en el PC de la Jefe de la Oficina Asesora Jurídica "/>
    <m/>
    <n v="0.5"/>
    <x v="2"/>
    <x v="0"/>
    <n v="0.125"/>
  </r>
  <r>
    <x v="1"/>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Conocimiento del Riesgo"/>
    <x v="4"/>
    <n v="1"/>
    <x v="27"/>
    <n v="6.25E-2"/>
    <n v="100"/>
    <s v="Porcentual"/>
    <s v="Realizar el documento diagnostico del cumplimiento técnico normativo de escenarios de aglomeración permanente de Bogotá  (Teatros y Cinemas)"/>
    <s v="Jorge Alberto Pardo Torres"/>
    <n v="0.25"/>
    <n v="0.5"/>
    <n v="0.75"/>
    <n v="1"/>
    <n v="0.5"/>
    <n v="6.25E-2"/>
    <n v="0.5"/>
    <s v="Se Actualizo el documento en el cual se identifican los puntos críticos en los  teatros y cinemas frente a los temas de seguridad humana y sistemas de protección contra incendio."/>
    <s v="documento anexo"/>
    <m/>
    <n v="1"/>
    <x v="0"/>
    <x v="0"/>
    <n v="6.25E-2"/>
  </r>
  <r>
    <x v="1"/>
    <s v="103. Adelantar el 100% de acciones parala prevención y mitigación del riesgo de incidentes forestales (connatos, quemas e incendios)"/>
    <s v="3. Consolidar la Gestión del Conocimiento a través del modelo de Gestión del Riesgo y sus líneas de acción"/>
    <s v="Conocimiento del Riesgo"/>
    <x v="4"/>
    <n v="2"/>
    <x v="28"/>
    <n v="6.25E-2"/>
    <n v="100"/>
    <s v="Porcentual"/>
    <s v="Documento &quot;Proyecto virtualización capacitación normativa aplicada a revisiones técnicas&quot;"/>
    <s v="Jorge Alberto Pardo Torres"/>
    <n v="0.25"/>
    <n v="0.5"/>
    <n v="0.75"/>
    <n v="1"/>
    <n v="0.5"/>
    <n v="6.25E-2"/>
    <n v="0.5"/>
    <s v="Se Realiza informe diagnostico donde se analizan los principales aspectos a evaluar en los establecimiento de comercio clasificados como riesgo bajo y el porcentaje de establecimiento que se van para la clasificación virtual."/>
    <s v="documento anexo"/>
    <m/>
    <n v="1"/>
    <x v="0"/>
    <x v="0"/>
    <n v="6.25E-2"/>
  </r>
  <r>
    <x v="1"/>
    <s v="103. Adelantar el 100% de acciones parala prevención y mitigación del riesgo de incidentes forestales (connatos, quemas e incendios)"/>
    <s v="3. Consolidar la Gestión del Conocimiento a través del modelo de Gestión del Riesgo y sus líneas de acción"/>
    <s v="Conocimiento del Riesgo"/>
    <x v="4"/>
    <n v="3"/>
    <x v="29"/>
    <n v="6.25E-2"/>
    <n v="100"/>
    <s v="Porcentual"/>
    <s v="Realizar 1 proceso de mantenimiento evolutivo del Sistema de Información Misional sub-módulo de Revisiones Técnicas y auto revisiones"/>
    <s v="Jorge Alberto Pardo Torres"/>
    <n v="0.25"/>
    <n v="0.5"/>
    <n v="0.75"/>
    <n v="1"/>
    <n v="0.5"/>
    <n v="6.25E-2"/>
    <n v="0.5"/>
    <s v="Se realizo reunión del 20 de mayo en la cual se establecieron el  fortalecimiento de características y funciones del SIM ."/>
    <s v="acta de reunion"/>
    <m/>
    <n v="1"/>
    <x v="0"/>
    <x v="0"/>
    <n v="6.25E-2"/>
  </r>
  <r>
    <x v="1"/>
    <s v="103. Adelantar el 100% de acciones parala prevención y mitigación del riesgo de incidentes forestales (connatos, quemas e incendios)"/>
    <s v="3. Consolidar la Gestión del Conocimiento a través del modelo de Gestión del Riesgo y sus líneas de acción"/>
    <s v="Conocimiento del Riesgo"/>
    <x v="4"/>
    <n v="4"/>
    <x v="30"/>
    <n v="6.25E-2"/>
    <n v="100"/>
    <s v="Porcentual"/>
    <s v="Documento &quot;Guía de riesgos comunes y asociados a incendios&quot;"/>
    <s v="Jorge Alberto Pardo Torres"/>
    <n v="0.25"/>
    <n v="0.5"/>
    <n v="0.75"/>
    <n v="1"/>
    <n v="0.5"/>
    <n v="6.25E-2"/>
    <n v="0.2"/>
    <s v="Se establece continuación de la estructura y desarrollo del contenido del documento frente a los componentes electrico y riesgos comunes asociados a incendios."/>
    <s v="correo electronico y documento anexo"/>
    <m/>
    <n v="0.4"/>
    <x v="2"/>
    <x v="0"/>
    <n v="2.5000000000000001E-2"/>
  </r>
  <r>
    <x v="1"/>
    <s v="103. Adelantar el 100% de acciones parala prevención y mitigación del riesgo de incidentes forestales (connatos, quemas e incendios)"/>
    <s v="3. Consolidar la Gestión del Conocimiento a través del modelo de Gestión del Riesgo y sus líneas de acción"/>
    <s v="Reducción del Riesgo"/>
    <x v="4"/>
    <n v="5"/>
    <x v="31"/>
    <n v="6.25E-2"/>
    <n v="6"/>
    <s v="Número de mesas de trabajo "/>
    <s v="Realizar el seguimiento del avance del proceso de sistematización del capacitación a brigadas contra incendio empresarial"/>
    <s v="Jorge Alberto Pardo Torres"/>
    <s v="-"/>
    <n v="2"/>
    <n v="4"/>
    <n v="6"/>
    <n v="2"/>
    <n v="6.25E-2"/>
    <n v="2"/>
    <s v="1. Identificación de todas las actividades inherentes al procedimiento con personal de OA Planeación, vinculación de la sistematización de las etapas administrativas en torno a la plataforma DOSEBO, validando con la Ing. Diana Poveda y personal referente de la plataforma el punto de partida de la plataforma. Se Concluye que se requiere desarrollar el trámite de pago a través del liquidador dados las situaciones encontradas con el misional. Se delega al Ing. Luis Carmona para el desarrollo del liquidador. Soporte. Actas de reunión 27 de mayo de 2019  _x000a__x000a_2 Se analizan las entradas y salidas del sistemas de liquidador. Control y definición de pagos para la liquidación. Necesidad de diseñar el recibo de pago en coordinación con OA al Ciudadano, Nombre del Sistema de liquidación, etc. Soporte. Acta de reunión del 13 de Junio de 2019._x000a_"/>
    <s v="Esta actividad no se encuentra en tiempos de ejecuccion."/>
    <m/>
    <n v="1"/>
    <x v="0"/>
    <x v="0"/>
    <n v="6.25E-2"/>
  </r>
  <r>
    <x v="1"/>
    <s v="103. Adelantar el 100% de acciones parala prevención y mitigación del riesgo de incidentes forestales (connatos, quemas e incendios)"/>
    <s v="3. Consolidar la Gestión del Conocimiento a través del modelo de Gestión del Riesgo y sus líneas de acción"/>
    <s v="Reducción del Riesgo"/>
    <x v="4"/>
    <n v="6"/>
    <x v="32"/>
    <n v="6.25E-2"/>
    <n v="100"/>
    <s v="Porcentual"/>
    <s v="Realizar la actualización de los módulos de capacitación comunitaria "/>
    <s v="Jorge Alberto Pardo Torres"/>
    <n v="0.25"/>
    <n v="0.5"/>
    <n v="0.75"/>
    <n v="1"/>
    <n v="0.5"/>
    <n v="6.25E-2"/>
    <n v="0.5"/>
    <s v="Se realizó reunión el día 27 de mayo del año 2019, soportado en acta, con el objetivo de realizar_x000a_seguimiento a los productos según responsables, de acuerdo con el cronograma de trabajo, en_x000a_donde se establecieron los siguientes compromisos:_x000a_Actualizar la información con estadísticas del año 2018 y remitir plazo a Luis Bernal con plazo 7 de_x000a_junio de 2019, como responsables Oscar Cuevas, Nelson Sanchez y Sgto German Aldana._x000a_Actualizar contenidos de acuerdo a la estadística referencia con plazo 7 de junio de 2019,_x000a_responsable Nelson Sanchez._x000a_Entregables consolidados al 14 de junio de 2019 a través de correo electrónico, responsables Cabo_x000a_Luis Bernal y Sgto German Aldana._x000a_Seguimiento a prensa por parte de la SGR de los productos entregados._x000a_El día 30 de mayo del año 2019, soportado en acta, se realiza reunión con el objetivo de revisar los_x000a_productos de capacitación en comunitaria, meta plan de acción y articulación con prensa, en_x000a_donde se establecieron los siguientes compromisos:_x000a_Por prensa la entrega de 8 videos que integra Gente que ayuda, así como 2 videos de material de_x000a_riesgo bajo para el 14 de Junio de 2019._x000a_Revisión de prensa de los módulos de capacitación comunitaria._x000a_El día 14 de Junio y de acuerdo a los compromisos, se hace entrega a la referente de la SGR de los_x000a_8 videos, por el área de prensa, cumpliendo con los tiempos establecidos en las actas anteriores._x000a_De igual manera de hace entrega vía correo electrónico por parte del Cabo Luis Bernal de los_x000a_módulos de capacitación comunitaria para su revisión a los referentes de la SGR, al Teniente_x000a_Triana y a la profesional del área de capacitación comunitaria de la SGR para revisión_x000a_metodológica._x000a_Se realiza revisión por el Teniente Triana, quien realiza observaciones frente al contenido y se_x000a_envía vía correo electrónico a los profesionales encargados de su respectiva corrección, así como_x000a_se hace revisión por parte de la profesional encargada de capacitación comunitaria en cuanto a la_x000a_parte metodológica. Posteriormente se realiza informe con las observaciones generales frente a la_x000a_estructura metodológica para su respectivo ajuste. "/>
    <s v="acta de reunion"/>
    <m/>
    <n v="1"/>
    <x v="0"/>
    <x v="0"/>
    <n v="6.25E-2"/>
  </r>
  <r>
    <x v="1"/>
    <s v="103. Adelantar el 100% de acciones parala prevención y mitigación del riesgo de incidentes forestales (connatos, quemas e incendios)"/>
    <s v="3. Consolidar la Gestión del Conocimiento a través del modelo de Gestión del Riesgo y sus líneas de acción"/>
    <s v="Reducción del Riesgo"/>
    <x v="4"/>
    <n v="7"/>
    <x v="33"/>
    <n v="6.25E-2"/>
    <n v="100"/>
    <s v="Porcentual"/>
    <s v="Elaboración del documento &quot;Virtualización de capacitación a brigadas empresariales&quot;"/>
    <s v="Jorge Alberto Pardo Torres"/>
    <n v="0.25"/>
    <n v="0.5"/>
    <n v="0.75"/>
    <n v="1"/>
    <n v="0.5"/>
    <n v="6.25E-2"/>
    <n v="0.42499999999999999"/>
    <s v="1. Los instructores referentes presentan modelo pedagógico y validan la plantilla para la estructuración de contenidos de los módulos de capacitación brigadas Contra Incendio-CI, avalada por la OAP con el soporte:  Acta de 28 de marzo de 2019._x000a_2. El instructor referente Marco Quiroga presenta los avances de contenidos consolidados en plantilla, como resultado de lo solicitado a instructores referentes por módulo fechas de compromiso.  Soporte. Acta 25 de abril de 2019._x000a_3. Envío de contenidos temáticos a la Ingeniera Diana Poveda – OAP sobre los Módulos de Comportamiento del fuego, Administración de la Emergencia, Gestión del Riesgo, Primer Respondiente, Proyecto de entorno virtual comportamiento del Fuego a través de soporte del Correo electrónico del 23 de mayo de 2019. _x000a_4. La Ing. Diana Poveda de la OAP revisa contenidos enviados el 27 de mayo de 2019 por instructor referente Marcos Quiroga, y concluye que no hay ningún tipo de problema, únicamente un aspecto de forma, por lo cual con Marco Quiroga se trabajaría los contenidos en plantilla PowerPoint para subirla a Plataforma DOSEBO. Por lo tanto, se deberá proyectar cronograma de entregables a la Oficina Asesora de comunicaciones y Prensa.  Se soporta con el Acta de trabajo del 27 de mayo de 2019_x000a_5. El instructor Marcos Quiroga, envía requerimiento para entregables en cada uno de los módulos a los instructores referentes. Se soporta con el Correo electrónico del 28 de mayo de 2019._x000a_6. El instructor Marco Quiroga. Envío los 6 módulos incluyendo el introductorio consolidados a Ing. Diana Poveda con el soporte del Correo electrónico del 30 de mayo de 2019._x000a_7.  De acuerdo a requerimientos a través de memorando 2019I008873- ID 7490 del 6 de junio de 2019, enviado a Oficina Asesora de comunicaciones y Prensa, sobre productos a diseñar, se acuerda con la SGR cambiar animaciones por vídeos, fecha de grabación módulo Introductorio -17 de junio de 2019 y mesa de trabajo para diseño módulo 1 para el 21 de junio de 2019. Soporte: acta de trabajo 11 de junio de 2019._x000a_8.  Acuerdos entre a Oficina Asesora de comunicaciones y Prensa, OAP y SGR: establecer los Formatos de vídeos para subir a la plataforma DOSEBO, avanzar en los módulos 0 y 1 para subirlos a la plataforma a fin de dar viabilidad a la capacitación del manejo de herramienta DOSEBO y diseño de plantilla web PowerPoint para estandarizar la presentación de contenidos de módulos de capacitación. Soporte. Acta 13 de junio de 2019. _x000a_9. a Oficina Asesora de comunicaciones y Prensa y SGR realizan vídeo introductorio de acuerdo a compromisos adquiridos en mesa de trabajo del 11 de junio. Fecha de realización del día 17 de junio de 2019. (Video en proceso)._x000a_10 a Oficina Asesora de comunicaciones y Prensa y SGR realizan mesa de trabajo para acordar parámetros para la elaboración de vídeo módulo 1, normatividad. Soporte. acta de reunión 27 de junio de 2019._x000a_11.  a Oficina Asesora de comunicaciones y Prensa envía diseño de plantilla en cumplimiento de compromiso de 13 de junio de 2019. Soporte. Correo electrónico 28 de junio de 2019._x000a_12. SGR envía a Marco Quiroga e instructores referentes el diseño de plantilla. Soporte correo electrónico 28 de junio de 2019. _x000a_"/>
    <s v="acta de reunion , c"/>
    <m/>
    <n v="0.85"/>
    <x v="1"/>
    <x v="0"/>
    <n v="5.3124999999999999E-2"/>
  </r>
  <r>
    <x v="1"/>
    <s v="103. Adelantar el 100% de acciones para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4"/>
    <n v="8"/>
    <x v="34"/>
    <n v="6.25E-2"/>
    <n v="100"/>
    <s v="Porcentual"/>
    <s v="Actualizar el documento de la estrategia de las campañas de reducción del riesgo relacionadas con la prevención y mitigación de riesgos de incendio, matpel y otras  emergencias competencia de la UAECOB"/>
    <s v="Jorge Alberto Pardo Torres"/>
    <n v="0.25"/>
    <n v="0.5"/>
    <n v="0.75"/>
    <n v="1"/>
    <n v="0.5"/>
    <n v="6.25E-2"/>
    <n v="0.5"/>
    <s v="Se está consolidando el documento para entrega al director, estableciendo planes de acción en cada localidad."/>
    <s v="Documento word, Documento Excel "/>
    <m/>
    <n v="1"/>
    <x v="0"/>
    <x v="0"/>
    <n v="6.25E-2"/>
  </r>
  <r>
    <x v="1"/>
    <s v="103. Adelantar el 100% de acciones para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4"/>
    <n v="9"/>
    <x v="35"/>
    <n v="6.25E-2"/>
    <n v="100"/>
    <s v="Porcentual"/>
    <s v="17 estaciones con personal capacitado en pedagogía para desarrollo de las actividades del club Bomberitos "/>
    <s v="Jorge Alberto Pardo Torres"/>
    <n v="0.25"/>
    <n v="0.5"/>
    <n v="0.75"/>
    <n v="1"/>
    <n v="0.5"/>
    <n v="6.25E-2"/>
    <n v="0.5"/>
    <s v="Se realizó cronograma para la programación de las capacitaciones en pedagogía infantil para las 17 estaciones de Bogotá. _x000a_Las jornadas de capacitación inicia el 19 de Julio de 2019. Se anexa cronograma de visitas a las 17 Estaciones de Bogotá y finalizan antes de los plazos establecidos."/>
    <s v="actas de reunion y material estructurado de los progamas"/>
    <m/>
    <n v="1"/>
    <x v="0"/>
    <x v="0"/>
    <n v="6.25E-2"/>
  </r>
  <r>
    <x v="1"/>
    <s v="103. Adelantar el 100% de acciones parala prevención y mitigación del riesgo de incidentes forestales (connatos, quemas e incendios)"/>
    <s v="2. Generar corresponsabilidad del riesgo mediante la prevención, mitigación, transferencia y preparación con la comunidad ante el riesgo de incendios, incidentes con materiales peligrosos y rescates en general"/>
    <s v="Reducción del Riesgo"/>
    <x v="4"/>
    <n v="10"/>
    <x v="36"/>
    <n v="6.25E-2"/>
    <n v="100"/>
    <s v="Porcentual"/>
    <s v="Desarrollar 4 Actividades de la estrategia del Club Bomberitos en el marco del mes de la prevención (Caravanas de la Prevención)"/>
    <s v="Jorge Alberto Pardo Torres"/>
    <m/>
    <m/>
    <n v="0.5"/>
    <n v="1"/>
    <m/>
    <m/>
    <m/>
    <m/>
    <m/>
    <m/>
    <n v="0"/>
    <x v="4"/>
    <x v="2"/>
    <n v="0"/>
  </r>
  <r>
    <x v="1"/>
    <s v="103. Adelantar el 100% de acciones parala prevención y mitigación del riesgo de incidentes forestales (connatos, quemas e incendios)"/>
    <s v="3. Consolidar la Gestión del Conocimiento a través del modelo de Gestión del Riesgo y sus líneas de acción"/>
    <s v="Reducción del Riesgo"/>
    <x v="4"/>
    <n v="11"/>
    <x v="37"/>
    <n v="6.25E-2"/>
    <n v="100"/>
    <s v="Porcentual"/>
    <s v="Desarrollar el 100% del proyecto de prevención y autoprotección  comunitaria ante incendios forestales. (fase 2)"/>
    <s v="Jorge Alberto Pardo Torres"/>
    <n v="0.25"/>
    <n v="0.5"/>
    <n v="0.75"/>
    <n v="1"/>
    <n v="0.5"/>
    <n v="6.25E-2"/>
    <n v="0.5"/>
    <s v="Se realizó articulación institucional mediante la socialización del proyecto en cada uno de los tres turnos de las estaciones Chapinero y Caobos Salazar para el trabajo en las localidades de Chapinero y Usaquén. Seguido a esto se realizó la articulación interinstitucional con los Consejos Locales de Gestión del Riesgo y Cambio Climático.  Los barrios para la implementación del proyecto  se tienen propuestos y por medio de la metodología de selección de barrios se escogerán 5 por cada localidad. "/>
    <s v="Acta de Reunion"/>
    <m/>
    <n v="1"/>
    <x v="0"/>
    <x v="0"/>
    <n v="6.25E-2"/>
  </r>
  <r>
    <x v="1"/>
    <s v="103. Adelantar el 100% de acciones parala prevención y mitigación del riesgo de incidentes forestales (connatos, quemas e incendios)"/>
    <s v="3. Consolidar la Gestión del Conocimiento a través del modelo de Gestión del Riesgo y sus líneas de acción"/>
    <s v="Reducción del Riesgo"/>
    <x v="4"/>
    <n v="12"/>
    <x v="38"/>
    <n v="6.25E-2"/>
    <n v="100"/>
    <s v="Porcentual"/>
    <s v="Actualizar el 100% de la estrategia de cambio climático de la UAECOB"/>
    <s v="Jorge Alberto Pardo Torres"/>
    <n v="0.2"/>
    <n v="0.4"/>
    <n v="0.6"/>
    <n v="1"/>
    <n v="0.4"/>
    <n v="6.25E-2"/>
    <n v="0.4"/>
    <s v="Durante el mes de Julio se llevarán a cabo reuniones con áreas de infraestructura, conocimiento del riesgo, reducción del riesgo y la subdirección operativa para aprobación de las metas e indicadores correspondientes a los componentes de conocimiento, reducción de riesgo, mitigación de cambio climático y manejo de emergencia y desastre."/>
    <s v="correo electronico y documento anexo"/>
    <m/>
    <n v="1"/>
    <x v="0"/>
    <x v="0"/>
    <n v="6.25E-2"/>
  </r>
  <r>
    <x v="1"/>
    <s v="103. Adelantar el 100% de acciones parala prevención y mitigación del riesgo de incidentes forestales (connatos, quemas e incendios)"/>
    <s v="3. Consolidar la Gestión del Conocimiento a través del modelo de Gestión del Riesgo y sus líneas de acción"/>
    <s v="Reducción del Riesgo"/>
    <x v="4"/>
    <n v="13"/>
    <x v="39"/>
    <n v="6.25E-2"/>
    <n v="100"/>
    <s v="Porcentual"/>
    <s v="Desarrollar 1 piloto en la localidad de puente Aranda de cartografía social  para materiales peligrosos"/>
    <s v="Jorge Alberto Pardo Torres"/>
    <n v="0.25"/>
    <n v="0.5"/>
    <n v="0.75"/>
    <n v="1"/>
    <n v="0.5"/>
    <n v="6.25E-2"/>
    <n v="0.4"/>
    <s v="Se está desarrollando el documento con los lineamientos y fases de la recolección de la información para la cartografía."/>
    <s v="Acta de reunión "/>
    <m/>
    <n v="0.8"/>
    <x v="5"/>
    <x v="0"/>
    <n v="0.05"/>
  </r>
  <r>
    <x v="1"/>
    <s v="103. Adelantar el 100% de acciones parala prevención y mitigación del riesgo de incidentes forestales (connatos, quemas e incendios)"/>
    <s v="3. Consolidar la Gestión del Conocimiento a través del modelo de Gestión del Riesgo y sus líneas de acción"/>
    <s v="Reducción del Riesgo"/>
    <x v="4"/>
    <n v="14"/>
    <x v="40"/>
    <n v="6.25E-2"/>
    <n v="100"/>
    <s v="Porcentual"/>
    <s v="Divulgar en las 20 localidades una campaña de Gestión del Riesgo"/>
    <s v="Jorge Alberto Pardo Torres"/>
    <n v="0.25"/>
    <n v="0.5"/>
    <n v="0.75"/>
    <n v="1"/>
    <n v="0.5"/>
    <n v="6.25E-2"/>
    <n v="0.48"/>
    <s v="Se inicio con la divulgación en los centros comerciales de la campaña de hogar seguro y la casa inflable. Igualmente se realizo el día 8 de junio una jornada de sensibilización y prevención de incendios forestales y causas del cabio climático en compañía del área  de gestión ambiental en la localidad de USME barrio nuevo porvenir."/>
    <s v="correo electronico y documento anexo"/>
    <m/>
    <n v="0.96"/>
    <x v="0"/>
    <x v="0"/>
    <n v="0.06"/>
  </r>
  <r>
    <x v="1"/>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Reducción del Riesgo"/>
    <x v="4"/>
    <n v="15"/>
    <x v="41"/>
    <n v="6.25E-2"/>
    <n v="100"/>
    <s v="Porcentual"/>
    <s v="Gestionar  una estrategia para la gestión del riesgo por incendios forestales en la localidad de Sumapaz"/>
    <s v="Jorge Alberto Pardo Torres"/>
    <n v="0.15"/>
    <n v="0.4"/>
    <n v="0.7"/>
    <n v="1"/>
    <n v="0.4"/>
    <n v="6.25E-2"/>
    <n v="0.32"/>
    <s v="Se realizo reunión con la localidad de sumapaz y la actividad se realiza en el mes de la prevención (Octubre) y como actividad de plan de acción de la localidad."/>
    <s v="Acta de reunion"/>
    <m/>
    <n v="0.79999999999999993"/>
    <x v="5"/>
    <x v="0"/>
    <n v="4.9999999999999996E-2"/>
  </r>
  <r>
    <x v="1"/>
    <s v="103. Adelantar el 100% de acciones parala prevención y mitigación del riesgo de incidentes forestales (connatos, quemas e incendios)"/>
    <s v="3. Consolidar la Gestión del Conocimiento a través del modelo de Gestión del Riesgo y sus líneas de acción"/>
    <s v="Conocimiento del Riesgo"/>
    <x v="4"/>
    <n v="16"/>
    <x v="42"/>
    <n v="6.25E-2"/>
    <n v="100"/>
    <s v="Porcentual"/>
    <s v="Realizar un Insumo para una Campaña de Prevención por incendios en el hogar. Con la información Interna del equipo de Investigación de incendios "/>
    <s v="Jorge Alberto Pardo Torres"/>
    <n v="0.25"/>
    <n v="0.5"/>
    <n v="0.75"/>
    <n v="1"/>
    <n v="0.5"/>
    <n v="6.25E-2"/>
    <n v="0.5"/>
    <s v="Se evidencia acta de reunión del 19 de marzo de 2019 en la cual se presenta avance de la recolección de los datos que sirven como insumo para presentar una campaña de prevención._x000a_Se define el tema del insumo para la campaña es gasodomesticos._x000a_Se evidencia reunión 11 de abril de 2019 en la cual se establece el tema de funcionamiento de gasodomesticos_x000a_Se evidencia reunión del 29 de mayo en el cual se trata el tema de mantenimiento de gasodomesticos _x000a_Se evidencia reunión del 6 de junio en la cual se trata el tema de calentadores de paso a gas _x000a_Se evidencia reunión del 26 de junio de 2019 y el tema tratado fue normatividad de calentadores a gas"/>
    <s v="Actas  de reunion y etsadisticas"/>
    <m/>
    <n v="1"/>
    <x v="0"/>
    <x v="0"/>
    <n v="6.25E-2"/>
  </r>
  <r>
    <x v="1"/>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n v="1"/>
    <x v="43"/>
    <n v="0.2"/>
    <n v="2"/>
    <s v="Unidad"/>
    <s v="Realización de un curso de Bomberitos semestral  &quot;Nicolas Quevedo Rizo&quot;   en 17 estaciones de la UAECOB (B1, B2,B3,B4, B5, B6,B7,B8, B9, B10, B11, B12, B13, B14, B15, B16 y B17),  en el marco de los programas de la estrategia de sensibilización y educación en Prevención de incendios y emergencias conexas -Club Bomberitos, de conformidad con lo acordado con la S.G.R."/>
    <s v="Comandantes de la cinco compañías y jefes de estaciones."/>
    <n v="0"/>
    <n v="1"/>
    <n v="0"/>
    <n v="2"/>
    <n v="1"/>
    <n v="0.2"/>
    <n v="1"/>
    <s v="La ejecución del curso Bomberitos &quot;Nicolás Quevedo Rizo&quot; en las 17 estaciones fue entre el 18 y el 29 de junio  de 2019 como fechas de inicio y finalización, dentro de las actividades se tuvo contemplado: salidas pedagogicas, entrega de uniformes, refrigerios, material didáctico, transporte y clausura."/>
    <s v="Acta de reunión_x000a_Cronograma_x000a_Listados de asistencia_x000a_Bomberos Hoy"/>
    <m/>
    <n v="1"/>
    <x v="0"/>
    <x v="0"/>
    <n v="0.2"/>
  </r>
  <r>
    <x v="1"/>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n v="2"/>
    <x v="44"/>
    <n v="0.2"/>
    <n v="100"/>
    <s v="Porciento"/>
    <s v="Revisión, ajuste y/o actualización del  árbol de servicios y socialización a personal de las diecisiete  (17) estaciones de la Subdirección Operativa._x000a_(el 100% de la meta equivale una actualización del árbol de servicios realizado durante durante la vigencia)"/>
    <s v="Líder de la Central de Coordinación y Comunicaciones"/>
    <n v="0.25"/>
    <n v="0.75"/>
    <n v="0.85"/>
    <n v="1"/>
    <n v="0.75"/>
    <n v="0.2"/>
    <n v="0"/>
    <s v="Se encuentra en proceso e avance"/>
    <s v="NA"/>
    <s v="Completar las actividades del producto antes de terminar el tercer trimestre del año."/>
    <n v="0"/>
    <x v="2"/>
    <x v="2"/>
    <n v="0"/>
  </r>
  <r>
    <x v="1"/>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n v="3"/>
    <x v="45"/>
    <n v="0.2"/>
    <n v="4"/>
    <s v="Publicaciones "/>
    <s v="Publicación trimestral de la información estadística de emergencias atendidas por la  UAECOB, en la página web de la entidad. (trimestre vencido)."/>
    <s v="Profesional de Subdirección Operativa a cargo de la información estadística"/>
    <n v="1"/>
    <n v="2"/>
    <n v="3"/>
    <n v="4"/>
    <n v="2"/>
    <n v="0.2"/>
    <n v="2"/>
    <s v="Se preparo la informaciòn estadistica del primer trimestre con la información enviada por el Centro de Comando y Comunicaciones (C.C.C.) de la Subdirección Operativa."/>
    <s v="Archivos de Excel de los meses abril a junio de 2019"/>
    <s v="Completar la información del trimestre"/>
    <n v="1"/>
    <x v="0"/>
    <x v="0"/>
    <n v="0.2"/>
  </r>
  <r>
    <x v="1"/>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n v="4"/>
    <x v="46"/>
    <n v="0.2"/>
    <n v="1"/>
    <s v="Unidad"/>
    <s v="Realización un simulacro de comunicaciones en emergencias para validar la capacidad de respuesta ante un fallo en la infraestructura de comunicaciones troncalizadas."/>
    <s v="Líder de la Central de Coordinación y Comunicaciones"/>
    <n v="0"/>
    <n v="1"/>
    <n v="0"/>
    <n v="0"/>
    <n v="1"/>
    <n v="0.2"/>
    <n v="0"/>
    <s v="El equipo de la Central de Comunicaciones de la Subdirección Operativa, realizó reuniones en el cual se evidencia que la fecha de ejecución del Simulacro será el 13 de julio de 2019, en las instalaciones de la Cámara de Comercio, Sede del Salitre."/>
    <s v="Actas de reunión abril y mayo de 2019 y Instructivo y Guión del Simulacro."/>
    <s v="Ejecutar la actividad para dar cumplimiento al P.A. de la vigencia."/>
    <n v="0"/>
    <x v="2"/>
    <x v="2"/>
    <n v="0"/>
  </r>
  <r>
    <x v="1"/>
    <s v="103. Adelantar el 100% de acciones parala prevención y mitigación del riesgo de incidentes forestales (connatos, quemas e incendios)"/>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 v="Gestión Integral de Incendios"/>
    <x v="5"/>
    <n v="5"/>
    <x v="47"/>
    <n v="0.2"/>
    <n v="100"/>
    <s v="Porciento"/>
    <s v="Revisión del 10%  de hidrantes de Bogotá según las jurisdicciones de cada una de las 17 estaciones._x000a__x000a_(el 10% de la meta equivale al 100% de la gestión durante la vigencia)"/>
    <s v="Comandantes de la cinco compañías y jefes de estaciones."/>
    <n v="0"/>
    <n v="0.65"/>
    <n v="0.75"/>
    <n v="1"/>
    <n v="0.65"/>
    <n v="0.2"/>
    <n v="0.54"/>
    <s v="Según la jurisdicción de las estaciones se ha realizado la revisión fisica y funcional de los hidrantes por parte del personal operativo y el seguimiento respectivo por parte del profesional asignado, conforme se puede evidenciar en el archivo de Google Drive HIDRANTES_COMPAÑIA_I; HIDRANTES_COMPAÑIA_II; HIDRANTES_COMPAÑIA_III; HIDRANTES_COMPAÑIA_IV; e HIDRANTES_COMPAÑIA_V."/>
    <s v="Archivo de Google Drive y actas de reunión"/>
    <m/>
    <n v="0.83076923076923082"/>
    <x v="1"/>
    <x v="0"/>
    <n v="0.16615384615384618"/>
  </r>
  <r>
    <x v="1"/>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Integral de Vehículos y Equipos"/>
    <x v="6"/>
    <n v="1"/>
    <x v="48"/>
    <n v="0.5"/>
    <n v="100"/>
    <s v="Porcentaje"/>
    <s v="Formalizar y Actualizar el Plan  para el fortalecimiento de  la Gestion Integral de los servicios Logisticos _x000a__x000a_"/>
    <s v="Subdireccion Logistica"/>
    <n v="50"/>
    <n v="100"/>
    <m/>
    <m/>
    <n v="100"/>
    <n v="0.5"/>
    <n v="100"/>
    <s v="La profesional Adriana Salom quien esta a cargo del Plan para el fortalecimiento de  la Gestion Integral de los servicios Logisticos, socializo, presento  y formailzo el Plan por medio de reunion con el Director Pedro Manosalva, avanzando en  el 10% de la actividad que daba pendiente._x000a__x000a_Adriana Salom actualiza el Plan  para el fortalecimiento de  la Gestion Integral de los servicios Logisticos "/>
    <s v="_x000a_Acta de reunion de la Socializaciòn del Plan  para el fortalecimiento de  la Gestion Integral de los servicios Logisticos con el Director Pedro Andres Manosalva_x000a__x000a_Archivo actualizado del Plan para el Fortalecimiento de la Gestión Integral de los Servicios Logísticos ubicado en PC de la Profesional Adriana Salom en la ruta:_x000a__x000a_Evidencias ubicadas en el PC de la profesional  Adriana Salon en la ruta ubicada en:_x000a__x000a_C:\ASV\LOGISTICA\PlanEstrategicOperativo\PlanVer_x000a_C:\Users\Ldiaz\Documents\INSTITUCIONAL\PLAN DE ACCION\PLAN DE ACCION 2019\AVANCES PLAN DE ACCION 2019\1. PLAN\2do TRIMESTRE"/>
    <m/>
    <n v="1"/>
    <x v="0"/>
    <x v="0"/>
    <n v="0.5"/>
  </r>
  <r>
    <x v="1"/>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Integral de Vehículos y Equipos"/>
    <x v="6"/>
    <n v="2"/>
    <x v="49"/>
    <n v="0.25"/>
    <n v="100"/>
    <s v="Porcentaje"/>
    <s v="Documentar  Plan de Mantenimiento Preventivo y Correctivo de Parque Automotor _x000a_"/>
    <s v="Subdireccion Logistica"/>
    <n v="10"/>
    <n v="30"/>
    <n v="60"/>
    <n v="100"/>
    <n v="30"/>
    <n v="0.25"/>
    <n v="24"/>
    <s v="Se revisan las fichas tecnicas de las maquinas Mercedes, International y Ferrara; con el fin de identificar  que parametros sugiere el fabricante para   el proceso  del plan de mantenimiento preventivo para cada vehiculo._x000a__x000a_se inicia a revisar las hojas de vida del parque automotor con el check list establecido, para evidenciar los pendientes de cada una de las hojas de vida para lograr al 100% de los parametros dados por  Gestion Documental_x000a__x000a_Se inicia la elaboracion  del Plan de  mantenimiento preventivo para el parque Automotor  de la UAECOB donde se toman en cuenta los parametros por kilometrajes para el cambio de aceite motor,  estado de frenos, alineacion y balanceo de los vehiculos, estado de  luces, sistema electrico. se continuara   el plan de mantenimiento con las fichas tecnicas de los vehiculos para los sistemas de Bomba de extincion, sistema de suspension, compartimientos, chapas, y demas componentes de las maquinas extintoras de la UAECOB. "/>
    <s v="En cada carpeta de las hojas de vida, estan su respectiva ficha tecnica ubicada en el archivo del parque automotor_x000a__x000a_Check list de las hojas de vida con los parametros establecidos por gestion documental._x000a__x000a_Base   para generar un plan de mantenimiento preventivo del parque automotor,_x000a_ubicada en la PC de auxiliar David Landinez Vivas  C:\Documents and Settings\Dlandinez\Mis documentos\Base del mantenimiento Preventivo del P.A"/>
    <m/>
    <n v="0.8"/>
    <x v="5"/>
    <x v="0"/>
    <n v="0.2"/>
  </r>
  <r>
    <x v="1"/>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Integral de Vehículos y Equipos"/>
    <x v="6"/>
    <n v="3"/>
    <x v="50"/>
    <n v="0.25"/>
    <n v="100"/>
    <s v="Porcentaje"/>
    <s v="_x000a__x000a_Documentar Plan de Mantenimiento Preventivo y Correctivo de Equipo Menor _x000a__x000a_"/>
    <s v="Subdireccion Logistica"/>
    <n v="10"/>
    <n v="30"/>
    <n v="60"/>
    <n v="100"/>
    <n v="30"/>
    <n v="0.25"/>
    <n v="12"/>
    <s v="Se efectuaron mesas de trabajo con los integrantes de equipo menor de la Subdirección logística para mostrar las fichas teécnicas del equipo menor y analizar su información con las siguientes conlusiones:_x000a__x000a_1 - Se encontró que la mejor manera de efectuar la verificación de las fichas para la construcción del plan es por marcas, es decir, no hacer el analisis por tipo de equipo, ya que puede generar traumatismos en la construcción del plan _x000a_2- Se debe involucrar al personal uniformado y administrativo en la verificación del plan de calibración de la Entidad.  Este trabajo ya se efectúo por parte del personal administrativo, ya que se buscó analizar el plan ya existente, mirando los equipos que allí señalados para calibración _x000a_3- Se efectuo el levantamiento de la información de inventario de las hojas de vida que se encuentran fisicamente en el archivos de equipo menor, además se incluyó la información de las hojas que se encuentran digitales._x000a__x000a_1. Se efectuaron mesas de trabajo para efectuar el análisis de las fichas técnicas de equipo menor, se efectuo aleatoreamente la revisión de tres fichas técnicas, arrojando como resultado la unificación por marcas._x000a_2.  Se realizó mesa de trabajo con el personal de equipo menor para analizar el plan de calibración._x000a_3. Se encuentra pendiente la revisión de fichas tecnicas de motosierrras._x000a__x000a_Se realizó la verificación de inventario de las hojas de vida que se encuentran en B-3, analizando incialmente las que se encuentran fisicas en esta estación que son alrededor de 250 y las que se encuentran pendientes por archivar y que se encuentran de manera digital que son alrededor de 1000 hojas de vida._x000a__x000a_Se encuentra pendiente capacitación por parte de gestión documental pàra el personal de apoyo en Equipo Menor B-3"/>
    <s v="Fichas tecnicas de equipo menor, actas de reunión de verificación de fichas técnicas y fotografias de archivo de B-3 con carpetas ubicada en el PC del Profesional Juan Pablo Cardenas _x000a__x000a_Archivo con Hojas  Hojas de vida de Equipo menor por estaciones ubicada en PC_x000a_del Profesional Juan Pablo Cardenas_x000a__x000a_Evidencias ubicadas en la ruta:_x000a_C:\Users/Jcardenas/Escritorio/Hojas de vida equipo menor_x000a__x000a_C:\Users\Ldiaz\Documents\INSTITUCIONAL\PLAN DE ACCION\PLAN DE ACCION 2019\AVANCES PLAN DE ACCION 2019\3. PLAN MTO EM"/>
    <m/>
    <n v="0.4"/>
    <x v="2"/>
    <x v="0"/>
    <n v="0.1"/>
  </r>
  <r>
    <x v="0"/>
    <s v="71. Incrementar a un 90% la sostenibilidad del SIG en el Gobierno Distrital"/>
    <s v="4. Fortalecer la capacidad de gestión y desarrollo institucional e interinstitucional, para consolidar la modernización de la UAECOB y llevarla a la excelencia"/>
    <s v="Gestión Administrativa"/>
    <x v="7"/>
    <n v="1"/>
    <x v="51"/>
    <n v="6.25E-2"/>
    <n v="100"/>
    <s v="Porcentaje"/>
    <s v="El Diagnostico Integral de Archivo es el instrumento que permite identificar la problemática, fortalezas y necesidades de la gestión documental de la Entidad."/>
    <s v="Coordinador Sistema de Gestión Documental- Francisco Rubiano"/>
    <n v="25"/>
    <n v="50"/>
    <n v="75"/>
    <n v="100"/>
    <n v="50"/>
    <n v="6.25E-2"/>
    <n v="0"/>
    <s v="No se ha ejecutado la encuesta, debido a inconvenientes de procesos que lleva el área, sin embargo, se va a aplicar de manera conjunta con el desarrollo de la transferencia documental primaria número 10 en el tercer trimestre. "/>
    <s v="NA"/>
    <s v="Buscar mecanismos para la recolección de la información."/>
    <n v="0"/>
    <x v="2"/>
    <x v="2"/>
    <n v="0"/>
  </r>
  <r>
    <x v="0"/>
    <s v="71. Incrementar a un 90% la sostenibilidad del SIG en el Gobierno Distrital"/>
    <s v="4. Fortalecer la capacidad de gestión y desarrollo institucional e interinstitucional, para consolidar la modernización de la UAECOB y llevarla a la excelencia"/>
    <s v="Gestión Administrativa"/>
    <x v="7"/>
    <n v="2"/>
    <x v="52"/>
    <n v="6.25E-2"/>
    <n v="0.2"/>
    <s v="Porcentaje"/>
    <s v="Sensibilización en el  consumo de papel responsable en las 17 Estaciones y el Edificio Comando de la UAECOB"/>
    <s v="Coordinador Sistema de Gestión ambiental - Jesús Rojas"/>
    <n v="0.05"/>
    <n v="0.1"/>
    <n v="0.15"/>
    <n v="0.2"/>
    <n v="0.1"/>
    <n v="6.25E-2"/>
    <n v="0.1"/>
    <s v="Se realizarón jornadas de sensibilización  y capacitación en cada una de las  17 Estaciones y el Edificio Comando de la UAECOB en el mes de Mayo de 2019 de los temas de ahorro de papel en cumplimiento de la politica cero papel._x000a_"/>
    <s v="Actas de reunión y capacitación de cada una de las Estaciones y Edificio Comando."/>
    <m/>
    <n v="1"/>
    <x v="0"/>
    <x v="0"/>
    <n v="6.25E-2"/>
  </r>
  <r>
    <x v="0"/>
    <s v="71. Incrementar a un 90% la sostenibilidad del SIG en el Gobierno Distrital"/>
    <s v="4. Fortalecer la capacidad de gestión y desarrollo institucional e interinstitucional, para consolidar la modernización de la UAECOB y llevarla a la excelencia"/>
    <s v="Gestión Administrativa"/>
    <x v="7"/>
    <n v="3"/>
    <x v="53"/>
    <n v="6.25E-2"/>
    <n v="0.51"/>
    <s v="Visitas"/>
    <s v="Se realizará una visita trimestral a cada estación, para hacer seguimiento a la implementación del PIGA"/>
    <s v="Coordinador Sistema de Gestión ambiental - Jesús Rojas"/>
    <n v="0"/>
    <n v="17"/>
    <n v="17"/>
    <n v="17"/>
    <n v="17"/>
    <n v="6.25E-2"/>
    <n v="17"/>
    <s v="Se realizaron jornadas de sensibilización  y capacitación del PIGA en cada una de las  17 Estaciones y el Edificio Comando de la UAECOB en el mes de Mayo de 2019._x000a_"/>
    <s v="Actas de reunión y capacitación de cada una de las Estaciones y Edificio Comando."/>
    <m/>
    <n v="1"/>
    <x v="0"/>
    <x v="0"/>
    <n v="6.25E-2"/>
  </r>
  <r>
    <x v="0"/>
    <s v="71. Incrementar a un 90% la sostenibilidad del SIG en el Gobierno Distrital"/>
    <s v="4. Fortalecer la capacidad de gestión y desarrollo institucional e interinstitucional, para consolidar la modernización de la UAECOB y llevarla a la excelencia"/>
    <s v="Gestión Administrativa"/>
    <x v="7"/>
    <n v="4"/>
    <x v="54"/>
    <n v="6.25E-2"/>
    <n v="4"/>
    <s v="socializaciones"/>
    <s v="Fortalecer la figura del Defensor del Ciudadano al interior de la entidad, divulgando  las funciones y responsabilidades ente los usurios que solicitan trámites o servicios en realizando 4 charlas durante el año"/>
    <s v="Servicio a la Ciudadanía - Cesar Augusto Zea Arévalo"/>
    <n v="1"/>
    <n v="2"/>
    <n v="3"/>
    <n v="4"/>
    <n v="2"/>
    <n v="6.25E-2"/>
    <n v="2"/>
    <s v="Se realizó la publicación sobre las funciones del defensor del ciudadano en el trimestre para socializar a toda la entidad a través del correo de la UAECOB."/>
    <s v="Presentación Institucional_x000a_Actas de reunión_x000a_correo institucional UAECOB"/>
    <m/>
    <n v="1"/>
    <x v="0"/>
    <x v="0"/>
    <n v="6.25E-2"/>
  </r>
  <r>
    <x v="0"/>
    <s v="71. Incrementar a un 90% la sostenibilidad del SIG en el Gobierno Distrital"/>
    <s v="4. Fortalecer la capacidad de gestión y desarrollo institucional e interinstitucional, para consolidar la modernización de la UAECOB y llevarla a la excelencia"/>
    <s v="Gestión Administrativa"/>
    <x v="7"/>
    <n v="5"/>
    <x v="55"/>
    <n v="6.25E-2"/>
    <n v="2"/>
    <s v="Capacitaciones"/>
    <s v="Fortalecimiento el Chat Distrital de la Línea 195, teniendo en cuenta que la Entidad genera información a la ciudadanía a través de este medio"/>
    <s v="Servicio a la Ciudadanía - Cesar Augusto Zea Arévalo"/>
    <n v="0"/>
    <n v="1"/>
    <n v="0"/>
    <n v="2"/>
    <n v="1"/>
    <n v="6.25E-2"/>
    <n v="0.5"/>
    <s v="Se realizó socialización a la Linea 195, el día   20 de junio con un total de 92 participantes, sobre los trámites y servicios de la Entidad"/>
    <s v="Actas de asistencia _x000a_Presentación "/>
    <m/>
    <n v="0.5"/>
    <x v="2"/>
    <x v="0"/>
    <n v="3.125E-2"/>
  </r>
  <r>
    <x v="0"/>
    <s v="71. Incrementar a un 90% la sostenibilidad del SIG en el Gobierno Distrital"/>
    <s v="4. Fortalecer la capacidad de gestión y desarrollo institucional e interinstitucional, para consolidar la modernización de la UAECOB y llevarla a la excelencia"/>
    <s v="Gestión de Asuntos Jurídicos"/>
    <x v="7"/>
    <n v="6"/>
    <x v="56"/>
    <n v="6.25E-2"/>
    <n v="5"/>
    <s v="Capacitaciones"/>
    <s v="Realizar durante la vigencia 2019, cinco (05) capacitaciones dirigidas a los funcionarios de la UAECOB, las cuales se adelantaran por compañías."/>
    <s v="Coordinador Oficina de Control Disciplinario Interno - Blanca Irene Delgadillo"/>
    <n v="0"/>
    <n v="2"/>
    <n v="4"/>
    <n v="5"/>
    <n v="2"/>
    <n v="6.25E-2"/>
    <n v="2"/>
    <s v="Para el segundo trimestre se realizó una capacitación referente a las faltas Diciplinarias el día 05/04/2019 a las 9: 00 am en las instalaciones del edificio Comando. NOTA ACLARATORIA: Esta actividad tiene inicio el segundo trimestre, sin embargo en el primer trimestre se realizaron Dos (2) capacitaciones, en este sentido, a la fecha se han realizado 3 capacitaciones."/>
    <s v="Se presenta el Acta de capacitación realizada en el edificio Comando  al personal Operativo sobre faltas Disciplinarias. "/>
    <m/>
    <n v="1"/>
    <x v="0"/>
    <x v="0"/>
    <n v="6.25E-2"/>
  </r>
  <r>
    <x v="0"/>
    <s v="71. Incrementar a un 90% la sostenibilidad del SIG en el Gobierno Distrital"/>
    <s v="4. Fortalecer la capacidad de gestión y desarrollo institucional e interinstitucional, para consolidar la modernización de la UAECOB y llevarla a la excelencia"/>
    <s v="Gestión Financiera"/>
    <x v="7"/>
    <n v="7"/>
    <x v="57"/>
    <n v="6.25E-2"/>
    <n v="4"/>
    <s v="Capacitaciones"/>
    <s v="_x000a_Efectuar cuatro (4) capacitaciones en medición posterior bajo el nuevo marco normativo contable, en el año 2019."/>
    <s v="Jefe de la Oficina Financiera - Hernando Ibagué"/>
    <n v="1"/>
    <n v="2"/>
    <n v="3"/>
    <n v="4"/>
    <n v="2"/>
    <n v="6.25E-2"/>
    <n v="2"/>
    <s v="Se realizó Una (1) capacitación el día 30 de abril/2019, donde se trato el tema de Manejo de elementos propiedad planta y equipo Nuevo Marco Normativo Contable."/>
    <s v="Se presenta acta de la capacitación del día 30/04/2019 y el material de la misma."/>
    <m/>
    <n v="1"/>
    <x v="0"/>
    <x v="0"/>
    <n v="6.25E-2"/>
  </r>
  <r>
    <x v="0"/>
    <s v="71. Incrementar a un 90% la sostenibilidad del SIG en el Gobierno Distrital"/>
    <s v="4. Fortalecer la capacidad de gestión y desarrollo institucional e interinstitucional, para consolidar la modernización de la UAECOB y llevarla a la excelencia"/>
    <s v="Gestión Integrada"/>
    <x v="7"/>
    <n v="8"/>
    <x v="58"/>
    <n v="6.25E-2"/>
    <n v="100"/>
    <s v="Porcentaje"/>
    <s v="100% de los auditores formados en la Entidad, tengan entrenamiento de mínimo cuatro (4) horas de auditorias SIG"/>
    <s v="Coordinador de Sistema Integrado de Gestión - Jenny Alexandra Peña Padilla"/>
    <n v="50"/>
    <m/>
    <n v="75"/>
    <n v="100"/>
    <m/>
    <m/>
    <m/>
    <m/>
    <m/>
    <m/>
    <m/>
    <x v="4"/>
    <x v="2"/>
    <n v="0"/>
  </r>
  <r>
    <x v="0"/>
    <s v="71. Incrementar a un 90% la sostenibilidad del SIG en el Gobierno Distrital"/>
    <s v="4. Fortalecer la capacidad de gestión y desarrollo institucional e interinstitucional, para consolidar la modernización de la UAECOB y llevarla a la excelencia"/>
    <s v="Gestión Integrada"/>
    <x v="7"/>
    <n v="9"/>
    <x v="59"/>
    <n v="6.25E-2"/>
    <n v="80"/>
    <s v="Porcentaje"/>
    <s v="Conseguir una eficacia de capacitación del 80 % del personal administrativo y operativo"/>
    <s v="Coordinador de Sistema Integrado de Gestión - Jenny Alexandra Peña Padilla"/>
    <n v="10"/>
    <n v="25"/>
    <n v="75"/>
    <n v="80"/>
    <n v="25"/>
    <n v="6.25E-2"/>
    <n v="21"/>
    <s v="Producto: 1 estrategia de socialización al interior de la UAECOB: Desde la Subdirección de Gestión Corporativa se lideraron tres (3) capacitaciones SIG - MIPG al interior de la UAECOB para funcionarios y contratistas; donde participaron como expositores la Subdirección de Gestión Corporativa,  la Oficina de Control interno, la Subdirección de Gestión Humana, Oficina de  Planeación  y los Subprocesos de Gestión Ambiental, Gestión Documental, Seguridad y Salud en el Trabajo, Gestión de Calidad y Seguridad de la Información.  _x000a_como evidencia se cuenta con el registro de asistencia de los dias 23 y 31 de mayo y el día 06 de junio del presente año._x000a_Producto 1 Documento que describe la integración de los procesos de la UAECOB, las políticas del MIPG y los subsistemas de gestión: Desde la Subdirección de Gestión Corporativa se lideraron tres (3) capacitaciones SIG - MIPG al interior de la UAECOB para funcionarios y contratistas; donde participaron como expositores la Subdirección de Gestión Corporativa,  la Oficina de Control interno, la Subdirección de Gestión Humana, Oficina de  Planeación  y los Subprocesos de Gestión Ambiental, Gestión Documental, Seguridad y Salud en el Trabajo, Gestión de Calidad y Seguridad de la Información.  _x000a_como evidencia se cuenta con el registro de asistencia de los dias 23 y 31 de mayo y el día 06 de junio del presente año._x000a_Producto 1 Documento que describe la integración de los procesos de la UAECOB, las políticas del MIPG y los subsistemas de gestión: Se cuenta con una Matriz que describe la integración de los procesos, subprocesos   y responsables de la UAECOB para liderar su articulación, versus las dimensiones y políticas MIPG ._x000a__x000a_ Así mismo se llevo a cabo la capacitación con la ESAP, en los temas relacionados con la integración de MIPG, en los días 9, 21 y 28 de mayo del año en curso._x000a_"/>
    <s v="Se presenta Listas de asistencias de capacitación de los días 23 y 31 de mayo, 6 de junio de 2019."/>
    <m/>
    <n v="0.84"/>
    <x v="1"/>
    <x v="0"/>
    <n v="5.2499999999999998E-2"/>
  </r>
  <r>
    <x v="0"/>
    <s v="71. Incrementar a un 90% la sostenibilidad del SIG en el Gobierno Distrital"/>
    <s v="4. Fortalecer la capacidad de gestión y desarrollo institucional e interinstitucional, para consolidar la modernización de la UAECOB y llevarla a la excelencia"/>
    <s v="Gestión Integrada"/>
    <x v="7"/>
    <n v="10"/>
    <x v="60"/>
    <n v="6.25E-2"/>
    <n v="100"/>
    <s v="Porcentaje"/>
    <s v="Cumplir al 100% del cronograma del Proyecto"/>
    <s v="Coordinador de Sistema Integrado de Gestión - Jenny Alexandra Peña Padilla"/>
    <n v="16"/>
    <n v="34"/>
    <n v="48"/>
    <n v="100"/>
    <n v="34"/>
    <n v="6.25E-2"/>
    <n v="17"/>
    <s v="Se realizó el plan estratégico para la certificación ISO 9001-2015"/>
    <s v="Presentación del plan estratégico."/>
    <m/>
    <n v="0.5"/>
    <x v="2"/>
    <x v="0"/>
    <n v="3.125E-2"/>
  </r>
  <r>
    <x v="1"/>
    <s v="117. Construcción y puesta en marcha una (1) academia bomberil de Bogotá "/>
    <s v="4. Fortalecer la capacidad de gestión y desarrollo institucional e interinstitucional, para consolidar la modernización de la UAECOB y llevarla a la excelencia"/>
    <s v="Gestión de Infraestructura"/>
    <x v="7"/>
    <n v="11"/>
    <x v="61"/>
    <n v="6.25E-2"/>
    <n v="100"/>
    <s v="Porcentaje"/>
    <s v="Gestionar la compra del predio donde será ubicada la escuela de formación bomberil y una estación de bomberos."/>
    <s v="Coordinador de Infraestructura _x000a_Daniel Vera Ruiz"/>
    <n v="20"/>
    <n v="50"/>
    <n v="75"/>
    <n v="100"/>
    <n v="50"/>
    <n v="6.25E-2"/>
    <n v="0"/>
    <s v="El día 26 de Junio de 2019 se firma el Contrato Interadministrativo No. 363 de 2019 cuyo objeto es &quot;CONTRATO INTERADMINISTRATIVO ENTRE LA UAE CUERPO OFICIAL DE BOMBEROS DE BOGOTÁ Y UAE-CATASTRO DISTRITAL PARA REALIZAR AVALÚO COMERCIAL A UN PREDIO DENTRO DEL PROYECTO ESCUELA DE FORMACIÓN (ACADEMIA) DE BOMBEROS DE BOGOTÁ Y ESTACIÓN DE BOMBEROS."/>
    <s v="Contrato Interadministrativo No. 363 de 2019"/>
    <m/>
    <n v="0"/>
    <x v="2"/>
    <x v="2"/>
    <n v="0"/>
  </r>
  <r>
    <x v="1"/>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n v="12"/>
    <x v="62"/>
    <n v="6.25E-2"/>
    <n v="100"/>
    <s v="Porcentaje"/>
    <s v="Elaboración de los Estudios y diseños para la obtención de la Licencia de Construcción en modalidad de Ampliación y Adecuación de la Estación de Bomberos de Marichuela - B10."/>
    <s v="Coordinador de Infraestructura _x000a_Daniel Vera Ruiz"/>
    <n v="30"/>
    <n v="60"/>
    <n v="80"/>
    <n v="100"/>
    <n v="60"/>
    <n v="6.25E-2"/>
    <n v="0"/>
    <s v="El 20 de Mayo de 2019, el interventor del contrato No. 401 de 2018 cuyo objeto es &quot;Estudios, diseños y demás trámites para la obtención de la Licencia de Construcción para la ampliación y reforzamiento estructural de la Estación de Bomberos Marichuela&quot; certifica el cumplimiento del 50% de Avance de ejecución._x000a_El día 17 de Junio de 2019 mediante radicado No. 2019-400-013107-2 se solicita Anuencia ante el DADEP."/>
    <s v="* Certificación de Cumplimiento de Avance de ejecución del 50%._x000a__x000a_* Oficio de radicado No. 2019-400-013107-2 - Solicitud de Anuencia ante el DADEP."/>
    <m/>
    <n v="0"/>
    <x v="2"/>
    <x v="2"/>
    <n v="0"/>
  </r>
  <r>
    <x v="1"/>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n v="13"/>
    <x v="63"/>
    <n v="6.25E-2"/>
    <n v="100"/>
    <s v="Porcentaje"/>
    <s v="Ejecutar el Plan de Mantenimiento de la infraestructura física de las 17 estaciones de bomberos."/>
    <s v="Coordinador de Infraestructura _x000a_Daniel Vera Ruiz"/>
    <n v="25"/>
    <n v="50"/>
    <n v="75"/>
    <n v="100"/>
    <n v="50"/>
    <n v="6.25E-2"/>
    <n v="50"/>
    <s v="* Estación de Bomberos de Kennedy: Instalación de calentadores solares con capacidad de 300 litros c/u, suministro baños alojamientos bomberos, renovación  de los acabados del primer piso, incluye estucado, lijado y pintura general, 10% de ejecución de obra en el manteniemitno del área de la piscina._x000a_* Estación de Bomberos de Suba: construcción de estructura metálica y montaje de cubierta en láminade policarbonato, incluye tratamiento anticorrosivo y pintura, instalación eléctrica, montaje de reflectores._x000a_* Estación de Bomberos de Bosa: Se adelanta la ejecución del contrato No. 168 de 2018 con un avance de ejecución de obra civil del 80% e instalaciones eléctricas del 40%._x000a_* Edificio Comando: desmonte de Caniles, relleno y compactación de base y se funde placa de contratpiso en concreto y armado de caniles. Mantenimiento de los Ascensores."/>
    <s v="Se pueden verificar los trabajos ejecutados en las estaciones de Bomberos mencionadas."/>
    <m/>
    <n v="1"/>
    <x v="0"/>
    <x v="0"/>
    <n v="6.25E-2"/>
  </r>
  <r>
    <x v="1"/>
    <s v="118. Aumentar en 2 las estaciones de Bomberos en Bogotá"/>
    <s v="4. Fortalecer la capacidad de gestión y desarrollo institucional e interinstitucional, para consolidar la modernización de la UAECOB y llevarla a la excelencia"/>
    <s v="Gestión de Infraestructura"/>
    <x v="7"/>
    <n v="14"/>
    <x v="64"/>
    <n v="6.25E-2"/>
    <n v="100"/>
    <s v="Porcentaje"/>
    <s v="Gestionar ante el DADEP la entrega de un predio para la implementación de una (1) estación de bomberos"/>
    <s v="Coordinador de Infraestructura _x000a_Daniel Vera Ruiz"/>
    <n v="30"/>
    <n v="60"/>
    <n v="90"/>
    <n v="100"/>
    <n v="60"/>
    <n v="6.25E-2"/>
    <n v="10"/>
    <s v="Se solicita concepto de Uso del Suelos ante la Curaduría Urbana. De igual forma se expide una Certificación del Bien del patrimonio inmobiliario distrital donde se especifica que el uso de este predio es Zonas de Equipamiento Comunal. "/>
    <s v="* Certificación del Bien del patrimonio inmobiliario distrital"/>
    <m/>
    <n v="0.16666666666666666"/>
    <x v="2"/>
    <x v="0"/>
    <n v="1.0416666666666666E-2"/>
  </r>
  <r>
    <x v="1"/>
    <s v="119. Implementar (1) estación satélite forestal de bomberos sujeta al proyecto del sendero ambiental en los cerros orientales"/>
    <s v="4. Fortalecer la capacidad de gestión y desarrollo institucional e interinstitucional, para consolidar la modernización de la UAECOB y llevarla a la excelencia"/>
    <s v="Gestión de Infraestructura"/>
    <x v="7"/>
    <n v="15"/>
    <x v="65"/>
    <n v="6.25E-2"/>
    <n v="100"/>
    <s v="Porcentaje"/>
    <s v="Realizar la supervisión del 80% de avance de obra para la Construcción de la Estación de Bomberos de Bellavista - B9."/>
    <s v="Coordinador de Infraestructura _x000a_Daniel Vera Ruiz"/>
    <n v="20"/>
    <n v="50"/>
    <n v="80"/>
    <n v="100"/>
    <n v="50"/>
    <n v="6.25E-2"/>
    <n v="0"/>
    <s v="el día 28 de Mayo de 2019 se adjudica el Contrato de consultoría No. 331 de 2019 cuyo objeto es &quot;Interventoría Técnica, Administrativa, Financiera, contable, Jurídica y ambiental a: i - Construcción de la Estación de Bomberos de Bellavista. ii- Realizar el mantenimiento predictivo, preventivo, correctivo, adecuaciones y mejoras a las instalaciones de las dependencias de la UNIDAD ADMINISTRATIVA ESPECIAL CUERPO OFICIAL DE BOMBEROS D.C. iii - Estudios, diseños y obras de la estación de Bomberos las Ferias&quot;._x000a_El día 19 de Junio de 2019 se firma el ACTA DE INICIO."/>
    <s v="* Contrato de consultoría No. 331 de 2019._x000a_"/>
    <m/>
    <n v="0"/>
    <x v="2"/>
    <x v="2"/>
    <n v="0"/>
  </r>
  <r>
    <x v="1"/>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 Infraestructura"/>
    <x v="7"/>
    <n v="16"/>
    <x v="66"/>
    <n v="6.25E-2"/>
    <n v="100"/>
    <s v="Porcentaje"/>
    <s v="Elaborar los estudios previos, la adjudicación del proceso contractual e inicio de la elaboración de estudios y diseños del reforzamiento estructural de la estación de bomberos de Ferias."/>
    <s v="Coordinador de Infraestructura _x000a_Daniel Vera Ruiz"/>
    <n v="20"/>
    <n v="40"/>
    <n v="80"/>
    <n v="100"/>
    <n v="40"/>
    <n v="6.25E-2"/>
    <n v="40"/>
    <s v="El día 28 de Mayo de 2019 se adjudica el Contrato de consultoría No. 331 de 2019 cuyo objeto es &quot;Interventoría Técnica, Administrativa, Financiera, contable, Jurídica y ambiental a: i - Construcción de la Estación de Bomberos de Bellavista. ii- Realizar el mantenimiento predictivo, preventivo, correctivo, adecuaciones y mejoras a las instalaciones de las dependencias de la UNIDAD ADMINISTRATIVA ESPECIAL CUERPO OFICIAL DE BOMBEROS D.C. iii - Estudios, diseños y obras de la estación de Bomberos las Ferias&quot;._x000a_Se inicia proceso de contratación para la elaboración de los Estudios, diseños y obras de la Estación de Bomberos de Ferias, cuyo proceso es UAECOB-LP-007-2019."/>
    <s v="* Contrato de consultoría No. 331 de 2019._x000a_* Proceso de Licitación Pública No. UAECOB-LP-007-2019"/>
    <m/>
    <n v="1"/>
    <x v="0"/>
    <x v="0"/>
    <n v="6.25E-2"/>
  </r>
  <r>
    <x v="1"/>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n v="1"/>
    <x v="67"/>
    <n v="0.2"/>
    <n v="100"/>
    <s v="Porcentaje"/>
    <s v="Desarrollar e implementar una biblioteca virtual para la entidad"/>
    <s v="Líder de Grupo - ACE-SGH"/>
    <n v="0.25"/>
    <n v="0.5"/>
    <n v="0.7"/>
    <n v="1"/>
    <n v="0.5"/>
    <n v="0.2"/>
    <n v="0.5"/>
    <s v="* Se realizó mesa de trabajo con el area de tecnologia, con el fin de dar a conocer las necesidades que tiene la UAECOB correspondiente a la creacion de la Biblioteca Virtual para la entidad.                                 * Reunion con el sena a fin de dar inicio a la creacion del nodulo que sea aplicable a la plataforma LMS "/>
    <s v="* Actas de reunion "/>
    <m/>
    <n v="1"/>
    <x v="0"/>
    <x v="0"/>
    <n v="0.2"/>
  </r>
  <r>
    <x v="1"/>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n v="2"/>
    <x v="68"/>
    <n v="0.2"/>
    <n v="100"/>
    <s v="Porcentaje"/>
    <s v="Desarrollar un programa de capacitación para ascenso de oficiales y suboficiales adaptado a nacionalidad de la entidad "/>
    <s v="Líder de Grupo - ACE-SGH"/>
    <n v="0.25"/>
    <n v="0.5"/>
    <n v="0.75"/>
    <n v="1"/>
    <n v="0.5"/>
    <n v="0.2"/>
    <n v="0"/>
    <s v="No fue posible establecer mesas de trabajo con comandantes y subcomandantes para evaluar el alcance normativo y demás componentes del programa, dado que se encuentra incapacitado el Comandante de la compañía 1 y 3, el comandante encargado de las compañia 2, se encuentra en vacaciones. Los operativos asignados a la academia se encuentran desarrollando el proceso de formacion de los cursos 45 y 46."/>
    <s v="NA"/>
    <s v="No fue posible establecer mesas de trabajo con comandantes y subcomandantes para evaluar el alcance normativo y demás componentes del programa, dado que se encuentra incapacitado el Comandante de la compañía 1 y 3, el comandante encargado de las compañia 2, se encuentra en vacaciones. Los operativos asignados a la academia se encuentran desarrollando el proceso de formacion de los cursos 45 y 46."/>
    <n v="0"/>
    <x v="2"/>
    <x v="2"/>
    <n v="0"/>
  </r>
  <r>
    <x v="1"/>
    <s v="103. Adelantar el 100% de acciones parala prevención y mitigación del riesgo de incidentes forestales (connatos, quemas e incendios)"/>
    <s v="4. Fortalecer la capacidad de gestión y desarrollo institucional e interinstitucional, para consolidar la modernización de la UAECOB y llevarla a la excelencia"/>
    <s v="Gestión del Talento Humano"/>
    <x v="8"/>
    <n v="3"/>
    <x v="69"/>
    <n v="0.2"/>
    <n v="100"/>
    <s v="Porcentaje"/>
    <s v="Desarrollar e implementar  un programa de capacitación y entrenamiento a mínimo dos grupos especializados durante dos jornadas "/>
    <s v="Líder de Grupo - ACE-SGH"/>
    <n v="0.25"/>
    <n v="0.5"/>
    <n v="0.75"/>
    <n v="1"/>
    <n v="0.5"/>
    <n v="0.2"/>
    <n v="0.5"/>
    <s v="Se realizo una reunion con el personal logistico de la academia el dia 26 de junio con el fin de definir la logistica necesaria para realizar el  plan de reentrenamiento,  y los respectivos compromisos para la ejecucion de los mismos"/>
    <s v="* Actas de reunion "/>
    <m/>
    <n v="1"/>
    <x v="0"/>
    <x v="0"/>
    <n v="0.2"/>
  </r>
  <r>
    <x v="1"/>
    <s v="115. Crear (1) escuela de formación y capacitación de bomberos"/>
    <s v="4. Fortalecer la capacidad de gestión y desarrollo institucional e interinstitucional, para consolidar la modernización de la UAECOB y llevarla a la excelencia"/>
    <s v="Gestión del Talento Humano"/>
    <x v="8"/>
    <n v="4"/>
    <x v="70"/>
    <n v="0.2"/>
    <n v="100"/>
    <s v="Porcentaje"/>
    <s v="Implementar el Subsistema de Gestión en Seguridad y Salud en el Trabajo, cumpliendo la normatividad vigente"/>
    <s v="Líder Grupo Seguridad y Salud en el Trabajo - Ing. William Cabrejo"/>
    <n v="0.25"/>
    <n v="0.5"/>
    <n v="0.75"/>
    <n v="1"/>
    <n v="0.5"/>
    <n v="0.2"/>
    <n v="0.5"/>
    <s v="Con el fin de dar cumplimiento al Decreto 1072 de 2015 y la Resolución 312 de 2019, se aprobaron por parte de la Dirección los objetivos en SYST para la vigencia 2019; con base en ellos se proyectó documento para la actualización de la Política del SGSYST. Se envió a la representante de la Dirección para el SIG, l os documentos para el trámite de oficialización. "/>
    <s v="Objetivos del SGSYST 2019 firmados por la Dirección_x000a_Solicitud de actualización de la Política y Objetivos  del SGSYST y su formalización dentro del SIG. _x000a_En Carpeta digiltal responsable SYST."/>
    <m/>
    <n v="1"/>
    <x v="0"/>
    <x v="0"/>
    <n v="0.2"/>
  </r>
  <r>
    <x v="1"/>
    <s v="115. Crear (1) escuela de formación y capacitación de bomberos"/>
    <s v="4. Fortalecer la capacidad de gestión y desarrollo institucional e interinstitucional, para consolidar la modernización de la UAECOB y llevarla a la excelencia"/>
    <s v="Gestión del Talento Humano"/>
    <x v="8"/>
    <n v="5"/>
    <x v="71"/>
    <n v="0.2"/>
    <n v="100"/>
    <s v="Porcentaje"/>
    <s v="Formalización de la Escuela de Formación Bomberil "/>
    <s v="Líder de Grupo - ACE-SGH"/>
    <n v="0.25"/>
    <n v="0.5"/>
    <n v="0.75"/>
    <n v="1"/>
    <n v="0.5"/>
    <n v="0.2"/>
    <n v="0.4"/>
    <s v="* Se obtuvo el concepto de desarrollo favorable por parte de la alcaldia, se reclamo personalmente y reposa en el archivo de la ACADEMIA                                             * Se radico en la Direccion Local de Educacion de Fontibon  el PEI ACTUALIZADO y se subsano las observaciones en la cual se debia incluir el concepto de obra favorable"/>
    <s v="* Radicado 2019E002750 solicitu de desarrollo de obra                                                        * El 10 de junio fue entregado el desdarrollo de obra favorable por parte de la alcaldia                                                                            * Radicado en el DILE (E2019100611) radicado interno 2019E004185 14 DE JUNIO"/>
    <s v="Se realizo la gestion pertinente para la obtencion de la licencia y radicado de documentos, sin embargo de acuerdo al cronograma del DILE, la verificacion se realizara despues del 2 de Julio pues esta entidad se encuentra en periodo de vacaciones colectivo "/>
    <n v="0.8"/>
    <x v="5"/>
    <x v="0"/>
    <n v="0.1600000000000000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Dinámica1" cacheId="1"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compactData="0" multipleFieldFilters="0" rowHeaderCaption="Producto">
  <location ref="F43:I115" firstHeaderRow="0" firstDataRow="1" firstDataCol="2"/>
  <pivotFields count="27">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items count="9">
        <item x="0"/>
        <item x="1"/>
        <item x="2"/>
        <item x="3"/>
        <item x="4"/>
        <item x="5"/>
        <item x="6"/>
        <item x="7"/>
        <item x="8"/>
      </items>
    </pivotField>
    <pivotField compact="0" outline="0" subtotalTop="0" showAll="0" defaultSubtotal="0"/>
    <pivotField axis="axisRow" compact="0" outline="0" subtotalTop="0" showAll="0" defaultSubtotal="0">
      <items count="134">
        <item m="1" x="124"/>
        <item m="1" x="129"/>
        <item x="56"/>
        <item m="1" x="96"/>
        <item m="1" x="92"/>
        <item m="1" x="119"/>
        <item m="1" x="120"/>
        <item m="1" x="121"/>
        <item m="1" x="102"/>
        <item m="1" x="132"/>
        <item m="1" x="87"/>
        <item m="1" x="131"/>
        <item m="1" x="133"/>
        <item m="1" x="85"/>
        <item m="1" x="90"/>
        <item m="1" x="104"/>
        <item x="62"/>
        <item m="1" x="79"/>
        <item m="1" x="75"/>
        <item m="1" x="106"/>
        <item x="57"/>
        <item m="1" x="130"/>
        <item m="1" x="112"/>
        <item m="1" x="94"/>
        <item m="1" x="84"/>
        <item m="1" x="117"/>
        <item m="1" x="107"/>
        <item x="52"/>
        <item m="1" x="99"/>
        <item m="1" x="76"/>
        <item x="63"/>
        <item m="1" x="100"/>
        <item m="1" x="95"/>
        <item m="1" x="122"/>
        <item m="1" x="111"/>
        <item m="1" x="109"/>
        <item x="66"/>
        <item m="1" x="116"/>
        <item m="1" x="78"/>
        <item m="1" x="81"/>
        <item m="1" x="103"/>
        <item m="1" x="83"/>
        <item m="1" x="125"/>
        <item x="64"/>
        <item x="61"/>
        <item m="1" x="97"/>
        <item x="29"/>
        <item x="65"/>
        <item m="1" x="128"/>
        <item m="1" x="98"/>
        <item m="1" x="73"/>
        <item m="1" x="93"/>
        <item m="1" x="86"/>
        <item m="1" x="72"/>
        <item m="1" x="108"/>
        <item m="1" x="115"/>
        <item m="1" x="80"/>
        <item m="1" x="82"/>
        <item m="1" x="89"/>
        <item m="1" x="91"/>
        <item m="1" x="113"/>
        <item m="1" x="105"/>
        <item x="0"/>
        <item m="1" x="88"/>
        <item m="1" x="101"/>
        <item m="1" x="123"/>
        <item m="1" x="74"/>
        <item m="1" x="114"/>
        <item x="31"/>
        <item m="1" x="118"/>
        <item m="1" x="126"/>
        <item m="1" x="110"/>
        <item m="1" x="127"/>
        <item x="55"/>
        <item m="1" x="77"/>
        <item x="1"/>
        <item x="2"/>
        <item x="3"/>
        <item x="4"/>
        <item x="5"/>
        <item x="6"/>
        <item x="7"/>
        <item x="8"/>
        <item x="9"/>
        <item x="10"/>
        <item x="11"/>
        <item x="12"/>
        <item x="13"/>
        <item x="14"/>
        <item x="15"/>
        <item x="16"/>
        <item x="17"/>
        <item x="18"/>
        <item x="19"/>
        <item x="20"/>
        <item x="21"/>
        <item x="22"/>
        <item x="23"/>
        <item x="24"/>
        <item x="25"/>
        <item x="26"/>
        <item x="27"/>
        <item x="28"/>
        <item x="30"/>
        <item x="32"/>
        <item x="33"/>
        <item x="34"/>
        <item x="35"/>
        <item x="36"/>
        <item x="37"/>
        <item x="38"/>
        <item x="39"/>
        <item x="40"/>
        <item x="41"/>
        <item x="42"/>
        <item x="43"/>
        <item x="44"/>
        <item x="45"/>
        <item x="46"/>
        <item x="47"/>
        <item x="48"/>
        <item x="49"/>
        <item x="50"/>
        <item x="51"/>
        <item x="53"/>
        <item x="54"/>
        <item x="58"/>
        <item x="59"/>
        <item x="60"/>
        <item x="67"/>
        <item x="68"/>
        <item x="69"/>
        <item x="70"/>
        <item x="71"/>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dataField="1" compact="0" outline="0" showAll="0" defaultSubtotal="0"/>
    <pivotField compact="0" numFmtId="9" outline="0" showAll="0" defaultSubtotal="0"/>
    <pivotField dataField="1" compact="0" outline="0" showAll="0" defaultSubtotal="0"/>
    <pivotField compact="0" outline="0" subtotalTop="0" showAll="0" defaultSubtotal="0"/>
    <pivotField compact="0" outline="0" subtotalTop="0" showAll="0" defaultSubtotal="0"/>
    <pivotField compact="0" outline="0" subtotalTop="0" showAll="0" defaultSubtotal="0"/>
    <pivotField compact="0" outline="0" showAll="0" defaultSubtotal="0"/>
    <pivotField axis="axisRow" compact="0" outline="0" subtotalTop="0" showAll="0" defaultSubtotal="0">
      <items count="8">
        <item x="1"/>
        <item x="0"/>
        <item x="2"/>
        <item x="5"/>
        <item m="1" x="6"/>
        <item x="4"/>
        <item m="1" x="7"/>
        <item x="3"/>
      </items>
    </pivotField>
    <pivotField compact="0" outline="0" subtotalTop="0" showAll="0" defaultSubtotal="0">
      <items count="5">
        <item x="1"/>
        <item x="0"/>
        <item m="1" x="4"/>
        <item x="2"/>
        <item m="1" x="3"/>
      </items>
    </pivotField>
    <pivotField compact="0" numFmtId="9" outline="0" subtotalTop="0" showAll="0" defaultSubtotal="0"/>
    <pivotField compact="0" outline="0" subtotalTop="0" dragToRow="0" dragToCol="0" dragToPage="0" showAll="0" defaultSubtotal="0"/>
  </pivotFields>
  <rowFields count="2">
    <field x="6"/>
    <field x="23"/>
  </rowFields>
  <rowItems count="72">
    <i>
      <x v="2"/>
      <x v="1"/>
    </i>
    <i>
      <x v="16"/>
      <x v="2"/>
    </i>
    <i>
      <x v="20"/>
      <x v="1"/>
    </i>
    <i>
      <x v="27"/>
      <x v="1"/>
    </i>
    <i>
      <x v="30"/>
      <x v="1"/>
    </i>
    <i>
      <x v="36"/>
      <x v="1"/>
    </i>
    <i>
      <x v="43"/>
      <x v="2"/>
    </i>
    <i>
      <x v="44"/>
      <x v="2"/>
    </i>
    <i>
      <x v="46"/>
      <x v="1"/>
    </i>
    <i>
      <x v="47"/>
      <x v="2"/>
    </i>
    <i>
      <x v="62"/>
      <x v="1"/>
    </i>
    <i>
      <x v="68"/>
      <x v="1"/>
    </i>
    <i>
      <x v="73"/>
      <x v="2"/>
    </i>
    <i>
      <x v="75"/>
      <x v="1"/>
    </i>
    <i>
      <x v="76"/>
      <x v="1"/>
    </i>
    <i>
      <x v="77"/>
      <x v="1"/>
    </i>
    <i>
      <x v="78"/>
      <x v="1"/>
    </i>
    <i>
      <x v="79"/>
      <x v="1"/>
    </i>
    <i>
      <x v="80"/>
      <x/>
    </i>
    <i>
      <x v="81"/>
      <x v="1"/>
    </i>
    <i>
      <x v="82"/>
      <x v="1"/>
    </i>
    <i>
      <x v="83"/>
      <x v="2"/>
    </i>
    <i>
      <x v="84"/>
      <x v="1"/>
    </i>
    <i>
      <x v="85"/>
      <x v="1"/>
    </i>
    <i>
      <x v="86"/>
      <x v="1"/>
    </i>
    <i>
      <x v="87"/>
      <x v="1"/>
    </i>
    <i>
      <x v="88"/>
      <x v="7"/>
    </i>
    <i>
      <x v="89"/>
      <x v="7"/>
    </i>
    <i>
      <x v="90"/>
      <x v="1"/>
    </i>
    <i>
      <x v="91"/>
      <x v="1"/>
    </i>
    <i>
      <x v="92"/>
      <x v="1"/>
    </i>
    <i>
      <x v="93"/>
      <x v="1"/>
    </i>
    <i>
      <x v="94"/>
      <x v="1"/>
    </i>
    <i>
      <x v="95"/>
      <x v="1"/>
    </i>
    <i>
      <x v="96"/>
      <x v="1"/>
    </i>
    <i>
      <x v="97"/>
      <x v="1"/>
    </i>
    <i>
      <x v="98"/>
      <x v="1"/>
    </i>
    <i>
      <x v="99"/>
      <x v="1"/>
    </i>
    <i>
      <x v="100"/>
      <x v="2"/>
    </i>
    <i>
      <x v="101"/>
      <x v="1"/>
    </i>
    <i>
      <x v="102"/>
      <x v="1"/>
    </i>
    <i>
      <x v="103"/>
      <x v="2"/>
    </i>
    <i>
      <x v="104"/>
      <x v="1"/>
    </i>
    <i>
      <x v="105"/>
      <x/>
    </i>
    <i>
      <x v="106"/>
      <x v="1"/>
    </i>
    <i>
      <x v="107"/>
      <x v="1"/>
    </i>
    <i>
      <x v="108"/>
      <x v="5"/>
    </i>
    <i>
      <x v="109"/>
      <x v="1"/>
    </i>
    <i>
      <x v="110"/>
      <x v="1"/>
    </i>
    <i>
      <x v="111"/>
      <x v="3"/>
    </i>
    <i>
      <x v="112"/>
      <x v="1"/>
    </i>
    <i>
      <x v="113"/>
      <x v="3"/>
    </i>
    <i>
      <x v="114"/>
      <x v="1"/>
    </i>
    <i>
      <x v="115"/>
      <x v="1"/>
    </i>
    <i>
      <x v="116"/>
      <x v="2"/>
    </i>
    <i>
      <x v="117"/>
      <x v="1"/>
    </i>
    <i>
      <x v="118"/>
      <x v="2"/>
    </i>
    <i>
      <x v="119"/>
      <x/>
    </i>
    <i>
      <x v="120"/>
      <x v="1"/>
    </i>
    <i>
      <x v="121"/>
      <x v="3"/>
    </i>
    <i>
      <x v="122"/>
      <x v="2"/>
    </i>
    <i>
      <x v="123"/>
      <x v="2"/>
    </i>
    <i>
      <x v="124"/>
      <x v="1"/>
    </i>
    <i>
      <x v="125"/>
      <x v="1"/>
    </i>
    <i>
      <x v="126"/>
      <x v="5"/>
    </i>
    <i>
      <x v="127"/>
      <x/>
    </i>
    <i>
      <x v="128"/>
      <x v="2"/>
    </i>
    <i>
      <x v="129"/>
      <x v="1"/>
    </i>
    <i>
      <x v="130"/>
      <x v="2"/>
    </i>
    <i>
      <x v="131"/>
      <x v="1"/>
    </i>
    <i>
      <x v="132"/>
      <x v="1"/>
    </i>
    <i>
      <x v="133"/>
      <x v="3"/>
    </i>
  </rowItems>
  <colFields count="1">
    <field x="-2"/>
  </colFields>
  <colItems count="2">
    <i>
      <x/>
    </i>
    <i i="1">
      <x v="1"/>
    </i>
  </colItems>
  <dataFields count="2">
    <dataField name="META 2° TRIM" fld="16" baseField="0" baseItem="0" numFmtId="9"/>
    <dataField name="AVANCE 2° TRI" fld="18" baseField="0" baseItem="0" numFmtId="9"/>
  </dataFields>
  <formats count="678">
    <format dxfId="1449">
      <pivotArea field="4" type="button" dataOnly="0" labelOnly="1" outline="0"/>
    </format>
    <format dxfId="1448">
      <pivotArea type="all" dataOnly="0" outline="0" fieldPosition="0"/>
    </format>
    <format dxfId="1447">
      <pivotArea outline="0" collapsedLevelsAreSubtotals="1" fieldPosition="0"/>
    </format>
    <format dxfId="1446">
      <pivotArea field="4" type="button" dataOnly="0" labelOnly="1" outline="0"/>
    </format>
    <format dxfId="1445">
      <pivotArea dataOnly="0" labelOnly="1" grandRow="1" outline="0" fieldPosition="0"/>
    </format>
    <format dxfId="1444">
      <pivotArea type="all" dataOnly="0" outline="0" fieldPosition="0"/>
    </format>
    <format dxfId="1443">
      <pivotArea outline="0" collapsedLevelsAreSubtotals="1" fieldPosition="0"/>
    </format>
    <format dxfId="1442">
      <pivotArea field="4" type="button" dataOnly="0" labelOnly="1" outline="0"/>
    </format>
    <format dxfId="1441">
      <pivotArea type="all" dataOnly="0" outline="0" fieldPosition="0"/>
    </format>
    <format dxfId="1440">
      <pivotArea outline="0" collapsedLevelsAreSubtotals="1" fieldPosition="0"/>
    </format>
    <format dxfId="1439">
      <pivotArea field="4" type="button" dataOnly="0" labelOnly="1" outline="0"/>
    </format>
    <format dxfId="1438">
      <pivotArea field="6" type="button" dataOnly="0" labelOnly="1" outline="0" axis="axisRow" fieldPosition="0"/>
    </format>
    <format dxfId="1437">
      <pivotArea type="all" dataOnly="0" outline="0" fieldPosition="0"/>
    </format>
    <format dxfId="1436">
      <pivotArea field="6" type="button" dataOnly="0" labelOnly="1" outline="0" axis="axisRow" fieldPosition="0"/>
    </format>
    <format dxfId="1435">
      <pivotArea dataOnly="0" labelOnly="1" fieldPosition="0">
        <references count="1">
          <reference field="6"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434">
      <pivotArea dataOnly="0" labelOnly="1" fieldPosition="0">
        <references count="1">
          <reference field="6" count="24">
            <x v="50"/>
            <x v="51"/>
            <x v="52"/>
            <x v="53"/>
            <x v="54"/>
            <x v="55"/>
            <x v="56"/>
            <x v="57"/>
            <x v="58"/>
            <x v="59"/>
            <x v="60"/>
            <x v="61"/>
            <x v="62"/>
            <x v="63"/>
            <x v="64"/>
            <x v="65"/>
            <x v="66"/>
            <x v="67"/>
            <x v="68"/>
            <x v="69"/>
            <x v="70"/>
            <x v="71"/>
            <x v="72"/>
            <x v="73"/>
          </reference>
        </references>
      </pivotArea>
    </format>
    <format dxfId="1433">
      <pivotArea type="all" dataOnly="0" outline="0" fieldPosition="0"/>
    </format>
    <format dxfId="1432">
      <pivotArea field="6" type="button" dataOnly="0" labelOnly="1" outline="0" axis="axisRow" fieldPosition="0"/>
    </format>
    <format dxfId="1431">
      <pivotArea dataOnly="0" labelOnly="1" fieldPosition="0">
        <references count="1">
          <reference field="6"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430">
      <pivotArea dataOnly="0" labelOnly="1" fieldPosition="0">
        <references count="1">
          <reference field="6" count="24">
            <x v="50"/>
            <x v="51"/>
            <x v="52"/>
            <x v="53"/>
            <x v="54"/>
            <x v="55"/>
            <x v="56"/>
            <x v="57"/>
            <x v="58"/>
            <x v="59"/>
            <x v="60"/>
            <x v="61"/>
            <x v="62"/>
            <x v="63"/>
            <x v="64"/>
            <x v="65"/>
            <x v="66"/>
            <x v="67"/>
            <x v="68"/>
            <x v="69"/>
            <x v="70"/>
            <x v="71"/>
            <x v="72"/>
            <x v="73"/>
          </reference>
        </references>
      </pivotArea>
    </format>
    <format dxfId="1429">
      <pivotArea type="all" dataOnly="0" outline="0" fieldPosition="0"/>
    </format>
    <format dxfId="1428">
      <pivotArea field="6" type="button" dataOnly="0" labelOnly="1" outline="0" axis="axisRow" fieldPosition="0"/>
    </format>
    <format dxfId="1427">
      <pivotArea dataOnly="0" labelOnly="1" fieldPosition="0">
        <references count="1">
          <reference field="6"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426">
      <pivotArea dataOnly="0" labelOnly="1" fieldPosition="0">
        <references count="1">
          <reference field="6" count="24">
            <x v="50"/>
            <x v="51"/>
            <x v="52"/>
            <x v="53"/>
            <x v="54"/>
            <x v="55"/>
            <x v="56"/>
            <x v="57"/>
            <x v="58"/>
            <x v="59"/>
            <x v="60"/>
            <x v="61"/>
            <x v="62"/>
            <x v="63"/>
            <x v="64"/>
            <x v="65"/>
            <x v="66"/>
            <x v="67"/>
            <x v="68"/>
            <x v="69"/>
            <x v="70"/>
            <x v="71"/>
            <x v="72"/>
            <x v="73"/>
          </reference>
        </references>
      </pivotArea>
    </format>
    <format dxfId="1425">
      <pivotArea outline="0" collapsedLevelsAreSubtotals="1" fieldPosition="0"/>
    </format>
    <format dxfId="1424">
      <pivotArea outline="0" collapsedLevelsAreSubtotals="1" fieldPosition="0"/>
    </format>
    <format dxfId="1423">
      <pivotArea field="6" type="button" dataOnly="0" labelOnly="1" outline="0" axis="axisRow" fieldPosition="0"/>
    </format>
    <format dxfId="1422">
      <pivotArea collapsedLevelsAreSubtotals="1" fieldPosition="0">
        <references count="1">
          <reference field="6" count="7">
            <x v="11"/>
            <x v="37"/>
            <x v="38"/>
            <x v="51"/>
            <x v="52"/>
            <x v="54"/>
            <x v="72"/>
          </reference>
        </references>
      </pivotArea>
    </format>
    <format dxfId="1421">
      <pivotArea collapsedLevelsAreSubtotals="1" fieldPosition="0">
        <references count="1">
          <reference field="6" count="1">
            <x v="71"/>
          </reference>
        </references>
      </pivotArea>
    </format>
    <format dxfId="1420">
      <pivotArea collapsedLevelsAreSubtotals="1" fieldPosition="0">
        <references count="1">
          <reference field="6" count="1">
            <x v="48"/>
          </reference>
        </references>
      </pivotArea>
    </format>
    <format dxfId="1419">
      <pivotArea collapsedLevelsAreSubtotals="1" fieldPosition="0">
        <references count="1">
          <reference field="6" count="1">
            <x v="26"/>
          </reference>
        </references>
      </pivotArea>
    </format>
    <format dxfId="1418">
      <pivotArea collapsedLevelsAreSubtotals="1" fieldPosition="0">
        <references count="1">
          <reference field="6" count="2">
            <x v="20"/>
            <x v="21"/>
          </reference>
        </references>
      </pivotArea>
    </format>
    <format dxfId="1417">
      <pivotArea collapsedLevelsAreSubtotals="1" fieldPosition="0">
        <references count="1">
          <reference field="6" count="1">
            <x v="73"/>
          </reference>
        </references>
      </pivotArea>
    </format>
    <format dxfId="1416">
      <pivotArea type="all" dataOnly="0" outline="0" fieldPosition="0"/>
    </format>
    <format dxfId="1415">
      <pivotArea outline="0" collapsedLevelsAreSubtotals="1" fieldPosition="0"/>
    </format>
    <format dxfId="1414">
      <pivotArea field="6" type="button" dataOnly="0" labelOnly="1" outline="0" axis="axisRow" fieldPosition="0"/>
    </format>
    <format dxfId="1413">
      <pivotArea dataOnly="0" labelOnly="1" fieldPosition="0">
        <references count="1">
          <reference field="6"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412">
      <pivotArea dataOnly="0" labelOnly="1" fieldPosition="0">
        <references count="1">
          <reference field="6" count="24">
            <x v="50"/>
            <x v="51"/>
            <x v="52"/>
            <x v="53"/>
            <x v="54"/>
            <x v="55"/>
            <x v="56"/>
            <x v="57"/>
            <x v="58"/>
            <x v="59"/>
            <x v="60"/>
            <x v="61"/>
            <x v="62"/>
            <x v="63"/>
            <x v="64"/>
            <x v="65"/>
            <x v="66"/>
            <x v="67"/>
            <x v="68"/>
            <x v="69"/>
            <x v="70"/>
            <x v="71"/>
            <x v="72"/>
            <x v="73"/>
          </reference>
        </references>
      </pivotArea>
    </format>
    <format dxfId="1411">
      <pivotArea field="6" type="button" dataOnly="0" labelOnly="1" outline="0" axis="axisRow" fieldPosition="0"/>
    </format>
    <format dxfId="1410">
      <pivotArea dataOnly="0" labelOnly="1" outline="0" fieldPosition="0">
        <references count="1">
          <reference field="6"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1409">
      <pivotArea dataOnly="0" labelOnly="1" outline="0" fieldPosition="0">
        <references count="1">
          <reference field="6" count="24">
            <x v="50"/>
            <x v="51"/>
            <x v="52"/>
            <x v="53"/>
            <x v="54"/>
            <x v="55"/>
            <x v="56"/>
            <x v="57"/>
            <x v="58"/>
            <x v="59"/>
            <x v="60"/>
            <x v="61"/>
            <x v="62"/>
            <x v="63"/>
            <x v="64"/>
            <x v="65"/>
            <x v="66"/>
            <x v="67"/>
            <x v="68"/>
            <x v="69"/>
            <x v="70"/>
            <x v="71"/>
            <x v="72"/>
            <x v="73"/>
          </reference>
        </references>
      </pivotArea>
    </format>
    <format dxfId="1408">
      <pivotArea dataOnly="0" labelOnly="1" outline="0" fieldPosition="0">
        <references count="2">
          <reference field="6" count="1" selected="0">
            <x v="0"/>
          </reference>
          <reference field="23" count="1">
            <x v="1"/>
          </reference>
        </references>
      </pivotArea>
    </format>
    <format dxfId="1407">
      <pivotArea dataOnly="0" labelOnly="1" outline="0" fieldPosition="0">
        <references count="2">
          <reference field="6" count="1" selected="0">
            <x v="1"/>
          </reference>
          <reference field="23" count="1">
            <x v="1"/>
          </reference>
        </references>
      </pivotArea>
    </format>
    <format dxfId="1406">
      <pivotArea dataOnly="0" labelOnly="1" outline="0" fieldPosition="0">
        <references count="2">
          <reference field="6" count="1" selected="0">
            <x v="2"/>
          </reference>
          <reference field="23" count="1">
            <x v="1"/>
          </reference>
        </references>
      </pivotArea>
    </format>
    <format dxfId="1405">
      <pivotArea dataOnly="0" labelOnly="1" outline="0" fieldPosition="0">
        <references count="2">
          <reference field="6" count="1" selected="0">
            <x v="3"/>
          </reference>
          <reference field="23" count="1">
            <x v="1"/>
          </reference>
        </references>
      </pivotArea>
    </format>
    <format dxfId="1404">
      <pivotArea dataOnly="0" labelOnly="1" outline="0" fieldPosition="0">
        <references count="2">
          <reference field="6" count="1" selected="0">
            <x v="4"/>
          </reference>
          <reference field="23" count="1">
            <x v="0"/>
          </reference>
        </references>
      </pivotArea>
    </format>
    <format dxfId="1403">
      <pivotArea dataOnly="0" labelOnly="1" outline="0" fieldPosition="0">
        <references count="2">
          <reference field="6" count="1" selected="0">
            <x v="5"/>
          </reference>
          <reference field="23" count="1">
            <x v="1"/>
          </reference>
        </references>
      </pivotArea>
    </format>
    <format dxfId="1402">
      <pivotArea dataOnly="0" labelOnly="1" outline="0" fieldPosition="0">
        <references count="2">
          <reference field="6" count="1" selected="0">
            <x v="6"/>
          </reference>
          <reference field="23" count="1">
            <x v="1"/>
          </reference>
        </references>
      </pivotArea>
    </format>
    <format dxfId="1401">
      <pivotArea dataOnly="0" labelOnly="1" outline="0" fieldPosition="0">
        <references count="2">
          <reference field="6" count="1" selected="0">
            <x v="7"/>
          </reference>
          <reference field="23" count="1">
            <x v="1"/>
          </reference>
        </references>
      </pivotArea>
    </format>
    <format dxfId="1400">
      <pivotArea dataOnly="0" labelOnly="1" outline="0" fieldPosition="0">
        <references count="2">
          <reference field="6" count="1" selected="0">
            <x v="8"/>
          </reference>
          <reference field="23" count="1">
            <x v="3"/>
          </reference>
        </references>
      </pivotArea>
    </format>
    <format dxfId="1399">
      <pivotArea dataOnly="0" labelOnly="1" outline="0" fieldPosition="0">
        <references count="2">
          <reference field="6" count="1" selected="0">
            <x v="9"/>
          </reference>
          <reference field="23" count="1">
            <x v="2"/>
          </reference>
        </references>
      </pivotArea>
    </format>
    <format dxfId="1398">
      <pivotArea dataOnly="0" labelOnly="1" outline="0" fieldPosition="0">
        <references count="2">
          <reference field="6" count="1" selected="0">
            <x v="10"/>
          </reference>
          <reference field="23" count="1">
            <x v="1"/>
          </reference>
        </references>
      </pivotArea>
    </format>
    <format dxfId="1397">
      <pivotArea dataOnly="0" labelOnly="1" outline="0" fieldPosition="0">
        <references count="2">
          <reference field="6" count="1" selected="0">
            <x v="11"/>
          </reference>
          <reference field="23" count="1">
            <x v="2"/>
          </reference>
        </references>
      </pivotArea>
    </format>
    <format dxfId="1396">
      <pivotArea dataOnly="0" labelOnly="1" outline="0" fieldPosition="0">
        <references count="2">
          <reference field="6" count="1" selected="0">
            <x v="12"/>
          </reference>
          <reference field="23" count="1">
            <x v="1"/>
          </reference>
        </references>
      </pivotArea>
    </format>
    <format dxfId="1395">
      <pivotArea dataOnly="0" labelOnly="1" outline="0" fieldPosition="0">
        <references count="2">
          <reference field="6" count="1" selected="0">
            <x v="13"/>
          </reference>
          <reference field="23" count="1">
            <x v="1"/>
          </reference>
        </references>
      </pivotArea>
    </format>
    <format dxfId="1394">
      <pivotArea dataOnly="0" labelOnly="1" outline="0" fieldPosition="0">
        <references count="2">
          <reference field="6" count="1" selected="0">
            <x v="14"/>
          </reference>
          <reference field="23" count="1">
            <x v="2"/>
          </reference>
        </references>
      </pivotArea>
    </format>
    <format dxfId="1393">
      <pivotArea dataOnly="0" labelOnly="1" outline="0" fieldPosition="0">
        <references count="2">
          <reference field="6" count="1" selected="0">
            <x v="15"/>
          </reference>
          <reference field="23" count="1">
            <x v="2"/>
          </reference>
        </references>
      </pivotArea>
    </format>
    <format dxfId="1392">
      <pivotArea dataOnly="0" labelOnly="1" outline="0" fieldPosition="0">
        <references count="2">
          <reference field="6" count="1" selected="0">
            <x v="16"/>
          </reference>
          <reference field="23" count="1">
            <x v="2"/>
          </reference>
        </references>
      </pivotArea>
    </format>
    <format dxfId="1391">
      <pivotArea dataOnly="0" labelOnly="1" outline="0" fieldPosition="0">
        <references count="2">
          <reference field="6" count="1" selected="0">
            <x v="17"/>
          </reference>
          <reference field="23" count="1">
            <x v="3"/>
          </reference>
        </references>
      </pivotArea>
    </format>
    <format dxfId="1390">
      <pivotArea dataOnly="0" labelOnly="1" outline="0" fieldPosition="0">
        <references count="2">
          <reference field="6" count="1" selected="0">
            <x v="18"/>
          </reference>
          <reference field="23" count="1">
            <x v="1"/>
          </reference>
        </references>
      </pivotArea>
    </format>
    <format dxfId="1389">
      <pivotArea dataOnly="0" labelOnly="1" outline="0" fieldPosition="0">
        <references count="2">
          <reference field="6" count="1" selected="0">
            <x v="19"/>
          </reference>
          <reference field="23" count="1">
            <x v="1"/>
          </reference>
        </references>
      </pivotArea>
    </format>
    <format dxfId="1388">
      <pivotArea dataOnly="0" labelOnly="1" outline="0" fieldPosition="0">
        <references count="2">
          <reference field="6" count="1" selected="0">
            <x v="20"/>
          </reference>
          <reference field="23" count="1">
            <x v="1"/>
          </reference>
        </references>
      </pivotArea>
    </format>
    <format dxfId="1387">
      <pivotArea dataOnly="0" labelOnly="1" outline="0" fieldPosition="0">
        <references count="2">
          <reference field="6" count="1" selected="0">
            <x v="21"/>
          </reference>
          <reference field="23" count="1">
            <x v="2"/>
          </reference>
        </references>
      </pivotArea>
    </format>
    <format dxfId="1386">
      <pivotArea dataOnly="0" labelOnly="1" outline="0" fieldPosition="0">
        <references count="2">
          <reference field="6" count="1" selected="0">
            <x v="22"/>
          </reference>
          <reference field="23" count="1">
            <x v="3"/>
          </reference>
        </references>
      </pivotArea>
    </format>
    <format dxfId="1385">
      <pivotArea dataOnly="0" labelOnly="1" outline="0" fieldPosition="0">
        <references count="2">
          <reference field="6" count="1" selected="0">
            <x v="23"/>
          </reference>
          <reference field="23" count="1">
            <x v="2"/>
          </reference>
        </references>
      </pivotArea>
    </format>
    <format dxfId="1384">
      <pivotArea dataOnly="0" labelOnly="1" outline="0" fieldPosition="0">
        <references count="2">
          <reference field="6" count="1" selected="0">
            <x v="24"/>
          </reference>
          <reference field="23" count="1">
            <x v="2"/>
          </reference>
        </references>
      </pivotArea>
    </format>
    <format dxfId="1383">
      <pivotArea dataOnly="0" labelOnly="1" outline="0" fieldPosition="0">
        <references count="2">
          <reference field="6" count="1" selected="0">
            <x v="25"/>
          </reference>
          <reference field="23" count="1">
            <x v="1"/>
          </reference>
        </references>
      </pivotArea>
    </format>
    <format dxfId="1382">
      <pivotArea dataOnly="0" labelOnly="1" outline="0" fieldPosition="0">
        <references count="2">
          <reference field="6" count="1" selected="0">
            <x v="26"/>
          </reference>
          <reference field="23" count="1">
            <x v="2"/>
          </reference>
        </references>
      </pivotArea>
    </format>
    <format dxfId="1381">
      <pivotArea dataOnly="0" labelOnly="1" outline="0" fieldPosition="0">
        <references count="2">
          <reference field="6" count="1" selected="0">
            <x v="27"/>
          </reference>
          <reference field="23" count="1">
            <x v="1"/>
          </reference>
        </references>
      </pivotArea>
    </format>
    <format dxfId="1380">
      <pivotArea dataOnly="0" labelOnly="1" outline="0" fieldPosition="0">
        <references count="2">
          <reference field="6" count="1" selected="0">
            <x v="28"/>
          </reference>
          <reference field="23" count="1">
            <x v="2"/>
          </reference>
        </references>
      </pivotArea>
    </format>
    <format dxfId="1379">
      <pivotArea dataOnly="0" labelOnly="1" outline="0" fieldPosition="0">
        <references count="2">
          <reference field="6" count="1" selected="0">
            <x v="29"/>
          </reference>
          <reference field="23" count="1">
            <x v="1"/>
          </reference>
        </references>
      </pivotArea>
    </format>
    <format dxfId="1378">
      <pivotArea dataOnly="0" labelOnly="1" outline="0" fieldPosition="0">
        <references count="2">
          <reference field="6" count="1" selected="0">
            <x v="30"/>
          </reference>
          <reference field="23" count="1">
            <x v="1"/>
          </reference>
        </references>
      </pivotArea>
    </format>
    <format dxfId="1377">
      <pivotArea dataOnly="0" labelOnly="1" outline="0" fieldPosition="0">
        <references count="2">
          <reference field="6" count="1" selected="0">
            <x v="31"/>
          </reference>
          <reference field="23" count="1">
            <x v="1"/>
          </reference>
        </references>
      </pivotArea>
    </format>
    <format dxfId="1376">
      <pivotArea dataOnly="0" labelOnly="1" outline="0" fieldPosition="0">
        <references count="2">
          <reference field="6" count="1" selected="0">
            <x v="32"/>
          </reference>
          <reference field="23" count="1">
            <x v="1"/>
          </reference>
        </references>
      </pivotArea>
    </format>
    <format dxfId="1375">
      <pivotArea dataOnly="0" labelOnly="1" outline="0" fieldPosition="0">
        <references count="2">
          <reference field="6" count="1" selected="0">
            <x v="33"/>
          </reference>
          <reference field="23" count="1">
            <x v="1"/>
          </reference>
        </references>
      </pivotArea>
    </format>
    <format dxfId="1374">
      <pivotArea dataOnly="0" labelOnly="1" outline="0" fieldPosition="0">
        <references count="2">
          <reference field="6" count="1" selected="0">
            <x v="34"/>
          </reference>
          <reference field="23" count="1">
            <x v="1"/>
          </reference>
        </references>
      </pivotArea>
    </format>
    <format dxfId="1373">
      <pivotArea dataOnly="0" labelOnly="1" outline="0" fieldPosition="0">
        <references count="2">
          <reference field="6" count="1" selected="0">
            <x v="35"/>
          </reference>
          <reference field="23" count="1">
            <x v="1"/>
          </reference>
        </references>
      </pivotArea>
    </format>
    <format dxfId="1372">
      <pivotArea dataOnly="0" labelOnly="1" outline="0" fieldPosition="0">
        <references count="2">
          <reference field="6" count="1" selected="0">
            <x v="36"/>
          </reference>
          <reference field="23" count="1">
            <x v="2"/>
          </reference>
        </references>
      </pivotArea>
    </format>
    <format dxfId="1371">
      <pivotArea dataOnly="0" labelOnly="1" outline="0" fieldPosition="0">
        <references count="2">
          <reference field="6" count="1" selected="0">
            <x v="37"/>
          </reference>
          <reference field="23" count="1">
            <x v="2"/>
          </reference>
        </references>
      </pivotArea>
    </format>
    <format dxfId="1370">
      <pivotArea dataOnly="0" labelOnly="1" outline="0" fieldPosition="0">
        <references count="2">
          <reference field="6" count="1" selected="0">
            <x v="38"/>
          </reference>
          <reference field="23" count="1">
            <x v="1"/>
          </reference>
        </references>
      </pivotArea>
    </format>
    <format dxfId="1369">
      <pivotArea dataOnly="0" labelOnly="1" outline="0" fieldPosition="0">
        <references count="2">
          <reference field="6" count="1" selected="0">
            <x v="39"/>
          </reference>
          <reference field="23" count="1">
            <x v="2"/>
          </reference>
        </references>
      </pivotArea>
    </format>
    <format dxfId="1368">
      <pivotArea dataOnly="0" labelOnly="1" outline="0" fieldPosition="0">
        <references count="2">
          <reference field="6" count="1" selected="0">
            <x v="40"/>
          </reference>
          <reference field="23" count="1">
            <x v="1"/>
          </reference>
        </references>
      </pivotArea>
    </format>
    <format dxfId="1367">
      <pivotArea dataOnly="0" labelOnly="1" outline="0" fieldPosition="0">
        <references count="2">
          <reference field="6" count="1" selected="0">
            <x v="41"/>
          </reference>
          <reference field="23" count="1">
            <x v="1"/>
          </reference>
        </references>
      </pivotArea>
    </format>
    <format dxfId="1366">
      <pivotArea dataOnly="0" labelOnly="1" outline="0" fieldPosition="0">
        <references count="2">
          <reference field="6" count="1" selected="0">
            <x v="42"/>
          </reference>
          <reference field="23" count="1">
            <x v="1"/>
          </reference>
        </references>
      </pivotArea>
    </format>
    <format dxfId="1365">
      <pivotArea dataOnly="0" labelOnly="1" outline="0" fieldPosition="0">
        <references count="2">
          <reference field="6" count="1" selected="0">
            <x v="43"/>
          </reference>
          <reference field="23" count="1">
            <x v="1"/>
          </reference>
        </references>
      </pivotArea>
    </format>
    <format dxfId="1364">
      <pivotArea dataOnly="0" labelOnly="1" outline="0" fieldPosition="0">
        <references count="2">
          <reference field="6" count="1" selected="0">
            <x v="44"/>
          </reference>
          <reference field="23" count="1">
            <x v="1"/>
          </reference>
        </references>
      </pivotArea>
    </format>
    <format dxfId="1363">
      <pivotArea dataOnly="0" labelOnly="1" outline="0" fieldPosition="0">
        <references count="2">
          <reference field="6" count="1" selected="0">
            <x v="45"/>
          </reference>
          <reference field="23" count="1">
            <x v="1"/>
          </reference>
        </references>
      </pivotArea>
    </format>
    <format dxfId="1362">
      <pivotArea dataOnly="0" labelOnly="1" outline="0" fieldPosition="0">
        <references count="2">
          <reference field="6" count="1" selected="0">
            <x v="46"/>
          </reference>
          <reference field="23" count="1">
            <x v="1"/>
          </reference>
        </references>
      </pivotArea>
    </format>
    <format dxfId="1361">
      <pivotArea dataOnly="0" labelOnly="1" outline="0" fieldPosition="0">
        <references count="2">
          <reference field="6" count="1" selected="0">
            <x v="47"/>
          </reference>
          <reference field="23" count="1">
            <x v="1"/>
          </reference>
        </references>
      </pivotArea>
    </format>
    <format dxfId="1360">
      <pivotArea dataOnly="0" labelOnly="1" outline="0" fieldPosition="0">
        <references count="2">
          <reference field="6" count="1" selected="0">
            <x v="48"/>
          </reference>
          <reference field="23" count="1">
            <x v="2"/>
          </reference>
        </references>
      </pivotArea>
    </format>
    <format dxfId="1359">
      <pivotArea dataOnly="0" labelOnly="1" outline="0" fieldPosition="0">
        <references count="2">
          <reference field="6" count="1" selected="0">
            <x v="49"/>
          </reference>
          <reference field="23" count="1">
            <x v="1"/>
          </reference>
        </references>
      </pivotArea>
    </format>
    <format dxfId="1358">
      <pivotArea dataOnly="0" labelOnly="1" outline="0" fieldPosition="0">
        <references count="2">
          <reference field="6" count="1" selected="0">
            <x v="50"/>
          </reference>
          <reference field="23" count="1">
            <x v="1"/>
          </reference>
        </references>
      </pivotArea>
    </format>
    <format dxfId="1357">
      <pivotArea dataOnly="0" labelOnly="1" outline="0" fieldPosition="0">
        <references count="2">
          <reference field="6" count="1" selected="0">
            <x v="51"/>
          </reference>
          <reference field="23" count="1">
            <x v="1"/>
          </reference>
        </references>
      </pivotArea>
    </format>
    <format dxfId="1356">
      <pivotArea dataOnly="0" labelOnly="1" outline="0" fieldPosition="0">
        <references count="2">
          <reference field="6" count="1" selected="0">
            <x v="52"/>
          </reference>
          <reference field="23" count="1">
            <x v="2"/>
          </reference>
        </references>
      </pivotArea>
    </format>
    <format dxfId="1355">
      <pivotArea dataOnly="0" labelOnly="1" outline="0" fieldPosition="0">
        <references count="2">
          <reference field="6" count="1" selected="0">
            <x v="53"/>
          </reference>
          <reference field="23" count="1">
            <x v="1"/>
          </reference>
        </references>
      </pivotArea>
    </format>
    <format dxfId="1354">
      <pivotArea dataOnly="0" labelOnly="1" outline="0" fieldPosition="0">
        <references count="2">
          <reference field="6" count="1" selected="0">
            <x v="54"/>
          </reference>
          <reference field="23" count="1">
            <x v="2"/>
          </reference>
        </references>
      </pivotArea>
    </format>
    <format dxfId="1353">
      <pivotArea dataOnly="0" labelOnly="1" outline="0" fieldPosition="0">
        <references count="2">
          <reference field="6" count="1" selected="0">
            <x v="55"/>
          </reference>
          <reference field="23" count="1">
            <x v="1"/>
          </reference>
        </references>
      </pivotArea>
    </format>
    <format dxfId="1352">
      <pivotArea dataOnly="0" labelOnly="1" outline="0" fieldPosition="0">
        <references count="2">
          <reference field="6" count="1" selected="0">
            <x v="56"/>
          </reference>
          <reference field="23" count="1">
            <x v="1"/>
          </reference>
        </references>
      </pivotArea>
    </format>
    <format dxfId="1351">
      <pivotArea dataOnly="0" labelOnly="1" outline="0" fieldPosition="0">
        <references count="2">
          <reference field="6" count="1" selected="0">
            <x v="57"/>
          </reference>
          <reference field="23" count="1">
            <x v="2"/>
          </reference>
        </references>
      </pivotArea>
    </format>
    <format dxfId="1350">
      <pivotArea dataOnly="0" labelOnly="1" outline="0" fieldPosition="0">
        <references count="2">
          <reference field="6" count="1" selected="0">
            <x v="58"/>
          </reference>
          <reference field="23" count="1">
            <x v="1"/>
          </reference>
        </references>
      </pivotArea>
    </format>
    <format dxfId="1349">
      <pivotArea dataOnly="0" labelOnly="1" outline="0" fieldPosition="0">
        <references count="2">
          <reference field="6" count="1" selected="0">
            <x v="59"/>
          </reference>
          <reference field="23" count="1">
            <x v="1"/>
          </reference>
        </references>
      </pivotArea>
    </format>
    <format dxfId="1348">
      <pivotArea dataOnly="0" labelOnly="1" outline="0" fieldPosition="0">
        <references count="2">
          <reference field="6" count="1" selected="0">
            <x v="60"/>
          </reference>
          <reference field="23" count="1">
            <x v="1"/>
          </reference>
        </references>
      </pivotArea>
    </format>
    <format dxfId="1347">
      <pivotArea dataOnly="0" labelOnly="1" outline="0" fieldPosition="0">
        <references count="2">
          <reference field="6" count="1" selected="0">
            <x v="61"/>
          </reference>
          <reference field="23" count="1">
            <x v="1"/>
          </reference>
        </references>
      </pivotArea>
    </format>
    <format dxfId="1346">
      <pivotArea dataOnly="0" labelOnly="1" outline="0" fieldPosition="0">
        <references count="2">
          <reference field="6" count="1" selected="0">
            <x v="62"/>
          </reference>
          <reference field="23" count="1">
            <x v="1"/>
          </reference>
        </references>
      </pivotArea>
    </format>
    <format dxfId="1345">
      <pivotArea dataOnly="0" labelOnly="1" outline="0" fieldPosition="0">
        <references count="2">
          <reference field="6" count="1" selected="0">
            <x v="63"/>
          </reference>
          <reference field="23" count="1">
            <x v="1"/>
          </reference>
        </references>
      </pivotArea>
    </format>
    <format dxfId="1344">
      <pivotArea dataOnly="0" labelOnly="1" outline="0" fieldPosition="0">
        <references count="2">
          <reference field="6" count="1" selected="0">
            <x v="64"/>
          </reference>
          <reference field="23" count="1">
            <x v="1"/>
          </reference>
        </references>
      </pivotArea>
    </format>
    <format dxfId="1343">
      <pivotArea dataOnly="0" labelOnly="1" outline="0" fieldPosition="0">
        <references count="2">
          <reference field="6" count="1" selected="0">
            <x v="65"/>
          </reference>
          <reference field="23" count="1">
            <x v="2"/>
          </reference>
        </references>
      </pivotArea>
    </format>
    <format dxfId="1342">
      <pivotArea dataOnly="0" labelOnly="1" outline="0" fieldPosition="0">
        <references count="2">
          <reference field="6" count="1" selected="0">
            <x v="66"/>
          </reference>
          <reference field="23" count="1">
            <x v="1"/>
          </reference>
        </references>
      </pivotArea>
    </format>
    <format dxfId="1341">
      <pivotArea dataOnly="0" labelOnly="1" outline="0" fieldPosition="0">
        <references count="2">
          <reference field="6" count="1" selected="0">
            <x v="67"/>
          </reference>
          <reference field="23" count="1">
            <x v="2"/>
          </reference>
        </references>
      </pivotArea>
    </format>
    <format dxfId="1340">
      <pivotArea dataOnly="0" labelOnly="1" outline="0" fieldPosition="0">
        <references count="2">
          <reference field="6" count="1" selected="0">
            <x v="68"/>
          </reference>
          <reference field="23" count="1">
            <x v="2"/>
          </reference>
        </references>
      </pivotArea>
    </format>
    <format dxfId="1339">
      <pivotArea dataOnly="0" labelOnly="1" outline="0" fieldPosition="0">
        <references count="2">
          <reference field="6" count="1" selected="0">
            <x v="69"/>
          </reference>
          <reference field="23" count="1">
            <x v="1"/>
          </reference>
        </references>
      </pivotArea>
    </format>
    <format dxfId="1338">
      <pivotArea dataOnly="0" labelOnly="1" outline="0" fieldPosition="0">
        <references count="2">
          <reference field="6" count="1" selected="0">
            <x v="70"/>
          </reference>
          <reference field="23" count="1">
            <x v="1"/>
          </reference>
        </references>
      </pivotArea>
    </format>
    <format dxfId="1337">
      <pivotArea dataOnly="0" labelOnly="1" outline="0" fieldPosition="0">
        <references count="2">
          <reference field="6" count="1" selected="0">
            <x v="71"/>
          </reference>
          <reference field="23" count="1">
            <x v="2"/>
          </reference>
        </references>
      </pivotArea>
    </format>
    <format dxfId="1336">
      <pivotArea dataOnly="0" labelOnly="1" outline="0" fieldPosition="0">
        <references count="2">
          <reference field="6" count="1" selected="0">
            <x v="72"/>
          </reference>
          <reference field="23" count="1">
            <x v="2"/>
          </reference>
        </references>
      </pivotArea>
    </format>
    <format dxfId="1335">
      <pivotArea dataOnly="0" labelOnly="1" outline="0" fieldPosition="0">
        <references count="2">
          <reference field="6" count="1" selected="0">
            <x v="73"/>
          </reference>
          <reference field="23" count="1">
            <x v="2"/>
          </reference>
        </references>
      </pivotArea>
    </format>
    <format dxfId="1334">
      <pivotArea dataOnly="0" labelOnly="1" outline="0" fieldPosition="0">
        <references count="2">
          <reference field="6" count="1" selected="0">
            <x v="0"/>
          </reference>
          <reference field="23" count="1">
            <x v="1"/>
          </reference>
        </references>
      </pivotArea>
    </format>
    <format dxfId="1333">
      <pivotArea dataOnly="0" labelOnly="1" outline="0" fieldPosition="0">
        <references count="2">
          <reference field="6" count="1" selected="0">
            <x v="1"/>
          </reference>
          <reference field="23" count="1">
            <x v="1"/>
          </reference>
        </references>
      </pivotArea>
    </format>
    <format dxfId="1332">
      <pivotArea dataOnly="0" labelOnly="1" outline="0" fieldPosition="0">
        <references count="2">
          <reference field="6" count="1" selected="0">
            <x v="2"/>
          </reference>
          <reference field="23" count="1">
            <x v="1"/>
          </reference>
        </references>
      </pivotArea>
    </format>
    <format dxfId="1331">
      <pivotArea dataOnly="0" labelOnly="1" outline="0" fieldPosition="0">
        <references count="2">
          <reference field="6" count="1" selected="0">
            <x v="3"/>
          </reference>
          <reference field="23" count="1">
            <x v="1"/>
          </reference>
        </references>
      </pivotArea>
    </format>
    <format dxfId="1330">
      <pivotArea dataOnly="0" labelOnly="1" outline="0" fieldPosition="0">
        <references count="2">
          <reference field="6" count="1" selected="0">
            <x v="4"/>
          </reference>
          <reference field="23" count="1">
            <x v="0"/>
          </reference>
        </references>
      </pivotArea>
    </format>
    <format dxfId="1329">
      <pivotArea dataOnly="0" labelOnly="1" outline="0" fieldPosition="0">
        <references count="2">
          <reference field="6" count="1" selected="0">
            <x v="5"/>
          </reference>
          <reference field="23" count="1">
            <x v="1"/>
          </reference>
        </references>
      </pivotArea>
    </format>
    <format dxfId="1328">
      <pivotArea dataOnly="0" labelOnly="1" outline="0" fieldPosition="0">
        <references count="2">
          <reference field="6" count="1" selected="0">
            <x v="6"/>
          </reference>
          <reference field="23" count="1">
            <x v="1"/>
          </reference>
        </references>
      </pivotArea>
    </format>
    <format dxfId="1327">
      <pivotArea dataOnly="0" labelOnly="1" outline="0" fieldPosition="0">
        <references count="2">
          <reference field="6" count="1" selected="0">
            <x v="7"/>
          </reference>
          <reference field="23" count="1">
            <x v="1"/>
          </reference>
        </references>
      </pivotArea>
    </format>
    <format dxfId="1326">
      <pivotArea dataOnly="0" labelOnly="1" outline="0" fieldPosition="0">
        <references count="2">
          <reference field="6" count="1" selected="0">
            <x v="8"/>
          </reference>
          <reference field="23" count="1">
            <x v="3"/>
          </reference>
        </references>
      </pivotArea>
    </format>
    <format dxfId="1325">
      <pivotArea dataOnly="0" labelOnly="1" outline="0" fieldPosition="0">
        <references count="2">
          <reference field="6" count="1" selected="0">
            <x v="9"/>
          </reference>
          <reference field="23" count="1">
            <x v="2"/>
          </reference>
        </references>
      </pivotArea>
    </format>
    <format dxfId="1324">
      <pivotArea dataOnly="0" labelOnly="1" outline="0" fieldPosition="0">
        <references count="2">
          <reference field="6" count="1" selected="0">
            <x v="10"/>
          </reference>
          <reference field="23" count="1">
            <x v="1"/>
          </reference>
        </references>
      </pivotArea>
    </format>
    <format dxfId="1323">
      <pivotArea dataOnly="0" labelOnly="1" outline="0" fieldPosition="0">
        <references count="2">
          <reference field="6" count="1" selected="0">
            <x v="11"/>
          </reference>
          <reference field="23" count="1">
            <x v="4"/>
          </reference>
        </references>
      </pivotArea>
    </format>
    <format dxfId="1322">
      <pivotArea dataOnly="0" labelOnly="1" outline="0" fieldPosition="0">
        <references count="2">
          <reference field="6" count="1" selected="0">
            <x v="12"/>
          </reference>
          <reference field="23" count="1">
            <x v="1"/>
          </reference>
        </references>
      </pivotArea>
    </format>
    <format dxfId="1321">
      <pivotArea dataOnly="0" labelOnly="1" outline="0" fieldPosition="0">
        <references count="2">
          <reference field="6" count="1" selected="0">
            <x v="13"/>
          </reference>
          <reference field="23" count="1">
            <x v="1"/>
          </reference>
        </references>
      </pivotArea>
    </format>
    <format dxfId="1320">
      <pivotArea dataOnly="0" labelOnly="1" outline="0" fieldPosition="0">
        <references count="2">
          <reference field="6" count="1" selected="0">
            <x v="14"/>
          </reference>
          <reference field="23" count="1">
            <x v="4"/>
          </reference>
        </references>
      </pivotArea>
    </format>
    <format dxfId="1319">
      <pivotArea dataOnly="0" labelOnly="1" outline="0" fieldPosition="0">
        <references count="2">
          <reference field="6" count="1" selected="0">
            <x v="15"/>
          </reference>
          <reference field="23" count="1">
            <x v="4"/>
          </reference>
        </references>
      </pivotArea>
    </format>
    <format dxfId="1318">
      <pivotArea dataOnly="0" labelOnly="1" outline="0" fieldPosition="0">
        <references count="2">
          <reference field="6" count="1" selected="0">
            <x v="16"/>
          </reference>
          <reference field="23" count="1">
            <x v="2"/>
          </reference>
        </references>
      </pivotArea>
    </format>
    <format dxfId="1317">
      <pivotArea dataOnly="0" labelOnly="1" outline="0" fieldPosition="0">
        <references count="2">
          <reference field="6" count="1" selected="0">
            <x v="17"/>
          </reference>
          <reference field="23" count="1">
            <x v="3"/>
          </reference>
        </references>
      </pivotArea>
    </format>
    <format dxfId="1316">
      <pivotArea dataOnly="0" labelOnly="1" outline="0" fieldPosition="0">
        <references count="2">
          <reference field="6" count="1" selected="0">
            <x v="18"/>
          </reference>
          <reference field="23" count="1">
            <x v="1"/>
          </reference>
        </references>
      </pivotArea>
    </format>
    <format dxfId="1315">
      <pivotArea dataOnly="0" labelOnly="1" outline="0" fieldPosition="0">
        <references count="2">
          <reference field="6" count="1" selected="0">
            <x v="19"/>
          </reference>
          <reference field="23" count="1">
            <x v="1"/>
          </reference>
        </references>
      </pivotArea>
    </format>
    <format dxfId="1314">
      <pivotArea dataOnly="0" labelOnly="1" outline="0" fieldPosition="0">
        <references count="2">
          <reference field="6" count="1" selected="0">
            <x v="20"/>
          </reference>
          <reference field="23" count="1">
            <x v="1"/>
          </reference>
        </references>
      </pivotArea>
    </format>
    <format dxfId="1313">
      <pivotArea dataOnly="0" labelOnly="1" outline="0" fieldPosition="0">
        <references count="2">
          <reference field="6" count="1" selected="0">
            <x v="21"/>
          </reference>
          <reference field="23" count="1">
            <x v="4"/>
          </reference>
        </references>
      </pivotArea>
    </format>
    <format dxfId="1312">
      <pivotArea dataOnly="0" labelOnly="1" outline="0" fieldPosition="0">
        <references count="2">
          <reference field="6" count="1" selected="0">
            <x v="22"/>
          </reference>
          <reference field="23" count="1">
            <x v="3"/>
          </reference>
        </references>
      </pivotArea>
    </format>
    <format dxfId="1311">
      <pivotArea dataOnly="0" labelOnly="1" outline="0" fieldPosition="0">
        <references count="2">
          <reference field="6" count="1" selected="0">
            <x v="23"/>
          </reference>
          <reference field="23" count="1">
            <x v="2"/>
          </reference>
        </references>
      </pivotArea>
    </format>
    <format dxfId="1310">
      <pivotArea dataOnly="0" labelOnly="1" outline="0" fieldPosition="0">
        <references count="2">
          <reference field="6" count="1" selected="0">
            <x v="24"/>
          </reference>
          <reference field="23" count="1">
            <x v="2"/>
          </reference>
        </references>
      </pivotArea>
    </format>
    <format dxfId="1309">
      <pivotArea dataOnly="0" labelOnly="1" outline="0" fieldPosition="0">
        <references count="2">
          <reference field="6" count="1" selected="0">
            <x v="25"/>
          </reference>
          <reference field="23" count="1">
            <x v="1"/>
          </reference>
        </references>
      </pivotArea>
    </format>
    <format dxfId="1308">
      <pivotArea dataOnly="0" labelOnly="1" outline="0" fieldPosition="0">
        <references count="2">
          <reference field="6" count="1" selected="0">
            <x v="26"/>
          </reference>
          <reference field="23" count="1">
            <x v="4"/>
          </reference>
        </references>
      </pivotArea>
    </format>
    <format dxfId="1307">
      <pivotArea dataOnly="0" labelOnly="1" outline="0" fieldPosition="0">
        <references count="2">
          <reference field="6" count="1" selected="0">
            <x v="27"/>
          </reference>
          <reference field="23" count="1">
            <x v="1"/>
          </reference>
        </references>
      </pivotArea>
    </format>
    <format dxfId="1306">
      <pivotArea dataOnly="0" labelOnly="1" outline="0" fieldPosition="0">
        <references count="2">
          <reference field="6" count="1" selected="0">
            <x v="28"/>
          </reference>
          <reference field="23" count="1">
            <x v="2"/>
          </reference>
        </references>
      </pivotArea>
    </format>
    <format dxfId="1305">
      <pivotArea dataOnly="0" labelOnly="1" outline="0" fieldPosition="0">
        <references count="2">
          <reference field="6" count="1" selected="0">
            <x v="29"/>
          </reference>
          <reference field="23" count="1">
            <x v="1"/>
          </reference>
        </references>
      </pivotArea>
    </format>
    <format dxfId="1304">
      <pivotArea dataOnly="0" labelOnly="1" outline="0" fieldPosition="0">
        <references count="2">
          <reference field="6" count="1" selected="0">
            <x v="30"/>
          </reference>
          <reference field="23" count="1">
            <x v="1"/>
          </reference>
        </references>
      </pivotArea>
    </format>
    <format dxfId="1303">
      <pivotArea dataOnly="0" labelOnly="1" outline="0" fieldPosition="0">
        <references count="2">
          <reference field="6" count="1" selected="0">
            <x v="31"/>
          </reference>
          <reference field="23" count="1">
            <x v="1"/>
          </reference>
        </references>
      </pivotArea>
    </format>
    <format dxfId="1302">
      <pivotArea dataOnly="0" labelOnly="1" outline="0" fieldPosition="0">
        <references count="2">
          <reference field="6" count="1" selected="0">
            <x v="32"/>
          </reference>
          <reference field="23" count="1">
            <x v="1"/>
          </reference>
        </references>
      </pivotArea>
    </format>
    <format dxfId="1301">
      <pivotArea dataOnly="0" labelOnly="1" outline="0" fieldPosition="0">
        <references count="2">
          <reference field="6" count="1" selected="0">
            <x v="33"/>
          </reference>
          <reference field="23" count="1">
            <x v="1"/>
          </reference>
        </references>
      </pivotArea>
    </format>
    <format dxfId="1300">
      <pivotArea dataOnly="0" labelOnly="1" outline="0" fieldPosition="0">
        <references count="2">
          <reference field="6" count="1" selected="0">
            <x v="34"/>
          </reference>
          <reference field="23" count="1">
            <x v="1"/>
          </reference>
        </references>
      </pivotArea>
    </format>
    <format dxfId="1299">
      <pivotArea dataOnly="0" labelOnly="1" outline="0" fieldPosition="0">
        <references count="2">
          <reference field="6" count="1" selected="0">
            <x v="35"/>
          </reference>
          <reference field="23" count="1">
            <x v="1"/>
          </reference>
        </references>
      </pivotArea>
    </format>
    <format dxfId="1298">
      <pivotArea dataOnly="0" labelOnly="1" outline="0" fieldPosition="0">
        <references count="2">
          <reference field="6" count="1" selected="0">
            <x v="36"/>
          </reference>
          <reference field="23" count="1">
            <x v="2"/>
          </reference>
        </references>
      </pivotArea>
    </format>
    <format dxfId="1297">
      <pivotArea dataOnly="0" labelOnly="1" outline="0" fieldPosition="0">
        <references count="2">
          <reference field="6" count="1" selected="0">
            <x v="37"/>
          </reference>
          <reference field="23" count="1">
            <x v="2"/>
          </reference>
        </references>
      </pivotArea>
    </format>
    <format dxfId="1296">
      <pivotArea dataOnly="0" labelOnly="1" outline="0" fieldPosition="0">
        <references count="2">
          <reference field="6" count="1" selected="0">
            <x v="38"/>
          </reference>
          <reference field="23" count="1">
            <x v="1"/>
          </reference>
        </references>
      </pivotArea>
    </format>
    <format dxfId="1295">
      <pivotArea dataOnly="0" labelOnly="1" outline="0" fieldPosition="0">
        <references count="2">
          <reference field="6" count="1" selected="0">
            <x v="39"/>
          </reference>
          <reference field="23" count="1">
            <x v="4"/>
          </reference>
        </references>
      </pivotArea>
    </format>
    <format dxfId="1294">
      <pivotArea dataOnly="0" labelOnly="1" outline="0" fieldPosition="0">
        <references count="2">
          <reference field="6" count="1" selected="0">
            <x v="40"/>
          </reference>
          <reference field="23" count="1">
            <x v="1"/>
          </reference>
        </references>
      </pivotArea>
    </format>
    <format dxfId="1293">
      <pivotArea dataOnly="0" labelOnly="1" outline="0" fieldPosition="0">
        <references count="2">
          <reference field="6" count="1" selected="0">
            <x v="41"/>
          </reference>
          <reference field="23" count="1">
            <x v="1"/>
          </reference>
        </references>
      </pivotArea>
    </format>
    <format dxfId="1292">
      <pivotArea dataOnly="0" labelOnly="1" outline="0" fieldPosition="0">
        <references count="2">
          <reference field="6" count="1" selected="0">
            <x v="42"/>
          </reference>
          <reference field="23" count="1">
            <x v="1"/>
          </reference>
        </references>
      </pivotArea>
    </format>
    <format dxfId="1291">
      <pivotArea dataOnly="0" labelOnly="1" outline="0" fieldPosition="0">
        <references count="2">
          <reference field="6" count="1" selected="0">
            <x v="43"/>
          </reference>
          <reference field="23" count="1">
            <x v="1"/>
          </reference>
        </references>
      </pivotArea>
    </format>
    <format dxfId="1290">
      <pivotArea dataOnly="0" labelOnly="1" outline="0" fieldPosition="0">
        <references count="2">
          <reference field="6" count="1" selected="0">
            <x v="44"/>
          </reference>
          <reference field="23" count="1">
            <x v="1"/>
          </reference>
        </references>
      </pivotArea>
    </format>
    <format dxfId="1289">
      <pivotArea dataOnly="0" labelOnly="1" outline="0" fieldPosition="0">
        <references count="2">
          <reference field="6" count="1" selected="0">
            <x v="45"/>
          </reference>
          <reference field="23" count="1">
            <x v="1"/>
          </reference>
        </references>
      </pivotArea>
    </format>
    <format dxfId="1288">
      <pivotArea dataOnly="0" labelOnly="1" outline="0" fieldPosition="0">
        <references count="2">
          <reference field="6" count="1" selected="0">
            <x v="46"/>
          </reference>
          <reference field="23" count="1">
            <x v="1"/>
          </reference>
        </references>
      </pivotArea>
    </format>
    <format dxfId="1287">
      <pivotArea dataOnly="0" labelOnly="1" outline="0" fieldPosition="0">
        <references count="2">
          <reference field="6" count="1" selected="0">
            <x v="47"/>
          </reference>
          <reference field="23" count="1">
            <x v="1"/>
          </reference>
        </references>
      </pivotArea>
    </format>
    <format dxfId="1286">
      <pivotArea dataOnly="0" labelOnly="1" outline="0" fieldPosition="0">
        <references count="2">
          <reference field="6" count="1" selected="0">
            <x v="48"/>
          </reference>
          <reference field="23" count="1">
            <x v="2"/>
          </reference>
        </references>
      </pivotArea>
    </format>
    <format dxfId="1285">
      <pivotArea dataOnly="0" labelOnly="1" outline="0" fieldPosition="0">
        <references count="2">
          <reference field="6" count="1" selected="0">
            <x v="49"/>
          </reference>
          <reference field="23" count="1">
            <x v="1"/>
          </reference>
        </references>
      </pivotArea>
    </format>
    <format dxfId="1284">
      <pivotArea dataOnly="0" labelOnly="1" outline="0" fieldPosition="0">
        <references count="2">
          <reference field="6" count="1" selected="0">
            <x v="50"/>
          </reference>
          <reference field="23" count="1">
            <x v="1"/>
          </reference>
        </references>
      </pivotArea>
    </format>
    <format dxfId="1283">
      <pivotArea dataOnly="0" labelOnly="1" outline="0" fieldPosition="0">
        <references count="2">
          <reference field="6" count="1" selected="0">
            <x v="51"/>
          </reference>
          <reference field="23" count="1">
            <x v="1"/>
          </reference>
        </references>
      </pivotArea>
    </format>
    <format dxfId="1282">
      <pivotArea dataOnly="0" labelOnly="1" outline="0" fieldPosition="0">
        <references count="2">
          <reference field="6" count="1" selected="0">
            <x v="52"/>
          </reference>
          <reference field="23" count="1">
            <x v="4"/>
          </reference>
        </references>
      </pivotArea>
    </format>
    <format dxfId="1281">
      <pivotArea dataOnly="0" labelOnly="1" outline="0" fieldPosition="0">
        <references count="2">
          <reference field="6" count="1" selected="0">
            <x v="53"/>
          </reference>
          <reference field="23" count="1">
            <x v="1"/>
          </reference>
        </references>
      </pivotArea>
    </format>
    <format dxfId="1280">
      <pivotArea dataOnly="0" labelOnly="1" outline="0" fieldPosition="0">
        <references count="2">
          <reference field="6" count="1" selected="0">
            <x v="54"/>
          </reference>
          <reference field="23" count="1">
            <x v="4"/>
          </reference>
        </references>
      </pivotArea>
    </format>
    <format dxfId="1279">
      <pivotArea dataOnly="0" labelOnly="1" outline="0" fieldPosition="0">
        <references count="2">
          <reference field="6" count="1" selected="0">
            <x v="55"/>
          </reference>
          <reference field="23" count="1">
            <x v="1"/>
          </reference>
        </references>
      </pivotArea>
    </format>
    <format dxfId="1278">
      <pivotArea dataOnly="0" labelOnly="1" outline="0" fieldPosition="0">
        <references count="2">
          <reference field="6" count="1" selected="0">
            <x v="56"/>
          </reference>
          <reference field="23" count="1">
            <x v="1"/>
          </reference>
        </references>
      </pivotArea>
    </format>
    <format dxfId="1277">
      <pivotArea dataOnly="0" labelOnly="1" outline="0" fieldPosition="0">
        <references count="2">
          <reference field="6" count="1" selected="0">
            <x v="57"/>
          </reference>
          <reference field="23" count="1">
            <x v="2"/>
          </reference>
        </references>
      </pivotArea>
    </format>
    <format dxfId="1276">
      <pivotArea dataOnly="0" labelOnly="1" outline="0" fieldPosition="0">
        <references count="2">
          <reference field="6" count="1" selected="0">
            <x v="58"/>
          </reference>
          <reference field="23" count="1">
            <x v="1"/>
          </reference>
        </references>
      </pivotArea>
    </format>
    <format dxfId="1275">
      <pivotArea dataOnly="0" labelOnly="1" outline="0" fieldPosition="0">
        <references count="2">
          <reference field="6" count="1" selected="0">
            <x v="59"/>
          </reference>
          <reference field="23" count="1">
            <x v="1"/>
          </reference>
        </references>
      </pivotArea>
    </format>
    <format dxfId="1274">
      <pivotArea dataOnly="0" labelOnly="1" outline="0" fieldPosition="0">
        <references count="2">
          <reference field="6" count="1" selected="0">
            <x v="60"/>
          </reference>
          <reference field="23" count="1">
            <x v="1"/>
          </reference>
        </references>
      </pivotArea>
    </format>
    <format dxfId="1273">
      <pivotArea dataOnly="0" labelOnly="1" outline="0" fieldPosition="0">
        <references count="2">
          <reference field="6" count="1" selected="0">
            <x v="61"/>
          </reference>
          <reference field="23" count="1">
            <x v="1"/>
          </reference>
        </references>
      </pivotArea>
    </format>
    <format dxfId="1272">
      <pivotArea dataOnly="0" labelOnly="1" outline="0" fieldPosition="0">
        <references count="2">
          <reference field="6" count="1" selected="0">
            <x v="62"/>
          </reference>
          <reference field="23" count="1">
            <x v="1"/>
          </reference>
        </references>
      </pivotArea>
    </format>
    <format dxfId="1271">
      <pivotArea dataOnly="0" labelOnly="1" outline="0" fieldPosition="0">
        <references count="2">
          <reference field="6" count="1" selected="0">
            <x v="63"/>
          </reference>
          <reference field="23" count="1">
            <x v="1"/>
          </reference>
        </references>
      </pivotArea>
    </format>
    <format dxfId="1270">
      <pivotArea dataOnly="0" labelOnly="1" outline="0" fieldPosition="0">
        <references count="2">
          <reference field="6" count="1" selected="0">
            <x v="64"/>
          </reference>
          <reference field="23" count="1">
            <x v="1"/>
          </reference>
        </references>
      </pivotArea>
    </format>
    <format dxfId="1269">
      <pivotArea dataOnly="0" labelOnly="1" outline="0" fieldPosition="0">
        <references count="2">
          <reference field="6" count="1" selected="0">
            <x v="65"/>
          </reference>
          <reference field="23" count="1">
            <x v="2"/>
          </reference>
        </references>
      </pivotArea>
    </format>
    <format dxfId="1268">
      <pivotArea dataOnly="0" labelOnly="1" outline="0" fieldPosition="0">
        <references count="2">
          <reference field="6" count="1" selected="0">
            <x v="66"/>
          </reference>
          <reference field="23" count="1">
            <x v="1"/>
          </reference>
        </references>
      </pivotArea>
    </format>
    <format dxfId="1267">
      <pivotArea dataOnly="0" labelOnly="1" outline="0" fieldPosition="0">
        <references count="2">
          <reference field="6" count="1" selected="0">
            <x v="67"/>
          </reference>
          <reference field="23" count="1">
            <x v="2"/>
          </reference>
        </references>
      </pivotArea>
    </format>
    <format dxfId="1266">
      <pivotArea dataOnly="0" labelOnly="1" outline="0" fieldPosition="0">
        <references count="2">
          <reference field="6" count="1" selected="0">
            <x v="68"/>
          </reference>
          <reference field="23" count="1">
            <x v="1"/>
          </reference>
        </references>
      </pivotArea>
    </format>
    <format dxfId="1265">
      <pivotArea dataOnly="0" labelOnly="1" outline="0" fieldPosition="0">
        <references count="2">
          <reference field="6" count="1" selected="0">
            <x v="69"/>
          </reference>
          <reference field="23" count="1">
            <x v="1"/>
          </reference>
        </references>
      </pivotArea>
    </format>
    <format dxfId="1264">
      <pivotArea dataOnly="0" labelOnly="1" outline="0" fieldPosition="0">
        <references count="2">
          <reference field="6" count="1" selected="0">
            <x v="70"/>
          </reference>
          <reference field="23" count="1">
            <x v="1"/>
          </reference>
        </references>
      </pivotArea>
    </format>
    <format dxfId="1263">
      <pivotArea dataOnly="0" labelOnly="1" outline="0" fieldPosition="0">
        <references count="2">
          <reference field="6" count="1" selected="0">
            <x v="71"/>
          </reference>
          <reference field="23" count="1">
            <x v="2"/>
          </reference>
        </references>
      </pivotArea>
    </format>
    <format dxfId="1262">
      <pivotArea dataOnly="0" labelOnly="1" outline="0" fieldPosition="0">
        <references count="2">
          <reference field="6" count="1" selected="0">
            <x v="72"/>
          </reference>
          <reference field="23" count="1">
            <x v="4"/>
          </reference>
        </references>
      </pivotArea>
    </format>
    <format dxfId="1261">
      <pivotArea dataOnly="0" labelOnly="1" outline="0" fieldPosition="0">
        <references count="2">
          <reference field="6" count="1" selected="0">
            <x v="73"/>
          </reference>
          <reference field="23" count="1">
            <x v="4"/>
          </reference>
        </references>
      </pivotArea>
    </format>
    <format dxfId="1260">
      <pivotArea dataOnly="0" labelOnly="1" outline="0" fieldPosition="0">
        <references count="2">
          <reference field="6" count="1" selected="0">
            <x v="0"/>
          </reference>
          <reference field="23" count="1">
            <x v="1"/>
          </reference>
        </references>
      </pivotArea>
    </format>
    <format dxfId="1259">
      <pivotArea dataOnly="0" labelOnly="1" outline="0" fieldPosition="0">
        <references count="2">
          <reference field="6" count="1" selected="0">
            <x v="1"/>
          </reference>
          <reference field="23" count="1">
            <x v="1"/>
          </reference>
        </references>
      </pivotArea>
    </format>
    <format dxfId="1258">
      <pivotArea dataOnly="0" labelOnly="1" outline="0" fieldPosition="0">
        <references count="2">
          <reference field="6" count="1" selected="0">
            <x v="2"/>
          </reference>
          <reference field="23" count="1">
            <x v="1"/>
          </reference>
        </references>
      </pivotArea>
    </format>
    <format dxfId="1257">
      <pivotArea dataOnly="0" labelOnly="1" outline="0" fieldPosition="0">
        <references count="2">
          <reference field="6" count="1" selected="0">
            <x v="3"/>
          </reference>
          <reference field="23" count="1">
            <x v="1"/>
          </reference>
        </references>
      </pivotArea>
    </format>
    <format dxfId="1256">
      <pivotArea dataOnly="0" labelOnly="1" outline="0" fieldPosition="0">
        <references count="2">
          <reference field="6" count="1" selected="0">
            <x v="4"/>
          </reference>
          <reference field="23" count="1">
            <x v="0"/>
          </reference>
        </references>
      </pivotArea>
    </format>
    <format dxfId="1255">
      <pivotArea dataOnly="0" labelOnly="1" outline="0" fieldPosition="0">
        <references count="2">
          <reference field="6" count="1" selected="0">
            <x v="5"/>
          </reference>
          <reference field="23" count="1">
            <x v="1"/>
          </reference>
        </references>
      </pivotArea>
    </format>
    <format dxfId="1254">
      <pivotArea dataOnly="0" labelOnly="1" outline="0" fieldPosition="0">
        <references count="2">
          <reference field="6" count="1" selected="0">
            <x v="6"/>
          </reference>
          <reference field="23" count="1">
            <x v="1"/>
          </reference>
        </references>
      </pivotArea>
    </format>
    <format dxfId="1253">
      <pivotArea dataOnly="0" labelOnly="1" outline="0" fieldPosition="0">
        <references count="2">
          <reference field="6" count="1" selected="0">
            <x v="7"/>
          </reference>
          <reference field="23" count="1">
            <x v="1"/>
          </reference>
        </references>
      </pivotArea>
    </format>
    <format dxfId="1252">
      <pivotArea dataOnly="0" labelOnly="1" outline="0" fieldPosition="0">
        <references count="2">
          <reference field="6" count="1" selected="0">
            <x v="8"/>
          </reference>
          <reference field="23" count="1">
            <x v="3"/>
          </reference>
        </references>
      </pivotArea>
    </format>
    <format dxfId="1251">
      <pivotArea dataOnly="0" labelOnly="1" outline="0" fieldPosition="0">
        <references count="2">
          <reference field="6" count="1" selected="0">
            <x v="9"/>
          </reference>
          <reference field="23" count="1">
            <x v="2"/>
          </reference>
        </references>
      </pivotArea>
    </format>
    <format dxfId="1250">
      <pivotArea dataOnly="0" labelOnly="1" outline="0" fieldPosition="0">
        <references count="2">
          <reference field="6" count="1" selected="0">
            <x v="10"/>
          </reference>
          <reference field="23" count="1">
            <x v="1"/>
          </reference>
        </references>
      </pivotArea>
    </format>
    <format dxfId="1249">
      <pivotArea dataOnly="0" labelOnly="1" outline="0" fieldPosition="0">
        <references count="2">
          <reference field="6" count="1" selected="0">
            <x v="11"/>
          </reference>
          <reference field="23" count="1">
            <x v="4"/>
          </reference>
        </references>
      </pivotArea>
    </format>
    <format dxfId="1248">
      <pivotArea dataOnly="0" labelOnly="1" outline="0" fieldPosition="0">
        <references count="2">
          <reference field="6" count="1" selected="0">
            <x v="12"/>
          </reference>
          <reference field="23" count="1">
            <x v="1"/>
          </reference>
        </references>
      </pivotArea>
    </format>
    <format dxfId="1247">
      <pivotArea dataOnly="0" labelOnly="1" outline="0" fieldPosition="0">
        <references count="2">
          <reference field="6" count="1" selected="0">
            <x v="13"/>
          </reference>
          <reference field="23" count="1">
            <x v="1"/>
          </reference>
        </references>
      </pivotArea>
    </format>
    <format dxfId="1246">
      <pivotArea dataOnly="0" labelOnly="1" outline="0" fieldPosition="0">
        <references count="2">
          <reference field="6" count="1" selected="0">
            <x v="14"/>
          </reference>
          <reference field="23" count="1">
            <x v="4"/>
          </reference>
        </references>
      </pivotArea>
    </format>
    <format dxfId="1245">
      <pivotArea dataOnly="0" labelOnly="1" outline="0" fieldPosition="0">
        <references count="2">
          <reference field="6" count="1" selected="0">
            <x v="15"/>
          </reference>
          <reference field="23" count="1">
            <x v="4"/>
          </reference>
        </references>
      </pivotArea>
    </format>
    <format dxfId="1244">
      <pivotArea dataOnly="0" labelOnly="1" outline="0" fieldPosition="0">
        <references count="2">
          <reference field="6" count="1" selected="0">
            <x v="16"/>
          </reference>
          <reference field="23" count="1">
            <x v="2"/>
          </reference>
        </references>
      </pivotArea>
    </format>
    <format dxfId="1243">
      <pivotArea dataOnly="0" labelOnly="1" outline="0" fieldPosition="0">
        <references count="2">
          <reference field="6" count="1" selected="0">
            <x v="17"/>
          </reference>
          <reference field="23" count="1">
            <x v="3"/>
          </reference>
        </references>
      </pivotArea>
    </format>
    <format dxfId="1242">
      <pivotArea dataOnly="0" labelOnly="1" outline="0" fieldPosition="0">
        <references count="2">
          <reference field="6" count="1" selected="0">
            <x v="18"/>
          </reference>
          <reference field="23" count="1">
            <x v="1"/>
          </reference>
        </references>
      </pivotArea>
    </format>
    <format dxfId="1241">
      <pivotArea dataOnly="0" labelOnly="1" outline="0" fieldPosition="0">
        <references count="2">
          <reference field="6" count="1" selected="0">
            <x v="19"/>
          </reference>
          <reference field="23" count="1">
            <x v="1"/>
          </reference>
        </references>
      </pivotArea>
    </format>
    <format dxfId="1240">
      <pivotArea dataOnly="0" labelOnly="1" outline="0" fieldPosition="0">
        <references count="2">
          <reference field="6" count="1" selected="0">
            <x v="20"/>
          </reference>
          <reference field="23" count="1">
            <x v="1"/>
          </reference>
        </references>
      </pivotArea>
    </format>
    <format dxfId="1239">
      <pivotArea dataOnly="0" labelOnly="1" outline="0" fieldPosition="0">
        <references count="2">
          <reference field="6" count="1" selected="0">
            <x v="21"/>
          </reference>
          <reference field="23" count="1">
            <x v="4"/>
          </reference>
        </references>
      </pivotArea>
    </format>
    <format dxfId="1238">
      <pivotArea dataOnly="0" labelOnly="1" outline="0" fieldPosition="0">
        <references count="2">
          <reference field="6" count="1" selected="0">
            <x v="22"/>
          </reference>
          <reference field="23" count="1">
            <x v="3"/>
          </reference>
        </references>
      </pivotArea>
    </format>
    <format dxfId="1237">
      <pivotArea dataOnly="0" labelOnly="1" outline="0" fieldPosition="0">
        <references count="2">
          <reference field="6" count="1" selected="0">
            <x v="23"/>
          </reference>
          <reference field="23" count="1">
            <x v="2"/>
          </reference>
        </references>
      </pivotArea>
    </format>
    <format dxfId="1236">
      <pivotArea dataOnly="0" labelOnly="1" outline="0" fieldPosition="0">
        <references count="2">
          <reference field="6" count="1" selected="0">
            <x v="24"/>
          </reference>
          <reference field="23" count="1">
            <x v="2"/>
          </reference>
        </references>
      </pivotArea>
    </format>
    <format dxfId="1235">
      <pivotArea dataOnly="0" labelOnly="1" outline="0" fieldPosition="0">
        <references count="2">
          <reference field="6" count="1" selected="0">
            <x v="25"/>
          </reference>
          <reference field="23" count="1">
            <x v="1"/>
          </reference>
        </references>
      </pivotArea>
    </format>
    <format dxfId="1234">
      <pivotArea dataOnly="0" labelOnly="1" outline="0" fieldPosition="0">
        <references count="2">
          <reference field="6" count="1" selected="0">
            <x v="26"/>
          </reference>
          <reference field="23" count="1">
            <x v="4"/>
          </reference>
        </references>
      </pivotArea>
    </format>
    <format dxfId="1233">
      <pivotArea dataOnly="0" labelOnly="1" outline="0" fieldPosition="0">
        <references count="2">
          <reference field="6" count="1" selected="0">
            <x v="27"/>
          </reference>
          <reference field="23" count="1">
            <x v="1"/>
          </reference>
        </references>
      </pivotArea>
    </format>
    <format dxfId="1232">
      <pivotArea dataOnly="0" labelOnly="1" outline="0" fieldPosition="0">
        <references count="2">
          <reference field="6" count="1" selected="0">
            <x v="28"/>
          </reference>
          <reference field="23" count="1">
            <x v="2"/>
          </reference>
        </references>
      </pivotArea>
    </format>
    <format dxfId="1231">
      <pivotArea dataOnly="0" labelOnly="1" outline="0" fieldPosition="0">
        <references count="2">
          <reference field="6" count="1" selected="0">
            <x v="29"/>
          </reference>
          <reference field="23" count="1">
            <x v="1"/>
          </reference>
        </references>
      </pivotArea>
    </format>
    <format dxfId="1230">
      <pivotArea dataOnly="0" labelOnly="1" outline="0" fieldPosition="0">
        <references count="2">
          <reference field="6" count="1" selected="0">
            <x v="30"/>
          </reference>
          <reference field="23" count="1">
            <x v="1"/>
          </reference>
        </references>
      </pivotArea>
    </format>
    <format dxfId="1229">
      <pivotArea dataOnly="0" labelOnly="1" outline="0" fieldPosition="0">
        <references count="2">
          <reference field="6" count="1" selected="0">
            <x v="31"/>
          </reference>
          <reference field="23" count="1">
            <x v="1"/>
          </reference>
        </references>
      </pivotArea>
    </format>
    <format dxfId="1228">
      <pivotArea dataOnly="0" labelOnly="1" outline="0" fieldPosition="0">
        <references count="2">
          <reference field="6" count="1" selected="0">
            <x v="32"/>
          </reference>
          <reference field="23" count="1">
            <x v="1"/>
          </reference>
        </references>
      </pivotArea>
    </format>
    <format dxfId="1227">
      <pivotArea dataOnly="0" labelOnly="1" outline="0" fieldPosition="0">
        <references count="2">
          <reference field="6" count="1" selected="0">
            <x v="33"/>
          </reference>
          <reference field="23" count="1">
            <x v="1"/>
          </reference>
        </references>
      </pivotArea>
    </format>
    <format dxfId="1226">
      <pivotArea dataOnly="0" labelOnly="1" outline="0" fieldPosition="0">
        <references count="2">
          <reference field="6" count="1" selected="0">
            <x v="34"/>
          </reference>
          <reference field="23" count="1">
            <x v="1"/>
          </reference>
        </references>
      </pivotArea>
    </format>
    <format dxfId="1225">
      <pivotArea dataOnly="0" labelOnly="1" outline="0" fieldPosition="0">
        <references count="2">
          <reference field="6" count="1" selected="0">
            <x v="35"/>
          </reference>
          <reference field="23" count="1">
            <x v="1"/>
          </reference>
        </references>
      </pivotArea>
    </format>
    <format dxfId="1224">
      <pivotArea dataOnly="0" labelOnly="1" outline="0" fieldPosition="0">
        <references count="2">
          <reference field="6" count="1" selected="0">
            <x v="36"/>
          </reference>
          <reference field="23" count="1">
            <x v="2"/>
          </reference>
        </references>
      </pivotArea>
    </format>
    <format dxfId="1223">
      <pivotArea dataOnly="0" labelOnly="1" outline="0" fieldPosition="0">
        <references count="2">
          <reference field="6" count="1" selected="0">
            <x v="37"/>
          </reference>
          <reference field="23" count="1">
            <x v="2"/>
          </reference>
        </references>
      </pivotArea>
    </format>
    <format dxfId="1222">
      <pivotArea dataOnly="0" labelOnly="1" outline="0" fieldPosition="0">
        <references count="2">
          <reference field="6" count="1" selected="0">
            <x v="38"/>
          </reference>
          <reference field="23" count="1">
            <x v="1"/>
          </reference>
        </references>
      </pivotArea>
    </format>
    <format dxfId="1221">
      <pivotArea dataOnly="0" labelOnly="1" outline="0" fieldPosition="0">
        <references count="2">
          <reference field="6" count="1" selected="0">
            <x v="39"/>
          </reference>
          <reference field="23" count="1">
            <x v="4"/>
          </reference>
        </references>
      </pivotArea>
    </format>
    <format dxfId="1220">
      <pivotArea dataOnly="0" labelOnly="1" outline="0" fieldPosition="0">
        <references count="2">
          <reference field="6" count="1" selected="0">
            <x v="40"/>
          </reference>
          <reference field="23" count="1">
            <x v="1"/>
          </reference>
        </references>
      </pivotArea>
    </format>
    <format dxfId="1219">
      <pivotArea dataOnly="0" labelOnly="1" outline="0" fieldPosition="0">
        <references count="2">
          <reference field="6" count="1" selected="0">
            <x v="41"/>
          </reference>
          <reference field="23" count="1">
            <x v="1"/>
          </reference>
        </references>
      </pivotArea>
    </format>
    <format dxfId="1218">
      <pivotArea dataOnly="0" labelOnly="1" outline="0" fieldPosition="0">
        <references count="2">
          <reference field="6" count="1" selected="0">
            <x v="42"/>
          </reference>
          <reference field="23" count="1">
            <x v="1"/>
          </reference>
        </references>
      </pivotArea>
    </format>
    <format dxfId="1217">
      <pivotArea dataOnly="0" labelOnly="1" outline="0" fieldPosition="0">
        <references count="2">
          <reference field="6" count="1" selected="0">
            <x v="43"/>
          </reference>
          <reference field="23" count="1">
            <x v="1"/>
          </reference>
        </references>
      </pivotArea>
    </format>
    <format dxfId="1216">
      <pivotArea dataOnly="0" labelOnly="1" outline="0" fieldPosition="0">
        <references count="2">
          <reference field="6" count="1" selected="0">
            <x v="44"/>
          </reference>
          <reference field="23" count="1">
            <x v="1"/>
          </reference>
        </references>
      </pivotArea>
    </format>
    <format dxfId="1215">
      <pivotArea dataOnly="0" labelOnly="1" outline="0" fieldPosition="0">
        <references count="2">
          <reference field="6" count="1" selected="0">
            <x v="45"/>
          </reference>
          <reference field="23" count="1">
            <x v="1"/>
          </reference>
        </references>
      </pivotArea>
    </format>
    <format dxfId="1214">
      <pivotArea dataOnly="0" labelOnly="1" outline="0" fieldPosition="0">
        <references count="2">
          <reference field="6" count="1" selected="0">
            <x v="46"/>
          </reference>
          <reference field="23" count="1">
            <x v="1"/>
          </reference>
        </references>
      </pivotArea>
    </format>
    <format dxfId="1213">
      <pivotArea dataOnly="0" labelOnly="1" outline="0" fieldPosition="0">
        <references count="2">
          <reference field="6" count="1" selected="0">
            <x v="47"/>
          </reference>
          <reference field="23" count="1">
            <x v="1"/>
          </reference>
        </references>
      </pivotArea>
    </format>
    <format dxfId="1212">
      <pivotArea dataOnly="0" labelOnly="1" outline="0" fieldPosition="0">
        <references count="2">
          <reference field="6" count="1" selected="0">
            <x v="48"/>
          </reference>
          <reference field="23" count="1">
            <x v="2"/>
          </reference>
        </references>
      </pivotArea>
    </format>
    <format dxfId="1211">
      <pivotArea dataOnly="0" labelOnly="1" outline="0" fieldPosition="0">
        <references count="2">
          <reference field="6" count="1" selected="0">
            <x v="49"/>
          </reference>
          <reference field="23" count="1">
            <x v="1"/>
          </reference>
        </references>
      </pivotArea>
    </format>
    <format dxfId="1210">
      <pivotArea dataOnly="0" labelOnly="1" outline="0" fieldPosition="0">
        <references count="2">
          <reference field="6" count="1" selected="0">
            <x v="50"/>
          </reference>
          <reference field="23" count="1">
            <x v="1"/>
          </reference>
        </references>
      </pivotArea>
    </format>
    <format dxfId="1209">
      <pivotArea dataOnly="0" labelOnly="1" outline="0" fieldPosition="0">
        <references count="2">
          <reference field="6" count="1" selected="0">
            <x v="51"/>
          </reference>
          <reference field="23" count="1">
            <x v="1"/>
          </reference>
        </references>
      </pivotArea>
    </format>
    <format dxfId="1208">
      <pivotArea dataOnly="0" labelOnly="1" outline="0" fieldPosition="0">
        <references count="2">
          <reference field="6" count="1" selected="0">
            <x v="52"/>
          </reference>
          <reference field="23" count="1">
            <x v="4"/>
          </reference>
        </references>
      </pivotArea>
    </format>
    <format dxfId="1207">
      <pivotArea dataOnly="0" labelOnly="1" outline="0" fieldPosition="0">
        <references count="2">
          <reference field="6" count="1" selected="0">
            <x v="53"/>
          </reference>
          <reference field="23" count="1">
            <x v="1"/>
          </reference>
        </references>
      </pivotArea>
    </format>
    <format dxfId="1206">
      <pivotArea dataOnly="0" labelOnly="1" outline="0" fieldPosition="0">
        <references count="2">
          <reference field="6" count="1" selected="0">
            <x v="54"/>
          </reference>
          <reference field="23" count="1">
            <x v="4"/>
          </reference>
        </references>
      </pivotArea>
    </format>
    <format dxfId="1205">
      <pivotArea dataOnly="0" labelOnly="1" outline="0" fieldPosition="0">
        <references count="2">
          <reference field="6" count="1" selected="0">
            <x v="55"/>
          </reference>
          <reference field="23" count="1">
            <x v="1"/>
          </reference>
        </references>
      </pivotArea>
    </format>
    <format dxfId="1204">
      <pivotArea dataOnly="0" labelOnly="1" outline="0" fieldPosition="0">
        <references count="2">
          <reference field="6" count="1" selected="0">
            <x v="56"/>
          </reference>
          <reference field="23" count="1">
            <x v="1"/>
          </reference>
        </references>
      </pivotArea>
    </format>
    <format dxfId="1203">
      <pivotArea dataOnly="0" labelOnly="1" outline="0" fieldPosition="0">
        <references count="2">
          <reference field="6" count="1" selected="0">
            <x v="57"/>
          </reference>
          <reference field="23" count="1">
            <x v="2"/>
          </reference>
        </references>
      </pivotArea>
    </format>
    <format dxfId="1202">
      <pivotArea dataOnly="0" labelOnly="1" outline="0" fieldPosition="0">
        <references count="2">
          <reference field="6" count="1" selected="0">
            <x v="58"/>
          </reference>
          <reference field="23" count="1">
            <x v="1"/>
          </reference>
        </references>
      </pivotArea>
    </format>
    <format dxfId="1201">
      <pivotArea dataOnly="0" labelOnly="1" outline="0" fieldPosition="0">
        <references count="2">
          <reference field="6" count="1" selected="0">
            <x v="59"/>
          </reference>
          <reference field="23" count="1">
            <x v="1"/>
          </reference>
        </references>
      </pivotArea>
    </format>
    <format dxfId="1200">
      <pivotArea dataOnly="0" labelOnly="1" outline="0" fieldPosition="0">
        <references count="2">
          <reference field="6" count="1" selected="0">
            <x v="60"/>
          </reference>
          <reference field="23" count="1">
            <x v="1"/>
          </reference>
        </references>
      </pivotArea>
    </format>
    <format dxfId="1199">
      <pivotArea dataOnly="0" labelOnly="1" outline="0" fieldPosition="0">
        <references count="2">
          <reference field="6" count="1" selected="0">
            <x v="61"/>
          </reference>
          <reference field="23" count="1">
            <x v="1"/>
          </reference>
        </references>
      </pivotArea>
    </format>
    <format dxfId="1198">
      <pivotArea dataOnly="0" labelOnly="1" outline="0" fieldPosition="0">
        <references count="2">
          <reference field="6" count="1" selected="0">
            <x v="62"/>
          </reference>
          <reference field="23" count="1">
            <x v="1"/>
          </reference>
        </references>
      </pivotArea>
    </format>
    <format dxfId="1197">
      <pivotArea dataOnly="0" labelOnly="1" outline="0" fieldPosition="0">
        <references count="2">
          <reference field="6" count="1" selected="0">
            <x v="63"/>
          </reference>
          <reference field="23" count="1">
            <x v="1"/>
          </reference>
        </references>
      </pivotArea>
    </format>
    <format dxfId="1196">
      <pivotArea dataOnly="0" labelOnly="1" outline="0" fieldPosition="0">
        <references count="2">
          <reference field="6" count="1" selected="0">
            <x v="64"/>
          </reference>
          <reference field="23" count="1">
            <x v="1"/>
          </reference>
        </references>
      </pivotArea>
    </format>
    <format dxfId="1195">
      <pivotArea dataOnly="0" labelOnly="1" outline="0" fieldPosition="0">
        <references count="2">
          <reference field="6" count="1" selected="0">
            <x v="65"/>
          </reference>
          <reference field="23" count="1">
            <x v="2"/>
          </reference>
        </references>
      </pivotArea>
    </format>
    <format dxfId="1194">
      <pivotArea dataOnly="0" labelOnly="1" outline="0" fieldPosition="0">
        <references count="2">
          <reference field="6" count="1" selected="0">
            <x v="66"/>
          </reference>
          <reference field="23" count="1">
            <x v="1"/>
          </reference>
        </references>
      </pivotArea>
    </format>
    <format dxfId="1193">
      <pivotArea dataOnly="0" labelOnly="1" outline="0" fieldPosition="0">
        <references count="2">
          <reference field="6" count="1" selected="0">
            <x v="67"/>
          </reference>
          <reference field="23" count="1">
            <x v="2"/>
          </reference>
        </references>
      </pivotArea>
    </format>
    <format dxfId="1192">
      <pivotArea dataOnly="0" labelOnly="1" outline="0" fieldPosition="0">
        <references count="2">
          <reference field="6" count="1" selected="0">
            <x v="68"/>
          </reference>
          <reference field="23" count="1">
            <x v="1"/>
          </reference>
        </references>
      </pivotArea>
    </format>
    <format dxfId="1191">
      <pivotArea dataOnly="0" labelOnly="1" outline="0" fieldPosition="0">
        <references count="2">
          <reference field="6" count="1" selected="0">
            <x v="69"/>
          </reference>
          <reference field="23" count="1">
            <x v="1"/>
          </reference>
        </references>
      </pivotArea>
    </format>
    <format dxfId="1190">
      <pivotArea dataOnly="0" labelOnly="1" outline="0" fieldPosition="0">
        <references count="2">
          <reference field="6" count="1" selected="0">
            <x v="70"/>
          </reference>
          <reference field="23" count="1">
            <x v="1"/>
          </reference>
        </references>
      </pivotArea>
    </format>
    <format dxfId="1189">
      <pivotArea dataOnly="0" labelOnly="1" outline="0" fieldPosition="0">
        <references count="2">
          <reference field="6" count="1" selected="0">
            <x v="71"/>
          </reference>
          <reference field="23" count="1">
            <x v="2"/>
          </reference>
        </references>
      </pivotArea>
    </format>
    <format dxfId="1188">
      <pivotArea dataOnly="0" labelOnly="1" outline="0" fieldPosition="0">
        <references count="2">
          <reference field="6" count="1" selected="0">
            <x v="72"/>
          </reference>
          <reference field="23" count="1">
            <x v="4"/>
          </reference>
        </references>
      </pivotArea>
    </format>
    <format dxfId="1187">
      <pivotArea dataOnly="0" labelOnly="1" outline="0" fieldPosition="0">
        <references count="2">
          <reference field="6" count="1" selected="0">
            <x v="73"/>
          </reference>
          <reference field="23" count="1">
            <x v="4"/>
          </reference>
        </references>
      </pivotArea>
    </format>
    <format dxfId="1186">
      <pivotArea field="23" type="button" dataOnly="0" labelOnly="1" outline="0" axis="axisRow" fieldPosition="1"/>
    </format>
    <format dxfId="1185">
      <pivotArea field="6" type="button" dataOnly="0" labelOnly="1" outline="0" axis="axisRow" fieldPosition="0"/>
    </format>
    <format dxfId="1184">
      <pivotArea field="23" type="button" dataOnly="0" labelOnly="1" outline="0" axis="axisRow" fieldPosition="1"/>
    </format>
    <format dxfId="1183">
      <pivotArea dataOnly="0" labelOnly="1" outline="0" fieldPosition="0">
        <references count="1">
          <reference field="6" count="14">
            <x v="0"/>
            <x v="12"/>
            <x v="13"/>
            <x v="39"/>
            <x v="45"/>
            <x v="46"/>
            <x v="49"/>
            <x v="58"/>
            <x v="60"/>
            <x v="61"/>
            <x v="63"/>
            <x v="68"/>
            <x v="69"/>
            <x v="70"/>
          </reference>
        </references>
      </pivotArea>
    </format>
    <format dxfId="1182">
      <pivotArea dataOnly="0" labelOnly="1" outline="0" fieldPosition="0">
        <references count="1">
          <reference field="6" count="14">
            <x v="0"/>
            <x v="12"/>
            <x v="13"/>
            <x v="39"/>
            <x v="45"/>
            <x v="46"/>
            <x v="49"/>
            <x v="58"/>
            <x v="60"/>
            <x v="61"/>
            <x v="63"/>
            <x v="68"/>
            <x v="69"/>
            <x v="70"/>
          </reference>
        </references>
      </pivotArea>
    </format>
    <format dxfId="1181">
      <pivotArea dataOnly="0" labelOnly="1" outline="0" fieldPosition="0">
        <references count="1">
          <reference field="6" count="1">
            <x v="70"/>
          </reference>
        </references>
      </pivotArea>
    </format>
    <format dxfId="1180">
      <pivotArea dataOnly="0" labelOnly="1" outline="0" fieldPosition="0">
        <references count="1">
          <reference field="6" count="1">
            <x v="70"/>
          </reference>
        </references>
      </pivotArea>
    </format>
    <format dxfId="1179">
      <pivotArea dataOnly="0" labelOnly="1" outline="0" fieldPosition="0">
        <references count="2">
          <reference field="6" count="1" selected="0">
            <x v="0"/>
          </reference>
          <reference field="23" count="1">
            <x v="1"/>
          </reference>
        </references>
      </pivotArea>
    </format>
    <format dxfId="1178">
      <pivotArea dataOnly="0" labelOnly="1" outline="0" fieldPosition="0">
        <references count="2">
          <reference field="6" count="1" selected="0">
            <x v="1"/>
          </reference>
          <reference field="23" count="1">
            <x v="1"/>
          </reference>
        </references>
      </pivotArea>
    </format>
    <format dxfId="1177">
      <pivotArea dataOnly="0" labelOnly="1" outline="0" fieldPosition="0">
        <references count="2">
          <reference field="6" count="1" selected="0">
            <x v="2"/>
          </reference>
          <reference field="23" count="1">
            <x v="1"/>
          </reference>
        </references>
      </pivotArea>
    </format>
    <format dxfId="1176">
      <pivotArea dataOnly="0" labelOnly="1" outline="0" fieldPosition="0">
        <references count="2">
          <reference field="6" count="1" selected="0">
            <x v="3"/>
          </reference>
          <reference field="23" count="1">
            <x v="0"/>
          </reference>
        </references>
      </pivotArea>
    </format>
    <format dxfId="1175">
      <pivotArea dataOnly="0" labelOnly="1" outline="0" fieldPosition="0">
        <references count="2">
          <reference field="6" count="1" selected="0">
            <x v="4"/>
          </reference>
          <reference field="23" count="1">
            <x v="2"/>
          </reference>
        </references>
      </pivotArea>
    </format>
    <format dxfId="1174">
      <pivotArea dataOnly="0" labelOnly="1" outline="0" fieldPosition="0">
        <references count="2">
          <reference field="6" count="1" selected="0">
            <x v="5"/>
          </reference>
          <reference field="23" count="1">
            <x v="1"/>
          </reference>
        </references>
      </pivotArea>
    </format>
    <format dxfId="1173">
      <pivotArea dataOnly="0" labelOnly="1" outline="0" fieldPosition="0">
        <references count="2">
          <reference field="6" count="1" selected="0">
            <x v="6"/>
          </reference>
          <reference field="23" count="1">
            <x v="1"/>
          </reference>
        </references>
      </pivotArea>
    </format>
    <format dxfId="1172">
      <pivotArea dataOnly="0" labelOnly="1" outline="0" fieldPosition="0">
        <references count="2">
          <reference field="6" count="1" selected="0">
            <x v="7"/>
          </reference>
          <reference field="23" count="1">
            <x v="3"/>
          </reference>
        </references>
      </pivotArea>
    </format>
    <format dxfId="1171">
      <pivotArea dataOnly="0" labelOnly="1" outline="0" fieldPosition="0">
        <references count="2">
          <reference field="6" count="1" selected="0">
            <x v="8"/>
          </reference>
          <reference field="23" count="1">
            <x v="1"/>
          </reference>
        </references>
      </pivotArea>
    </format>
    <format dxfId="1170">
      <pivotArea dataOnly="0" labelOnly="1" outline="0" fieldPosition="0">
        <references count="2">
          <reference field="6" count="1" selected="0">
            <x v="9"/>
          </reference>
          <reference field="23" count="1">
            <x v="2"/>
          </reference>
        </references>
      </pivotArea>
    </format>
    <format dxfId="1169">
      <pivotArea dataOnly="0" labelOnly="1" outline="0" fieldPosition="0">
        <references count="2">
          <reference field="6" count="1" selected="0">
            <x v="10"/>
          </reference>
          <reference field="23" count="1">
            <x v="1"/>
          </reference>
        </references>
      </pivotArea>
    </format>
    <format dxfId="1168">
      <pivotArea dataOnly="0" labelOnly="1" outline="0" fieldPosition="0">
        <references count="2">
          <reference field="6" count="1" selected="0">
            <x v="11"/>
          </reference>
          <reference field="23" count="1">
            <x v="1"/>
          </reference>
        </references>
      </pivotArea>
    </format>
    <format dxfId="1167">
      <pivotArea dataOnly="0" labelOnly="1" outline="0" fieldPosition="0">
        <references count="2">
          <reference field="6" count="1" selected="0">
            <x v="12"/>
          </reference>
          <reference field="23" count="1">
            <x v="1"/>
          </reference>
        </references>
      </pivotArea>
    </format>
    <format dxfId="1166">
      <pivotArea dataOnly="0" labelOnly="1" outline="0" fieldPosition="0">
        <references count="2">
          <reference field="6" count="1" selected="0">
            <x v="13"/>
          </reference>
          <reference field="23" count="1">
            <x v="1"/>
          </reference>
        </references>
      </pivotArea>
    </format>
    <format dxfId="1165">
      <pivotArea dataOnly="0" labelOnly="1" outline="0" fieldPosition="0">
        <references count="2">
          <reference field="6" count="1" selected="0">
            <x v="14"/>
          </reference>
          <reference field="23" count="1">
            <x v="2"/>
          </reference>
        </references>
      </pivotArea>
    </format>
    <format dxfId="1164">
      <pivotArea dataOnly="0" labelOnly="1" outline="0" fieldPosition="0">
        <references count="2">
          <reference field="6" count="1" selected="0">
            <x v="15"/>
          </reference>
          <reference field="23" count="1">
            <x v="1"/>
          </reference>
        </references>
      </pivotArea>
    </format>
    <format dxfId="1163">
      <pivotArea dataOnly="0" labelOnly="1" outline="0" fieldPosition="0">
        <references count="2">
          <reference field="6" count="1" selected="0">
            <x v="16"/>
          </reference>
          <reference field="23" count="1">
            <x v="1"/>
          </reference>
        </references>
      </pivotArea>
    </format>
    <format dxfId="1162">
      <pivotArea dataOnly="0" labelOnly="1" outline="0" fieldPosition="0">
        <references count="2">
          <reference field="6" count="1" selected="0">
            <x v="17"/>
          </reference>
          <reference field="23" count="1">
            <x v="1"/>
          </reference>
        </references>
      </pivotArea>
    </format>
    <format dxfId="1161">
      <pivotArea dataOnly="0" labelOnly="1" outline="0" fieldPosition="0">
        <references count="2">
          <reference field="6" count="1" selected="0">
            <x v="18"/>
          </reference>
          <reference field="23" count="1">
            <x v="1"/>
          </reference>
        </references>
      </pivotArea>
    </format>
    <format dxfId="1160">
      <pivotArea dataOnly="0" labelOnly="1" outline="0" fieldPosition="0">
        <references count="2">
          <reference field="6" count="1" selected="0">
            <x v="19"/>
          </reference>
          <reference field="23" count="1">
            <x v="1"/>
          </reference>
        </references>
      </pivotArea>
    </format>
    <format dxfId="1159">
      <pivotArea dataOnly="0" labelOnly="1" outline="0" fieldPosition="0">
        <references count="2">
          <reference field="6" count="1" selected="0">
            <x v="20"/>
          </reference>
          <reference field="23" count="1">
            <x v="1"/>
          </reference>
        </references>
      </pivotArea>
    </format>
    <format dxfId="1158">
      <pivotArea dataOnly="0" labelOnly="1" outline="0" fieldPosition="0">
        <references count="2">
          <reference field="6" count="1" selected="0">
            <x v="21"/>
          </reference>
          <reference field="23" count="1">
            <x v="1"/>
          </reference>
        </references>
      </pivotArea>
    </format>
    <format dxfId="1157">
      <pivotArea dataOnly="0" labelOnly="1" outline="0" fieldPosition="0">
        <references count="2">
          <reference field="6" count="1" selected="0">
            <x v="23"/>
          </reference>
          <reference field="23" count="1">
            <x v="1"/>
          </reference>
        </references>
      </pivotArea>
    </format>
    <format dxfId="1156">
      <pivotArea dataOnly="0" labelOnly="1" outline="0" fieldPosition="0">
        <references count="2">
          <reference field="6" count="1" selected="0">
            <x v="24"/>
          </reference>
          <reference field="23" count="1">
            <x v="1"/>
          </reference>
        </references>
      </pivotArea>
    </format>
    <format dxfId="1155">
      <pivotArea dataOnly="0" labelOnly="1" outline="0" fieldPosition="0">
        <references count="2">
          <reference field="6" count="1" selected="0">
            <x v="25"/>
          </reference>
          <reference field="23" count="1">
            <x v="1"/>
          </reference>
        </references>
      </pivotArea>
    </format>
    <format dxfId="1154">
      <pivotArea dataOnly="0" labelOnly="1" outline="0" fieldPosition="0">
        <references count="2">
          <reference field="6" count="1" selected="0">
            <x v="26"/>
          </reference>
          <reference field="23" count="1">
            <x v="1"/>
          </reference>
        </references>
      </pivotArea>
    </format>
    <format dxfId="1153">
      <pivotArea dataOnly="0" labelOnly="1" outline="0" fieldPosition="0">
        <references count="2">
          <reference field="6" count="1" selected="0">
            <x v="27"/>
          </reference>
          <reference field="23" count="1">
            <x v="1"/>
          </reference>
        </references>
      </pivotArea>
    </format>
    <format dxfId="1152">
      <pivotArea dataOnly="0" labelOnly="1" outline="0" fieldPosition="0">
        <references count="2">
          <reference field="6" count="1" selected="0">
            <x v="28"/>
          </reference>
          <reference field="23" count="1">
            <x v="1"/>
          </reference>
        </references>
      </pivotArea>
    </format>
    <format dxfId="1151">
      <pivotArea dataOnly="0" labelOnly="1" outline="0" fieldPosition="0">
        <references count="2">
          <reference field="6" count="1" selected="0">
            <x v="29"/>
          </reference>
          <reference field="23" count="1">
            <x v="1"/>
          </reference>
        </references>
      </pivotArea>
    </format>
    <format dxfId="1150">
      <pivotArea dataOnly="0" labelOnly="1" outline="0" fieldPosition="0">
        <references count="2">
          <reference field="6" count="1" selected="0">
            <x v="30"/>
          </reference>
          <reference field="23" count="1">
            <x v="1"/>
          </reference>
        </references>
      </pivotArea>
    </format>
    <format dxfId="1149">
      <pivotArea dataOnly="0" labelOnly="1" outline="0" fieldPosition="0">
        <references count="2">
          <reference field="6" count="1" selected="0">
            <x v="31"/>
          </reference>
          <reference field="23" count="1">
            <x v="1"/>
          </reference>
        </references>
      </pivotArea>
    </format>
    <format dxfId="1148">
      <pivotArea dataOnly="0" labelOnly="1" outline="0" fieldPosition="0">
        <references count="2">
          <reference field="6" count="1" selected="0">
            <x v="32"/>
          </reference>
          <reference field="23" count="1">
            <x v="1"/>
          </reference>
        </references>
      </pivotArea>
    </format>
    <format dxfId="1147">
      <pivotArea dataOnly="0" labelOnly="1" outline="0" fieldPosition="0">
        <references count="2">
          <reference field="6" count="1" selected="0">
            <x v="33"/>
          </reference>
          <reference field="23" count="1">
            <x v="1"/>
          </reference>
        </references>
      </pivotArea>
    </format>
    <format dxfId="1146">
      <pivotArea dataOnly="0" labelOnly="1" outline="0" fieldPosition="0">
        <references count="2">
          <reference field="6" count="1" selected="0">
            <x v="34"/>
          </reference>
          <reference field="23" count="1">
            <x v="1"/>
          </reference>
        </references>
      </pivotArea>
    </format>
    <format dxfId="1145">
      <pivotArea dataOnly="0" labelOnly="1" outline="0" fieldPosition="0">
        <references count="2">
          <reference field="6" count="1" selected="0">
            <x v="35"/>
          </reference>
          <reference field="23" count="1">
            <x v="1"/>
          </reference>
        </references>
      </pivotArea>
    </format>
    <format dxfId="1144">
      <pivotArea dataOnly="0" labelOnly="1" outline="0" fieldPosition="0">
        <references count="2">
          <reference field="6" count="1" selected="0">
            <x v="36"/>
          </reference>
          <reference field="23" count="1">
            <x v="0"/>
          </reference>
        </references>
      </pivotArea>
    </format>
    <format dxfId="1143">
      <pivotArea dataOnly="0" labelOnly="1" outline="0" fieldPosition="0">
        <references count="2">
          <reference field="6" count="1" selected="0">
            <x v="37"/>
          </reference>
          <reference field="23" count="1">
            <x v="1"/>
          </reference>
        </references>
      </pivotArea>
    </format>
    <format dxfId="1142">
      <pivotArea dataOnly="0" labelOnly="1" outline="0" fieldPosition="0">
        <references count="2">
          <reference field="6" count="1" selected="0">
            <x v="38"/>
          </reference>
          <reference field="23" count="1">
            <x v="1"/>
          </reference>
        </references>
      </pivotArea>
    </format>
    <format dxfId="1141">
      <pivotArea dataOnly="0" labelOnly="1" outline="0" fieldPosition="0">
        <references count="2">
          <reference field="6" count="1" selected="0">
            <x v="39"/>
          </reference>
          <reference field="23" count="1">
            <x v="1"/>
          </reference>
        </references>
      </pivotArea>
    </format>
    <format dxfId="1140">
      <pivotArea dataOnly="0" labelOnly="1" outline="0" fieldPosition="0">
        <references count="2">
          <reference field="6" count="1" selected="0">
            <x v="40"/>
          </reference>
          <reference field="23" count="1">
            <x v="1"/>
          </reference>
        </references>
      </pivotArea>
    </format>
    <format dxfId="1139">
      <pivotArea dataOnly="0" labelOnly="1" outline="0" fieldPosition="0">
        <references count="2">
          <reference field="6" count="1" selected="0">
            <x v="41"/>
          </reference>
          <reference field="23" count="1">
            <x v="1"/>
          </reference>
        </references>
      </pivotArea>
    </format>
    <format dxfId="1138">
      <pivotArea dataOnly="0" labelOnly="1" outline="0" fieldPosition="0">
        <references count="2">
          <reference field="6" count="1" selected="0">
            <x v="42"/>
          </reference>
          <reference field="23" count="1">
            <x v="1"/>
          </reference>
        </references>
      </pivotArea>
    </format>
    <format dxfId="1137">
      <pivotArea dataOnly="0" labelOnly="1" outline="0" fieldPosition="0">
        <references count="2">
          <reference field="6" count="1" selected="0">
            <x v="43"/>
          </reference>
          <reference field="23" count="1">
            <x v="0"/>
          </reference>
        </references>
      </pivotArea>
    </format>
    <format dxfId="1136">
      <pivotArea dataOnly="0" labelOnly="1" outline="0" fieldPosition="0">
        <references count="2">
          <reference field="6" count="1" selected="0">
            <x v="44"/>
          </reference>
          <reference field="23" count="1">
            <x v="3"/>
          </reference>
        </references>
      </pivotArea>
    </format>
    <format dxfId="1135">
      <pivotArea dataOnly="0" labelOnly="1" outline="0" fieldPosition="0">
        <references count="2">
          <reference field="6" count="1" selected="0">
            <x v="45"/>
          </reference>
          <reference field="23" count="1">
            <x v="1"/>
          </reference>
        </references>
      </pivotArea>
    </format>
    <format dxfId="1134">
      <pivotArea dataOnly="0" labelOnly="1" outline="0" fieldPosition="0">
        <references count="2">
          <reference field="6" count="1" selected="0">
            <x v="46"/>
          </reference>
          <reference field="23" count="1">
            <x v="1"/>
          </reference>
        </references>
      </pivotArea>
    </format>
    <format dxfId="1133">
      <pivotArea dataOnly="0" labelOnly="1" outline="0" fieldPosition="0">
        <references count="2">
          <reference field="6" count="1" selected="0">
            <x v="47"/>
          </reference>
          <reference field="23" count="1">
            <x v="0"/>
          </reference>
        </references>
      </pivotArea>
    </format>
    <format dxfId="1132">
      <pivotArea dataOnly="0" labelOnly="1" outline="0" fieldPosition="0">
        <references count="2">
          <reference field="6" count="1" selected="0">
            <x v="48"/>
          </reference>
          <reference field="23" count="1">
            <x v="2"/>
          </reference>
        </references>
      </pivotArea>
    </format>
    <format dxfId="1131">
      <pivotArea dataOnly="0" labelOnly="1" outline="0" fieldPosition="0">
        <references count="2">
          <reference field="6" count="1" selected="0">
            <x v="49"/>
          </reference>
          <reference field="23" count="1">
            <x v="1"/>
          </reference>
        </references>
      </pivotArea>
    </format>
    <format dxfId="1130">
      <pivotArea dataOnly="0" labelOnly="1" outline="0" fieldPosition="0">
        <references count="2">
          <reference field="6" count="1" selected="0">
            <x v="50"/>
          </reference>
          <reference field="23" count="1">
            <x v="1"/>
          </reference>
        </references>
      </pivotArea>
    </format>
    <format dxfId="1129">
      <pivotArea dataOnly="0" labelOnly="1" outline="0" fieldPosition="0">
        <references count="2">
          <reference field="6" count="1" selected="0">
            <x v="51"/>
          </reference>
          <reference field="23" count="1">
            <x v="1"/>
          </reference>
        </references>
      </pivotArea>
    </format>
    <format dxfId="1128">
      <pivotArea dataOnly="0" labelOnly="1" outline="0" fieldPosition="0">
        <references count="2">
          <reference field="6" count="1" selected="0">
            <x v="52"/>
          </reference>
          <reference field="23" count="1">
            <x v="2"/>
          </reference>
        </references>
      </pivotArea>
    </format>
    <format dxfId="1127">
      <pivotArea dataOnly="0" labelOnly="1" outline="0" fieldPosition="0">
        <references count="2">
          <reference field="6" count="1" selected="0">
            <x v="53"/>
          </reference>
          <reference field="23" count="1">
            <x v="0"/>
          </reference>
        </references>
      </pivotArea>
    </format>
    <format dxfId="1126">
      <pivotArea dataOnly="0" labelOnly="1" outline="0" fieldPosition="0">
        <references count="2">
          <reference field="6" count="1" selected="0">
            <x v="54"/>
          </reference>
          <reference field="23" count="1">
            <x v="2"/>
          </reference>
        </references>
      </pivotArea>
    </format>
    <format dxfId="1125">
      <pivotArea dataOnly="0" labelOnly="1" outline="0" fieldPosition="0">
        <references count="2">
          <reference field="6" count="1" selected="0">
            <x v="55"/>
          </reference>
          <reference field="23" count="1">
            <x v="2"/>
          </reference>
        </references>
      </pivotArea>
    </format>
    <format dxfId="1124">
      <pivotArea dataOnly="0" labelOnly="1" outline="0" fieldPosition="0">
        <references count="2">
          <reference field="6" count="1" selected="0">
            <x v="56"/>
          </reference>
          <reference field="23" count="1">
            <x v="1"/>
          </reference>
        </references>
      </pivotArea>
    </format>
    <format dxfId="1123">
      <pivotArea dataOnly="0" labelOnly="1" outline="0" fieldPosition="0">
        <references count="2">
          <reference field="6" count="1" selected="0">
            <x v="57"/>
          </reference>
          <reference field="23" count="1">
            <x v="1"/>
          </reference>
        </references>
      </pivotArea>
    </format>
    <format dxfId="1122">
      <pivotArea dataOnly="0" labelOnly="1" outline="0" fieldPosition="0">
        <references count="2">
          <reference field="6" count="1" selected="0">
            <x v="58"/>
          </reference>
          <reference field="23" count="1">
            <x v="1"/>
          </reference>
        </references>
      </pivotArea>
    </format>
    <format dxfId="1121">
      <pivotArea dataOnly="0" labelOnly="1" outline="0" fieldPosition="0">
        <references count="2">
          <reference field="6" count="1" selected="0">
            <x v="59"/>
          </reference>
          <reference field="23" count="1">
            <x v="1"/>
          </reference>
        </references>
      </pivotArea>
    </format>
    <format dxfId="1120">
      <pivotArea dataOnly="0" labelOnly="1" outline="0" fieldPosition="0">
        <references count="2">
          <reference field="6" count="1" selected="0">
            <x v="60"/>
          </reference>
          <reference field="23" count="1">
            <x v="1"/>
          </reference>
        </references>
      </pivotArea>
    </format>
    <format dxfId="1119">
      <pivotArea dataOnly="0" labelOnly="1" outline="0" fieldPosition="0">
        <references count="2">
          <reference field="6" count="1" selected="0">
            <x v="61"/>
          </reference>
          <reference field="23" count="1">
            <x v="1"/>
          </reference>
        </references>
      </pivotArea>
    </format>
    <format dxfId="1118">
      <pivotArea dataOnly="0" labelOnly="1" outline="0" fieldPosition="0">
        <references count="2">
          <reference field="6" count="1" selected="0">
            <x v="62"/>
          </reference>
          <reference field="23" count="1">
            <x v="1"/>
          </reference>
        </references>
      </pivotArea>
    </format>
    <format dxfId="1117">
      <pivotArea dataOnly="0" labelOnly="1" outline="0" fieldPosition="0">
        <references count="2">
          <reference field="6" count="1" selected="0">
            <x v="63"/>
          </reference>
          <reference field="23" count="1">
            <x v="1"/>
          </reference>
        </references>
      </pivotArea>
    </format>
    <format dxfId="1116">
      <pivotArea dataOnly="0" labelOnly="1" outline="0" fieldPosition="0">
        <references count="2">
          <reference field="6" count="1" selected="0">
            <x v="64"/>
          </reference>
          <reference field="23" count="1">
            <x v="3"/>
          </reference>
        </references>
      </pivotArea>
    </format>
    <format dxfId="1115">
      <pivotArea dataOnly="0" labelOnly="1" outline="0" fieldPosition="0">
        <references count="2">
          <reference field="6" count="1" selected="0">
            <x v="65"/>
          </reference>
          <reference field="23" count="1">
            <x v="2"/>
          </reference>
        </references>
      </pivotArea>
    </format>
    <format dxfId="1114">
      <pivotArea dataOnly="0" labelOnly="1" outline="0" fieldPosition="0">
        <references count="2">
          <reference field="6" count="1" selected="0">
            <x v="66"/>
          </reference>
          <reference field="23" count="1">
            <x v="2"/>
          </reference>
        </references>
      </pivotArea>
    </format>
    <format dxfId="1113">
      <pivotArea dataOnly="0" labelOnly="1" outline="0" fieldPosition="0">
        <references count="2">
          <reference field="6" count="1" selected="0">
            <x v="67"/>
          </reference>
          <reference field="23" count="1">
            <x v="2"/>
          </reference>
        </references>
      </pivotArea>
    </format>
    <format dxfId="1112">
      <pivotArea dataOnly="0" labelOnly="1" outline="0" fieldPosition="0">
        <references count="2">
          <reference field="6" count="1" selected="0">
            <x v="68"/>
          </reference>
          <reference field="23" count="1">
            <x v="1"/>
          </reference>
        </references>
      </pivotArea>
    </format>
    <format dxfId="1111">
      <pivotArea dataOnly="0" labelOnly="1" outline="0" fieldPosition="0">
        <references count="2">
          <reference field="6" count="1" selected="0">
            <x v="69"/>
          </reference>
          <reference field="23" count="1">
            <x v="3"/>
          </reference>
        </references>
      </pivotArea>
    </format>
    <format dxfId="1110">
      <pivotArea dataOnly="0" labelOnly="1" outline="0" fieldPosition="0">
        <references count="2">
          <reference field="6" count="1" selected="0">
            <x v="70"/>
          </reference>
          <reference field="23" count="1">
            <x v="3"/>
          </reference>
        </references>
      </pivotArea>
    </format>
    <format dxfId="1109">
      <pivotArea dataOnly="0" labelOnly="1" outline="0" fieldPosition="0">
        <references count="2">
          <reference field="6" count="1" selected="0">
            <x v="71"/>
          </reference>
          <reference field="23" count="1">
            <x v="2"/>
          </reference>
        </references>
      </pivotArea>
    </format>
    <format dxfId="1108">
      <pivotArea dataOnly="0" labelOnly="1" outline="0" fieldPosition="0">
        <references count="2">
          <reference field="6" count="1" selected="0">
            <x v="72"/>
          </reference>
          <reference field="23" count="1">
            <x v="1"/>
          </reference>
        </references>
      </pivotArea>
    </format>
    <format dxfId="1107">
      <pivotArea dataOnly="0" labelOnly="1" outline="0" fieldPosition="0">
        <references count="2">
          <reference field="6" count="1" selected="0">
            <x v="73"/>
          </reference>
          <reference field="23" count="1">
            <x v="1"/>
          </reference>
        </references>
      </pivotArea>
    </format>
    <format dxfId="1106">
      <pivotArea dataOnly="0" labelOnly="1" outline="0" fieldPosition="0">
        <references count="2">
          <reference field="6" count="1" selected="0">
            <x v="74"/>
          </reference>
          <reference field="23" count="1">
            <x v="1"/>
          </reference>
        </references>
      </pivotArea>
    </format>
    <format dxfId="1105">
      <pivotArea dataOnly="0" labelOnly="1" outline="0" fieldPosition="0">
        <references count="2">
          <reference field="6" count="1" selected="0">
            <x v="0"/>
          </reference>
          <reference field="23" count="1">
            <x v="1"/>
          </reference>
        </references>
      </pivotArea>
    </format>
    <format dxfId="1104">
      <pivotArea dataOnly="0" labelOnly="1" outline="0" fieldPosition="0">
        <references count="2">
          <reference field="6" count="1" selected="0">
            <x v="1"/>
          </reference>
          <reference field="23" count="1">
            <x v="1"/>
          </reference>
        </references>
      </pivotArea>
    </format>
    <format dxfId="1103">
      <pivotArea dataOnly="0" labelOnly="1" outline="0" fieldPosition="0">
        <references count="2">
          <reference field="6" count="1" selected="0">
            <x v="2"/>
          </reference>
          <reference field="23" count="1">
            <x v="1"/>
          </reference>
        </references>
      </pivotArea>
    </format>
    <format dxfId="1102">
      <pivotArea dataOnly="0" labelOnly="1" outline="0" fieldPosition="0">
        <references count="2">
          <reference field="6" count="1" selected="0">
            <x v="3"/>
          </reference>
          <reference field="23" count="1">
            <x v="0"/>
          </reference>
        </references>
      </pivotArea>
    </format>
    <format dxfId="1101">
      <pivotArea dataOnly="0" labelOnly="1" outline="0" fieldPosition="0">
        <references count="2">
          <reference field="6" count="1" selected="0">
            <x v="4"/>
          </reference>
          <reference field="23" count="1">
            <x v="2"/>
          </reference>
        </references>
      </pivotArea>
    </format>
    <format dxfId="1100">
      <pivotArea dataOnly="0" labelOnly="1" outline="0" fieldPosition="0">
        <references count="2">
          <reference field="6" count="1" selected="0">
            <x v="5"/>
          </reference>
          <reference field="23" count="1">
            <x v="1"/>
          </reference>
        </references>
      </pivotArea>
    </format>
    <format dxfId="1099">
      <pivotArea dataOnly="0" labelOnly="1" outline="0" fieldPosition="0">
        <references count="2">
          <reference field="6" count="1" selected="0">
            <x v="6"/>
          </reference>
          <reference field="23" count="1">
            <x v="1"/>
          </reference>
        </references>
      </pivotArea>
    </format>
    <format dxfId="1098">
      <pivotArea dataOnly="0" labelOnly="1" outline="0" fieldPosition="0">
        <references count="2">
          <reference field="6" count="1" selected="0">
            <x v="7"/>
          </reference>
          <reference field="23" count="1">
            <x v="3"/>
          </reference>
        </references>
      </pivotArea>
    </format>
    <format dxfId="1097">
      <pivotArea dataOnly="0" labelOnly="1" outline="0" fieldPosition="0">
        <references count="2">
          <reference field="6" count="1" selected="0">
            <x v="8"/>
          </reference>
          <reference field="23" count="1">
            <x v="1"/>
          </reference>
        </references>
      </pivotArea>
    </format>
    <format dxfId="1096">
      <pivotArea dataOnly="0" labelOnly="1" outline="0" fieldPosition="0">
        <references count="2">
          <reference field="6" count="1" selected="0">
            <x v="9"/>
          </reference>
          <reference field="23" count="1">
            <x v="2"/>
          </reference>
        </references>
      </pivotArea>
    </format>
    <format dxfId="1095">
      <pivotArea dataOnly="0" labelOnly="1" outline="0" fieldPosition="0">
        <references count="2">
          <reference field="6" count="1" selected="0">
            <x v="10"/>
          </reference>
          <reference field="23" count="1">
            <x v="1"/>
          </reference>
        </references>
      </pivotArea>
    </format>
    <format dxfId="1094">
      <pivotArea dataOnly="0" labelOnly="1" outline="0" fieldPosition="0">
        <references count="2">
          <reference field="6" count="1" selected="0">
            <x v="11"/>
          </reference>
          <reference field="23" count="1">
            <x v="1"/>
          </reference>
        </references>
      </pivotArea>
    </format>
    <format dxfId="1093">
      <pivotArea dataOnly="0" labelOnly="1" outline="0" fieldPosition="0">
        <references count="2">
          <reference field="6" count="1" selected="0">
            <x v="12"/>
          </reference>
          <reference field="23" count="1">
            <x v="1"/>
          </reference>
        </references>
      </pivotArea>
    </format>
    <format dxfId="1092">
      <pivotArea dataOnly="0" labelOnly="1" outline="0" fieldPosition="0">
        <references count="2">
          <reference field="6" count="1" selected="0">
            <x v="13"/>
          </reference>
          <reference field="23" count="1">
            <x v="1"/>
          </reference>
        </references>
      </pivotArea>
    </format>
    <format dxfId="1091">
      <pivotArea dataOnly="0" labelOnly="1" outline="0" fieldPosition="0">
        <references count="2">
          <reference field="6" count="1" selected="0">
            <x v="14"/>
          </reference>
          <reference field="23" count="1">
            <x v="2"/>
          </reference>
        </references>
      </pivotArea>
    </format>
    <format dxfId="1090">
      <pivotArea dataOnly="0" labelOnly="1" outline="0" fieldPosition="0">
        <references count="2">
          <reference field="6" count="1" selected="0">
            <x v="15"/>
          </reference>
          <reference field="23" count="1">
            <x v="1"/>
          </reference>
        </references>
      </pivotArea>
    </format>
    <format dxfId="1089">
      <pivotArea dataOnly="0" labelOnly="1" outline="0" fieldPosition="0">
        <references count="2">
          <reference field="6" count="1" selected="0">
            <x v="16"/>
          </reference>
          <reference field="23" count="1">
            <x v="1"/>
          </reference>
        </references>
      </pivotArea>
    </format>
    <format dxfId="1088">
      <pivotArea dataOnly="0" labelOnly="1" outline="0" fieldPosition="0">
        <references count="2">
          <reference field="6" count="1" selected="0">
            <x v="17"/>
          </reference>
          <reference field="23" count="1">
            <x v="1"/>
          </reference>
        </references>
      </pivotArea>
    </format>
    <format dxfId="1087">
      <pivotArea dataOnly="0" labelOnly="1" outline="0" fieldPosition="0">
        <references count="2">
          <reference field="6" count="1" selected="0">
            <x v="18"/>
          </reference>
          <reference field="23" count="1">
            <x v="1"/>
          </reference>
        </references>
      </pivotArea>
    </format>
    <format dxfId="1086">
      <pivotArea dataOnly="0" labelOnly="1" outline="0" fieldPosition="0">
        <references count="2">
          <reference field="6" count="1" selected="0">
            <x v="19"/>
          </reference>
          <reference field="23" count="1">
            <x v="1"/>
          </reference>
        </references>
      </pivotArea>
    </format>
    <format dxfId="1085">
      <pivotArea dataOnly="0" labelOnly="1" outline="0" fieldPosition="0">
        <references count="2">
          <reference field="6" count="1" selected="0">
            <x v="20"/>
          </reference>
          <reference field="23" count="1">
            <x v="1"/>
          </reference>
        </references>
      </pivotArea>
    </format>
    <format dxfId="1084">
      <pivotArea dataOnly="0" labelOnly="1" outline="0" fieldPosition="0">
        <references count="2">
          <reference field="6" count="1" selected="0">
            <x v="21"/>
          </reference>
          <reference field="23" count="1">
            <x v="1"/>
          </reference>
        </references>
      </pivotArea>
    </format>
    <format dxfId="1083">
      <pivotArea dataOnly="0" labelOnly="1" outline="0" fieldPosition="0">
        <references count="2">
          <reference field="6" count="1" selected="0">
            <x v="23"/>
          </reference>
          <reference field="23" count="1">
            <x v="1"/>
          </reference>
        </references>
      </pivotArea>
    </format>
    <format dxfId="1082">
      <pivotArea dataOnly="0" labelOnly="1" outline="0" fieldPosition="0">
        <references count="2">
          <reference field="6" count="1" selected="0">
            <x v="24"/>
          </reference>
          <reference field="23" count="1">
            <x v="1"/>
          </reference>
        </references>
      </pivotArea>
    </format>
    <format dxfId="1081">
      <pivotArea dataOnly="0" labelOnly="1" outline="0" fieldPosition="0">
        <references count="2">
          <reference field="6" count="1" selected="0">
            <x v="25"/>
          </reference>
          <reference field="23" count="1">
            <x v="1"/>
          </reference>
        </references>
      </pivotArea>
    </format>
    <format dxfId="1080">
      <pivotArea dataOnly="0" labelOnly="1" outline="0" fieldPosition="0">
        <references count="2">
          <reference field="6" count="1" selected="0">
            <x v="26"/>
          </reference>
          <reference field="23" count="1">
            <x v="1"/>
          </reference>
        </references>
      </pivotArea>
    </format>
    <format dxfId="1079">
      <pivotArea dataOnly="0" labelOnly="1" outline="0" fieldPosition="0">
        <references count="2">
          <reference field="6" count="1" selected="0">
            <x v="27"/>
          </reference>
          <reference field="23" count="1">
            <x v="1"/>
          </reference>
        </references>
      </pivotArea>
    </format>
    <format dxfId="1078">
      <pivotArea dataOnly="0" labelOnly="1" outline="0" fieldPosition="0">
        <references count="2">
          <reference field="6" count="1" selected="0">
            <x v="28"/>
          </reference>
          <reference field="23" count="1">
            <x v="1"/>
          </reference>
        </references>
      </pivotArea>
    </format>
    <format dxfId="1077">
      <pivotArea dataOnly="0" labelOnly="1" outline="0" fieldPosition="0">
        <references count="2">
          <reference field="6" count="1" selected="0">
            <x v="29"/>
          </reference>
          <reference field="23" count="1">
            <x v="1"/>
          </reference>
        </references>
      </pivotArea>
    </format>
    <format dxfId="1076">
      <pivotArea dataOnly="0" labelOnly="1" outline="0" fieldPosition="0">
        <references count="2">
          <reference field="6" count="1" selected="0">
            <x v="30"/>
          </reference>
          <reference field="23" count="1">
            <x v="1"/>
          </reference>
        </references>
      </pivotArea>
    </format>
    <format dxfId="1075">
      <pivotArea dataOnly="0" labelOnly="1" outline="0" fieldPosition="0">
        <references count="2">
          <reference field="6" count="1" selected="0">
            <x v="31"/>
          </reference>
          <reference field="23" count="1">
            <x v="1"/>
          </reference>
        </references>
      </pivotArea>
    </format>
    <format dxfId="1074">
      <pivotArea dataOnly="0" labelOnly="1" outline="0" fieldPosition="0">
        <references count="2">
          <reference field="6" count="1" selected="0">
            <x v="32"/>
          </reference>
          <reference field="23" count="1">
            <x v="1"/>
          </reference>
        </references>
      </pivotArea>
    </format>
    <format dxfId="1073">
      <pivotArea dataOnly="0" labelOnly="1" outline="0" fieldPosition="0">
        <references count="2">
          <reference field="6" count="1" selected="0">
            <x v="33"/>
          </reference>
          <reference field="23" count="1">
            <x v="1"/>
          </reference>
        </references>
      </pivotArea>
    </format>
    <format dxfId="1072">
      <pivotArea dataOnly="0" labelOnly="1" outline="0" fieldPosition="0">
        <references count="2">
          <reference field="6" count="1" selected="0">
            <x v="34"/>
          </reference>
          <reference field="23" count="1">
            <x v="1"/>
          </reference>
        </references>
      </pivotArea>
    </format>
    <format dxfId="1071">
      <pivotArea dataOnly="0" labelOnly="1" outline="0" fieldPosition="0">
        <references count="2">
          <reference field="6" count="1" selected="0">
            <x v="35"/>
          </reference>
          <reference field="23" count="1">
            <x v="1"/>
          </reference>
        </references>
      </pivotArea>
    </format>
    <format dxfId="1070">
      <pivotArea dataOnly="0" labelOnly="1" outline="0" fieldPosition="0">
        <references count="2">
          <reference field="6" count="1" selected="0">
            <x v="36"/>
          </reference>
          <reference field="23" count="1">
            <x v="0"/>
          </reference>
        </references>
      </pivotArea>
    </format>
    <format dxfId="1069">
      <pivotArea dataOnly="0" labelOnly="1" outline="0" fieldPosition="0">
        <references count="2">
          <reference field="6" count="1" selected="0">
            <x v="37"/>
          </reference>
          <reference field="23" count="1">
            <x v="1"/>
          </reference>
        </references>
      </pivotArea>
    </format>
    <format dxfId="1068">
      <pivotArea dataOnly="0" labelOnly="1" outline="0" fieldPosition="0">
        <references count="2">
          <reference field="6" count="1" selected="0">
            <x v="38"/>
          </reference>
          <reference field="23" count="1">
            <x v="1"/>
          </reference>
        </references>
      </pivotArea>
    </format>
    <format dxfId="1067">
      <pivotArea dataOnly="0" labelOnly="1" outline="0" fieldPosition="0">
        <references count="2">
          <reference field="6" count="1" selected="0">
            <x v="39"/>
          </reference>
          <reference field="23" count="1">
            <x v="1"/>
          </reference>
        </references>
      </pivotArea>
    </format>
    <format dxfId="1066">
      <pivotArea dataOnly="0" labelOnly="1" outline="0" fieldPosition="0">
        <references count="2">
          <reference field="6" count="1" selected="0">
            <x v="40"/>
          </reference>
          <reference field="23" count="1">
            <x v="1"/>
          </reference>
        </references>
      </pivotArea>
    </format>
    <format dxfId="1065">
      <pivotArea dataOnly="0" labelOnly="1" outline="0" fieldPosition="0">
        <references count="2">
          <reference field="6" count="1" selected="0">
            <x v="41"/>
          </reference>
          <reference field="23" count="1">
            <x v="1"/>
          </reference>
        </references>
      </pivotArea>
    </format>
    <format dxfId="1064">
      <pivotArea dataOnly="0" labelOnly="1" outline="0" fieldPosition="0">
        <references count="2">
          <reference field="6" count="1" selected="0">
            <x v="42"/>
          </reference>
          <reference field="23" count="1">
            <x v="1"/>
          </reference>
        </references>
      </pivotArea>
    </format>
    <format dxfId="1063">
      <pivotArea dataOnly="0" labelOnly="1" outline="0" fieldPosition="0">
        <references count="2">
          <reference field="6" count="1" selected="0">
            <x v="43"/>
          </reference>
          <reference field="23" count="1">
            <x v="0"/>
          </reference>
        </references>
      </pivotArea>
    </format>
    <format dxfId="1062">
      <pivotArea dataOnly="0" labelOnly="1" outline="0" fieldPosition="0">
        <references count="2">
          <reference field="6" count="1" selected="0">
            <x v="44"/>
          </reference>
          <reference field="23" count="1">
            <x v="3"/>
          </reference>
        </references>
      </pivotArea>
    </format>
    <format dxfId="1061">
      <pivotArea dataOnly="0" labelOnly="1" outline="0" fieldPosition="0">
        <references count="2">
          <reference field="6" count="1" selected="0">
            <x v="45"/>
          </reference>
          <reference field="23" count="1">
            <x v="1"/>
          </reference>
        </references>
      </pivotArea>
    </format>
    <format dxfId="1060">
      <pivotArea dataOnly="0" labelOnly="1" outline="0" fieldPosition="0">
        <references count="2">
          <reference field="6" count="1" selected="0">
            <x v="46"/>
          </reference>
          <reference field="23" count="1">
            <x v="1"/>
          </reference>
        </references>
      </pivotArea>
    </format>
    <format dxfId="1059">
      <pivotArea dataOnly="0" labelOnly="1" outline="0" fieldPosition="0">
        <references count="2">
          <reference field="6" count="1" selected="0">
            <x v="47"/>
          </reference>
          <reference field="23" count="1">
            <x v="0"/>
          </reference>
        </references>
      </pivotArea>
    </format>
    <format dxfId="1058">
      <pivotArea dataOnly="0" labelOnly="1" outline="0" fieldPosition="0">
        <references count="2">
          <reference field="6" count="1" selected="0">
            <x v="48"/>
          </reference>
          <reference field="23" count="1">
            <x v="2"/>
          </reference>
        </references>
      </pivotArea>
    </format>
    <format dxfId="1057">
      <pivotArea dataOnly="0" labelOnly="1" outline="0" fieldPosition="0">
        <references count="2">
          <reference field="6" count="1" selected="0">
            <x v="49"/>
          </reference>
          <reference field="23" count="1">
            <x v="1"/>
          </reference>
        </references>
      </pivotArea>
    </format>
    <format dxfId="1056">
      <pivotArea dataOnly="0" labelOnly="1" outline="0" fieldPosition="0">
        <references count="2">
          <reference field="6" count="1" selected="0">
            <x v="50"/>
          </reference>
          <reference field="23" count="1">
            <x v="1"/>
          </reference>
        </references>
      </pivotArea>
    </format>
    <format dxfId="1055">
      <pivotArea dataOnly="0" labelOnly="1" outline="0" fieldPosition="0">
        <references count="2">
          <reference field="6" count="1" selected="0">
            <x v="51"/>
          </reference>
          <reference field="23" count="1">
            <x v="1"/>
          </reference>
        </references>
      </pivotArea>
    </format>
    <format dxfId="1054">
      <pivotArea dataOnly="0" labelOnly="1" outline="0" fieldPosition="0">
        <references count="2">
          <reference field="6" count="1" selected="0">
            <x v="52"/>
          </reference>
          <reference field="23" count="1">
            <x v="2"/>
          </reference>
        </references>
      </pivotArea>
    </format>
    <format dxfId="1053">
      <pivotArea dataOnly="0" labelOnly="1" outline="0" fieldPosition="0">
        <references count="2">
          <reference field="6" count="1" selected="0">
            <x v="53"/>
          </reference>
          <reference field="23" count="1">
            <x v="0"/>
          </reference>
        </references>
      </pivotArea>
    </format>
    <format dxfId="1052">
      <pivotArea dataOnly="0" labelOnly="1" outline="0" fieldPosition="0">
        <references count="2">
          <reference field="6" count="1" selected="0">
            <x v="54"/>
          </reference>
          <reference field="23" count="1">
            <x v="2"/>
          </reference>
        </references>
      </pivotArea>
    </format>
    <format dxfId="1051">
      <pivotArea dataOnly="0" labelOnly="1" outline="0" fieldPosition="0">
        <references count="2">
          <reference field="6" count="1" selected="0">
            <x v="55"/>
          </reference>
          <reference field="23" count="1">
            <x v="2"/>
          </reference>
        </references>
      </pivotArea>
    </format>
    <format dxfId="1050">
      <pivotArea dataOnly="0" labelOnly="1" outline="0" fieldPosition="0">
        <references count="2">
          <reference field="6" count="1" selected="0">
            <x v="56"/>
          </reference>
          <reference field="23" count="1">
            <x v="1"/>
          </reference>
        </references>
      </pivotArea>
    </format>
    <format dxfId="1049">
      <pivotArea dataOnly="0" labelOnly="1" outline="0" fieldPosition="0">
        <references count="2">
          <reference field="6" count="1" selected="0">
            <x v="57"/>
          </reference>
          <reference field="23" count="1">
            <x v="1"/>
          </reference>
        </references>
      </pivotArea>
    </format>
    <format dxfId="1048">
      <pivotArea dataOnly="0" labelOnly="1" outline="0" fieldPosition="0">
        <references count="2">
          <reference field="6" count="1" selected="0">
            <x v="58"/>
          </reference>
          <reference field="23" count="1">
            <x v="1"/>
          </reference>
        </references>
      </pivotArea>
    </format>
    <format dxfId="1047">
      <pivotArea dataOnly="0" labelOnly="1" outline="0" fieldPosition="0">
        <references count="2">
          <reference field="6" count="1" selected="0">
            <x v="59"/>
          </reference>
          <reference field="23" count="1">
            <x v="1"/>
          </reference>
        </references>
      </pivotArea>
    </format>
    <format dxfId="1046">
      <pivotArea dataOnly="0" labelOnly="1" outline="0" fieldPosition="0">
        <references count="2">
          <reference field="6" count="1" selected="0">
            <x v="60"/>
          </reference>
          <reference field="23" count="1">
            <x v="1"/>
          </reference>
        </references>
      </pivotArea>
    </format>
    <format dxfId="1045">
      <pivotArea dataOnly="0" labelOnly="1" outline="0" fieldPosition="0">
        <references count="2">
          <reference field="6" count="1" selected="0">
            <x v="61"/>
          </reference>
          <reference field="23" count="1">
            <x v="1"/>
          </reference>
        </references>
      </pivotArea>
    </format>
    <format dxfId="1044">
      <pivotArea dataOnly="0" labelOnly="1" outline="0" fieldPosition="0">
        <references count="2">
          <reference field="6" count="1" selected="0">
            <x v="62"/>
          </reference>
          <reference field="23" count="1">
            <x v="1"/>
          </reference>
        </references>
      </pivotArea>
    </format>
    <format dxfId="1043">
      <pivotArea dataOnly="0" labelOnly="1" outline="0" fieldPosition="0">
        <references count="2">
          <reference field="6" count="1" selected="0">
            <x v="63"/>
          </reference>
          <reference field="23" count="1">
            <x v="1"/>
          </reference>
        </references>
      </pivotArea>
    </format>
    <format dxfId="1042">
      <pivotArea dataOnly="0" labelOnly="1" outline="0" fieldPosition="0">
        <references count="2">
          <reference field="6" count="1" selected="0">
            <x v="64"/>
          </reference>
          <reference field="23" count="1">
            <x v="3"/>
          </reference>
        </references>
      </pivotArea>
    </format>
    <format dxfId="1041">
      <pivotArea dataOnly="0" labelOnly="1" outline="0" fieldPosition="0">
        <references count="2">
          <reference field="6" count="1" selected="0">
            <x v="65"/>
          </reference>
          <reference field="23" count="1">
            <x v="2"/>
          </reference>
        </references>
      </pivotArea>
    </format>
    <format dxfId="1040">
      <pivotArea dataOnly="0" labelOnly="1" outline="0" fieldPosition="0">
        <references count="2">
          <reference field="6" count="1" selected="0">
            <x v="66"/>
          </reference>
          <reference field="23" count="1">
            <x v="2"/>
          </reference>
        </references>
      </pivotArea>
    </format>
    <format dxfId="1039">
      <pivotArea dataOnly="0" labelOnly="1" outline="0" fieldPosition="0">
        <references count="2">
          <reference field="6" count="1" selected="0">
            <x v="67"/>
          </reference>
          <reference field="23" count="1">
            <x v="2"/>
          </reference>
        </references>
      </pivotArea>
    </format>
    <format dxfId="1038">
      <pivotArea dataOnly="0" labelOnly="1" outline="0" fieldPosition="0">
        <references count="2">
          <reference field="6" count="1" selected="0">
            <x v="68"/>
          </reference>
          <reference field="23" count="1">
            <x v="1"/>
          </reference>
        </references>
      </pivotArea>
    </format>
    <format dxfId="1037">
      <pivotArea dataOnly="0" labelOnly="1" outline="0" fieldPosition="0">
        <references count="2">
          <reference field="6" count="1" selected="0">
            <x v="69"/>
          </reference>
          <reference field="23" count="1">
            <x v="3"/>
          </reference>
        </references>
      </pivotArea>
    </format>
    <format dxfId="1036">
      <pivotArea dataOnly="0" labelOnly="1" outline="0" fieldPosition="0">
        <references count="2">
          <reference field="6" count="1" selected="0">
            <x v="70"/>
          </reference>
          <reference field="23" count="1">
            <x v="3"/>
          </reference>
        </references>
      </pivotArea>
    </format>
    <format dxfId="1035">
      <pivotArea dataOnly="0" labelOnly="1" outline="0" fieldPosition="0">
        <references count="2">
          <reference field="6" count="1" selected="0">
            <x v="71"/>
          </reference>
          <reference field="23" count="1">
            <x v="2"/>
          </reference>
        </references>
      </pivotArea>
    </format>
    <format dxfId="1034">
      <pivotArea dataOnly="0" labelOnly="1" outline="0" fieldPosition="0">
        <references count="2">
          <reference field="6" count="1" selected="0">
            <x v="72"/>
          </reference>
          <reference field="23" count="1">
            <x v="1"/>
          </reference>
        </references>
      </pivotArea>
    </format>
    <format dxfId="1033">
      <pivotArea dataOnly="0" labelOnly="1" outline="0" fieldPosition="0">
        <references count="2">
          <reference field="6" count="1" selected="0">
            <x v="73"/>
          </reference>
          <reference field="23" count="1">
            <x v="1"/>
          </reference>
        </references>
      </pivotArea>
    </format>
    <format dxfId="1032">
      <pivotArea dataOnly="0" labelOnly="1" outline="0" fieldPosition="0">
        <references count="2">
          <reference field="6" count="1" selected="0">
            <x v="74"/>
          </reference>
          <reference field="23" count="1">
            <x v="1"/>
          </reference>
        </references>
      </pivotArea>
    </format>
    <format dxfId="1031">
      <pivotArea outline="0" collapsedLevelsAreSubtotals="1" fieldPosition="0">
        <references count="3">
          <reference field="4294967294" count="2" selected="0">
            <x v="0"/>
            <x v="1"/>
          </reference>
          <reference field="6" count="1" selected="0">
            <x v="15"/>
          </reference>
          <reference field="23" count="1" selected="0">
            <x v="3"/>
          </reference>
        </references>
      </pivotArea>
    </format>
    <format dxfId="1030">
      <pivotArea dataOnly="0" labelOnly="1" outline="0" fieldPosition="0">
        <references count="2">
          <reference field="6" count="1" selected="0">
            <x v="15"/>
          </reference>
          <reference field="23" count="1">
            <x v="3"/>
          </reference>
        </references>
      </pivotArea>
    </format>
    <format dxfId="1029">
      <pivotArea outline="0" collapsedLevelsAreSubtotals="1" fieldPosition="0">
        <references count="3">
          <reference field="4294967294" count="2" selected="0">
            <x v="0"/>
            <x v="1"/>
          </reference>
          <reference field="6" count="1" selected="0">
            <x v="62"/>
          </reference>
          <reference field="23" count="1" selected="0">
            <x v="1"/>
          </reference>
        </references>
      </pivotArea>
    </format>
    <format dxfId="1028">
      <pivotArea outline="0" collapsedLevelsAreSubtotals="1" fieldPosition="0">
        <references count="3">
          <reference field="4294967294" count="2" selected="0">
            <x v="0"/>
            <x v="1"/>
          </reference>
          <reference field="6" count="1" selected="0">
            <x v="10"/>
          </reference>
          <reference field="23" count="1" selected="0">
            <x v="1"/>
          </reference>
        </references>
      </pivotArea>
    </format>
    <format dxfId="1027">
      <pivotArea outline="0" collapsedLevelsAreSubtotals="1" fieldPosition="0">
        <references count="3">
          <reference field="4294967294" count="2" selected="0">
            <x v="0"/>
            <x v="1"/>
          </reference>
          <reference field="6" count="1" selected="0">
            <x v="11"/>
          </reference>
          <reference field="23" count="1" selected="0">
            <x v="1"/>
          </reference>
        </references>
      </pivotArea>
    </format>
    <format dxfId="1026">
      <pivotArea outline="0" collapsedLevelsAreSubtotals="1" fieldPosition="0">
        <references count="3">
          <reference field="4294967294" count="2" selected="0">
            <x v="0"/>
            <x v="1"/>
          </reference>
          <reference field="6" count="1" selected="0">
            <x v="18"/>
          </reference>
          <reference field="23" count="1" selected="0">
            <x v="1"/>
          </reference>
        </references>
      </pivotArea>
    </format>
    <format dxfId="1025">
      <pivotArea outline="0" collapsedLevelsAreSubtotals="1" fieldPosition="0">
        <references count="3">
          <reference field="4294967294" count="2" selected="0">
            <x v="0"/>
            <x v="1"/>
          </reference>
          <reference field="6" count="1" selected="0">
            <x v="25"/>
          </reference>
          <reference field="23" count="1" selected="0">
            <x v="1"/>
          </reference>
        </references>
      </pivotArea>
    </format>
    <format dxfId="1024">
      <pivotArea outline="0" collapsedLevelsAreSubtotals="1" fieldPosition="0">
        <references count="3">
          <reference field="4294967294" count="2" selected="0">
            <x v="0"/>
            <x v="1"/>
          </reference>
          <reference field="6" count="1" selected="0">
            <x v="26"/>
          </reference>
          <reference field="23" count="1" selected="0">
            <x v="1"/>
          </reference>
        </references>
      </pivotArea>
    </format>
    <format dxfId="1023">
      <pivotArea outline="0" collapsedLevelsAreSubtotals="1" fieldPosition="0">
        <references count="3">
          <reference field="4294967294" count="2" selected="0">
            <x v="0"/>
            <x v="1"/>
          </reference>
          <reference field="6" count="1" selected="0">
            <x v="41"/>
          </reference>
          <reference field="23" count="1" selected="0">
            <x v="1"/>
          </reference>
        </references>
      </pivotArea>
    </format>
    <format dxfId="1022">
      <pivotArea outline="0" collapsedLevelsAreSubtotals="1" fieldPosition="0">
        <references count="3">
          <reference field="4294967294" count="2" selected="0">
            <x v="0"/>
            <x v="1"/>
          </reference>
          <reference field="6" count="1" selected="0">
            <x v="38"/>
          </reference>
          <reference field="23" count="1" selected="0">
            <x v="1"/>
          </reference>
        </references>
      </pivotArea>
    </format>
    <format dxfId="1021">
      <pivotArea outline="0" collapsedLevelsAreSubtotals="1" fieldPosition="0">
        <references count="3">
          <reference field="4294967294" count="2" selected="0">
            <x v="0"/>
            <x v="1"/>
          </reference>
          <reference field="6" count="1" selected="0">
            <x v="51"/>
          </reference>
          <reference field="23" count="1" selected="0">
            <x v="2"/>
          </reference>
        </references>
      </pivotArea>
    </format>
    <format dxfId="1020">
      <pivotArea dataOnly="0" labelOnly="1" outline="0" fieldPosition="0">
        <references count="2">
          <reference field="6" count="1" selected="0">
            <x v="51"/>
          </reference>
          <reference field="23" count="1">
            <x v="2"/>
          </reference>
        </references>
      </pivotArea>
    </format>
    <format dxfId="1019">
      <pivotArea outline="0" collapsedLevelsAreSubtotals="1" fieldPosition="0">
        <references count="3">
          <reference field="4294967294" count="2" selected="0">
            <x v="0"/>
            <x v="1"/>
          </reference>
          <reference field="6" count="1" selected="0">
            <x v="72"/>
          </reference>
          <reference field="23" count="1" selected="0">
            <x v="1"/>
          </reference>
        </references>
      </pivotArea>
    </format>
    <format dxfId="1018">
      <pivotArea outline="0" collapsedLevelsAreSubtotals="1" fieldPosition="0">
        <references count="3">
          <reference field="4294967294" count="2" selected="0">
            <x v="0"/>
            <x v="1"/>
          </reference>
          <reference field="6" count="1" selected="0">
            <x v="52"/>
          </reference>
          <reference field="23" count="1" selected="0">
            <x v="4"/>
          </reference>
        </references>
      </pivotArea>
    </format>
    <format dxfId="1017">
      <pivotArea outline="0" collapsedLevelsAreSubtotals="1" fieldPosition="0">
        <references count="3">
          <reference field="4294967294" count="2" selected="0">
            <x v="0"/>
            <x v="1"/>
          </reference>
          <reference field="6" count="1" selected="0">
            <x v="54"/>
          </reference>
          <reference field="23" count="1" selected="0">
            <x v="4"/>
          </reference>
        </references>
      </pivotArea>
    </format>
    <format dxfId="1016">
      <pivotArea outline="0" collapsedLevelsAreSubtotals="1" fieldPosition="0">
        <references count="3">
          <reference field="4294967294" count="2" selected="0">
            <x v="0"/>
            <x v="1"/>
          </reference>
          <reference field="6" count="1" selected="0">
            <x v="71"/>
          </reference>
          <reference field="23" count="1" selected="0">
            <x v="2"/>
          </reference>
        </references>
      </pivotArea>
    </format>
    <format dxfId="1015">
      <pivotArea outline="0" collapsedLevelsAreSubtotals="1" fieldPosition="0">
        <references count="3">
          <reference field="4294967294" count="2" selected="0">
            <x v="0"/>
            <x v="1"/>
          </reference>
          <reference field="6" count="1" selected="0">
            <x v="48"/>
          </reference>
          <reference field="23" count="1" selected="0">
            <x v="2"/>
          </reference>
        </references>
      </pivotArea>
    </format>
    <format dxfId="1014">
      <pivotArea outline="0" collapsedLevelsAreSubtotals="1" fieldPosition="0">
        <references count="3">
          <reference field="4294967294" count="2" selected="0">
            <x v="0"/>
            <x v="1"/>
          </reference>
          <reference field="6" count="1" selected="0">
            <x v="73"/>
          </reference>
          <reference field="23" count="1" selected="0">
            <x v="1"/>
          </reference>
        </references>
      </pivotArea>
    </format>
    <format dxfId="1013">
      <pivotArea outline="0" collapsedLevelsAreSubtotals="1" fieldPosition="0">
        <references count="3">
          <reference field="4294967294" count="2" selected="0">
            <x v="0"/>
            <x v="1"/>
          </reference>
          <reference field="6" count="1" selected="0">
            <x v="21"/>
          </reference>
          <reference field="23" count="1" selected="0">
            <x v="1"/>
          </reference>
        </references>
      </pivotArea>
    </format>
    <format dxfId="1012">
      <pivotArea outline="0" collapsedLevelsAreSubtotals="1" fieldPosition="0">
        <references count="3">
          <reference field="4294967294" count="2" selected="0">
            <x v="0"/>
            <x v="1"/>
          </reference>
          <reference field="6" count="1" selected="0">
            <x v="20"/>
          </reference>
          <reference field="23" count="1" selected="0">
            <x v="1"/>
          </reference>
        </references>
      </pivotArea>
    </format>
    <format dxfId="1011">
      <pivotArea outline="0" collapsedLevelsAreSubtotals="1" fieldPosition="0">
        <references count="3">
          <reference field="4294967294" count="2" selected="0">
            <x v="0"/>
            <x v="1"/>
          </reference>
          <reference field="6" count="1" selected="0">
            <x v="37"/>
          </reference>
          <reference field="23" count="1" selected="0">
            <x v="1"/>
          </reference>
        </references>
      </pivotArea>
    </format>
    <format dxfId="1010">
      <pivotArea dataOnly="0" labelOnly="1" outline="0" fieldPosition="0">
        <references count="1">
          <reference field="4294967294" count="2">
            <x v="0"/>
            <x v="1"/>
          </reference>
        </references>
      </pivotArea>
    </format>
    <format dxfId="1009">
      <pivotArea dataOnly="0" labelOnly="1" outline="0" fieldPosition="0">
        <references count="1">
          <reference field="6" count="1">
            <x v="74"/>
          </reference>
        </references>
      </pivotArea>
    </format>
    <format dxfId="1008">
      <pivotArea outline="0" collapsedLevelsAreSubtotals="1" fieldPosition="0"/>
    </format>
    <format dxfId="1007">
      <pivotArea outline="0" fieldPosition="0">
        <references count="2">
          <reference field="6" count="2" selected="0">
            <x v="2"/>
            <x v="16"/>
          </reference>
          <reference field="23" count="1" selected="0">
            <x v="1"/>
          </reference>
        </references>
      </pivotArea>
    </format>
    <format dxfId="1006">
      <pivotArea outline="0" fieldPosition="0">
        <references count="2">
          <reference field="6" count="4" selected="0">
            <x v="30"/>
            <x v="36"/>
            <x v="43"/>
            <x v="44"/>
          </reference>
          <reference field="23" count="2" selected="0">
            <x v="0"/>
            <x v="1"/>
          </reference>
        </references>
      </pivotArea>
    </format>
    <format dxfId="1005">
      <pivotArea outline="0" fieldPosition="0">
        <references count="2">
          <reference field="6" count="1" selected="0">
            <x v="47"/>
          </reference>
          <reference field="23" count="1" selected="0">
            <x v="1"/>
          </reference>
        </references>
      </pivotArea>
    </format>
    <format dxfId="1004">
      <pivotArea outline="0" fieldPosition="0">
        <references count="2">
          <reference field="6" count="1" selected="0">
            <x v="68"/>
          </reference>
          <reference field="23" count="1" selected="0">
            <x v="1"/>
          </reference>
        </references>
      </pivotArea>
    </format>
    <format dxfId="1003">
      <pivotArea outline="0" fieldPosition="0">
        <references count="2">
          <reference field="6" count="5" selected="0">
            <x v="75"/>
            <x v="76"/>
            <x v="77"/>
            <x v="78"/>
            <x v="79"/>
          </reference>
          <reference field="23" count="1" selected="0">
            <x v="1"/>
          </reference>
        </references>
      </pivotArea>
    </format>
    <format dxfId="1002">
      <pivotArea outline="0" fieldPosition="0">
        <references count="2">
          <reference field="6" count="2" selected="0">
            <x v="82"/>
            <x v="83"/>
          </reference>
          <reference field="23" count="2" selected="0">
            <x v="1"/>
            <x v="2"/>
          </reference>
        </references>
      </pivotArea>
    </format>
    <format dxfId="1001">
      <pivotArea outline="0" fieldPosition="0">
        <references count="2">
          <reference field="6" count="1" selected="0">
            <x v="94"/>
          </reference>
          <reference field="23" count="1" selected="0">
            <x v="1"/>
          </reference>
        </references>
      </pivotArea>
    </format>
    <format dxfId="1000">
      <pivotArea outline="0" fieldPosition="0">
        <references count="2">
          <reference field="6" count="1" selected="0">
            <x v="117"/>
          </reference>
          <reference field="23" count="1" selected="0">
            <x v="1"/>
          </reference>
        </references>
      </pivotArea>
    </format>
    <format dxfId="999">
      <pivotArea outline="0" fieldPosition="0">
        <references count="2">
          <reference field="6" count="1" selected="0">
            <x v="120"/>
          </reference>
          <reference field="23" count="1" selected="0">
            <x v="1"/>
          </reference>
        </references>
      </pivotArea>
    </format>
    <format dxfId="998">
      <pivotArea outline="0" fieldPosition="0">
        <references count="2">
          <reference field="6" count="8" selected="0">
            <x v="121"/>
            <x v="122"/>
            <x v="123"/>
            <x v="124"/>
            <x v="125"/>
            <x v="126"/>
            <x v="127"/>
            <x v="128"/>
          </reference>
          <reference field="23" count="4" selected="0">
            <x v="0"/>
            <x v="1"/>
            <x v="2"/>
            <x v="5"/>
          </reference>
        </references>
      </pivotArea>
    </format>
    <format dxfId="997">
      <pivotArea dataOnly="0" labelOnly="1" outline="0" fieldPosition="0">
        <references count="2">
          <reference field="6" count="1" selected="0">
            <x v="46"/>
          </reference>
          <reference field="23" count="1">
            <x v="1"/>
          </reference>
        </references>
      </pivotArea>
    </format>
    <format dxfId="996">
      <pivotArea dataOnly="0" labelOnly="1" outline="0" fieldPosition="0">
        <references count="2">
          <reference field="6" count="1" selected="0">
            <x v="68"/>
          </reference>
          <reference field="23" count="1">
            <x v="1"/>
          </reference>
        </references>
      </pivotArea>
    </format>
    <format dxfId="995">
      <pivotArea dataOnly="0" labelOnly="1" outline="0" fieldPosition="0">
        <references count="2">
          <reference field="6" count="1" selected="0">
            <x v="101"/>
          </reference>
          <reference field="23" count="1">
            <x v="1"/>
          </reference>
        </references>
      </pivotArea>
    </format>
    <format dxfId="994">
      <pivotArea dataOnly="0" labelOnly="1" outline="0" fieldPosition="0">
        <references count="2">
          <reference field="6" count="1" selected="0">
            <x v="102"/>
          </reference>
          <reference field="23" count="1">
            <x v="1"/>
          </reference>
        </references>
      </pivotArea>
    </format>
    <format dxfId="993">
      <pivotArea dataOnly="0" labelOnly="1" outline="0" fieldPosition="0">
        <references count="2">
          <reference field="6" count="1" selected="0">
            <x v="103"/>
          </reference>
          <reference field="23" count="1">
            <x v="2"/>
          </reference>
        </references>
      </pivotArea>
    </format>
    <format dxfId="992">
      <pivotArea dataOnly="0" labelOnly="1" outline="0" fieldPosition="0">
        <references count="2">
          <reference field="6" count="1" selected="0">
            <x v="104"/>
          </reference>
          <reference field="23" count="1">
            <x v="1"/>
          </reference>
        </references>
      </pivotArea>
    </format>
    <format dxfId="991">
      <pivotArea dataOnly="0" labelOnly="1" outline="0" fieldPosition="0">
        <references count="2">
          <reference field="6" count="1" selected="0">
            <x v="105"/>
          </reference>
          <reference field="23" count="1">
            <x v="0"/>
          </reference>
        </references>
      </pivotArea>
    </format>
    <format dxfId="990">
      <pivotArea dataOnly="0" labelOnly="1" outline="0" fieldPosition="0">
        <references count="2">
          <reference field="6" count="1" selected="0">
            <x v="106"/>
          </reference>
          <reference field="23" count="1">
            <x v="1"/>
          </reference>
        </references>
      </pivotArea>
    </format>
    <format dxfId="989">
      <pivotArea dataOnly="0" labelOnly="1" outline="0" fieldPosition="0">
        <references count="2">
          <reference field="6" count="1" selected="0">
            <x v="107"/>
          </reference>
          <reference field="23" count="1">
            <x v="1"/>
          </reference>
        </references>
      </pivotArea>
    </format>
    <format dxfId="988">
      <pivotArea dataOnly="0" labelOnly="1" outline="0" fieldPosition="0">
        <references count="2">
          <reference field="6" count="1" selected="0">
            <x v="108"/>
          </reference>
          <reference field="23" count="1">
            <x v="5"/>
          </reference>
        </references>
      </pivotArea>
    </format>
    <format dxfId="987">
      <pivotArea dataOnly="0" labelOnly="1" outline="0" fieldPosition="0">
        <references count="2">
          <reference field="6" count="1" selected="0">
            <x v="109"/>
          </reference>
          <reference field="23" count="1">
            <x v="1"/>
          </reference>
        </references>
      </pivotArea>
    </format>
    <format dxfId="986">
      <pivotArea dataOnly="0" labelOnly="1" outline="0" fieldPosition="0">
        <references count="2">
          <reference field="6" count="1" selected="0">
            <x v="110"/>
          </reference>
          <reference field="23" count="1">
            <x v="1"/>
          </reference>
        </references>
      </pivotArea>
    </format>
    <format dxfId="985">
      <pivotArea dataOnly="0" labelOnly="1" outline="0" fieldPosition="0">
        <references count="2">
          <reference field="6" count="1" selected="0">
            <x v="111"/>
          </reference>
          <reference field="23" count="1">
            <x v="3"/>
          </reference>
        </references>
      </pivotArea>
    </format>
    <format dxfId="984">
      <pivotArea dataOnly="0" labelOnly="1" outline="0" fieldPosition="0">
        <references count="2">
          <reference field="6" count="1" selected="0">
            <x v="112"/>
          </reference>
          <reference field="23" count="1">
            <x v="1"/>
          </reference>
        </references>
      </pivotArea>
    </format>
    <format dxfId="983">
      <pivotArea dataOnly="0" labelOnly="1" outline="0" fieldPosition="0">
        <references count="2">
          <reference field="6" count="1" selected="0">
            <x v="113"/>
          </reference>
          <reference field="23" count="1">
            <x v="3"/>
          </reference>
        </references>
      </pivotArea>
    </format>
    <format dxfId="982">
      <pivotArea dataOnly="0" labelOnly="1" outline="0" fieldPosition="0">
        <references count="2">
          <reference field="6" count="1" selected="0">
            <x v="114"/>
          </reference>
          <reference field="23" count="1">
            <x v="1"/>
          </reference>
        </references>
      </pivotArea>
    </format>
    <format dxfId="981">
      <pivotArea dataOnly="0" labelOnly="1" outline="0" fieldPosition="0">
        <references count="2">
          <reference field="6" count="1" selected="0">
            <x v="46"/>
          </reference>
          <reference field="23" count="1">
            <x v="1"/>
          </reference>
        </references>
      </pivotArea>
    </format>
    <format dxfId="980">
      <pivotArea dataOnly="0" labelOnly="1" outline="0" fieldPosition="0">
        <references count="2">
          <reference field="6" count="1" selected="0">
            <x v="68"/>
          </reference>
          <reference field="23" count="1">
            <x v="1"/>
          </reference>
        </references>
      </pivotArea>
    </format>
    <format dxfId="979">
      <pivotArea dataOnly="0" labelOnly="1" outline="0" fieldPosition="0">
        <references count="2">
          <reference field="6" count="1" selected="0">
            <x v="101"/>
          </reference>
          <reference field="23" count="1">
            <x v="1"/>
          </reference>
        </references>
      </pivotArea>
    </format>
    <format dxfId="978">
      <pivotArea dataOnly="0" labelOnly="1" outline="0" fieldPosition="0">
        <references count="2">
          <reference field="6" count="1" selected="0">
            <x v="102"/>
          </reference>
          <reference field="23" count="1">
            <x v="1"/>
          </reference>
        </references>
      </pivotArea>
    </format>
    <format dxfId="977">
      <pivotArea dataOnly="0" labelOnly="1" outline="0" fieldPosition="0">
        <references count="2">
          <reference field="6" count="1" selected="0">
            <x v="103"/>
          </reference>
          <reference field="23" count="1">
            <x v="2"/>
          </reference>
        </references>
      </pivotArea>
    </format>
    <format dxfId="976">
      <pivotArea dataOnly="0" labelOnly="1" outline="0" fieldPosition="0">
        <references count="2">
          <reference field="6" count="1" selected="0">
            <x v="104"/>
          </reference>
          <reference field="23" count="1">
            <x v="1"/>
          </reference>
        </references>
      </pivotArea>
    </format>
    <format dxfId="975">
      <pivotArea dataOnly="0" labelOnly="1" outline="0" fieldPosition="0">
        <references count="2">
          <reference field="6" count="1" selected="0">
            <x v="105"/>
          </reference>
          <reference field="23" count="1">
            <x v="0"/>
          </reference>
        </references>
      </pivotArea>
    </format>
    <format dxfId="974">
      <pivotArea dataOnly="0" labelOnly="1" outline="0" fieldPosition="0">
        <references count="2">
          <reference field="6" count="1" selected="0">
            <x v="106"/>
          </reference>
          <reference field="23" count="1">
            <x v="1"/>
          </reference>
        </references>
      </pivotArea>
    </format>
    <format dxfId="973">
      <pivotArea dataOnly="0" labelOnly="1" outline="0" fieldPosition="0">
        <references count="2">
          <reference field="6" count="1" selected="0">
            <x v="107"/>
          </reference>
          <reference field="23" count="1">
            <x v="1"/>
          </reference>
        </references>
      </pivotArea>
    </format>
    <format dxfId="972">
      <pivotArea dataOnly="0" labelOnly="1" outline="0" fieldPosition="0">
        <references count="2">
          <reference field="6" count="1" selected="0">
            <x v="108"/>
          </reference>
          <reference field="23" count="1">
            <x v="5"/>
          </reference>
        </references>
      </pivotArea>
    </format>
    <format dxfId="971">
      <pivotArea dataOnly="0" labelOnly="1" outline="0" fieldPosition="0">
        <references count="2">
          <reference field="6" count="1" selected="0">
            <x v="109"/>
          </reference>
          <reference field="23" count="1">
            <x v="1"/>
          </reference>
        </references>
      </pivotArea>
    </format>
    <format dxfId="970">
      <pivotArea dataOnly="0" labelOnly="1" outline="0" fieldPosition="0">
        <references count="2">
          <reference field="6" count="1" selected="0">
            <x v="110"/>
          </reference>
          <reference field="23" count="1">
            <x v="1"/>
          </reference>
        </references>
      </pivotArea>
    </format>
    <format dxfId="969">
      <pivotArea dataOnly="0" labelOnly="1" outline="0" fieldPosition="0">
        <references count="2">
          <reference field="6" count="1" selected="0">
            <x v="111"/>
          </reference>
          <reference field="23" count="1">
            <x v="3"/>
          </reference>
        </references>
      </pivotArea>
    </format>
    <format dxfId="968">
      <pivotArea dataOnly="0" labelOnly="1" outline="0" fieldPosition="0">
        <references count="2">
          <reference field="6" count="1" selected="0">
            <x v="112"/>
          </reference>
          <reference field="23" count="1">
            <x v="1"/>
          </reference>
        </references>
      </pivotArea>
    </format>
    <format dxfId="967">
      <pivotArea dataOnly="0" labelOnly="1" outline="0" fieldPosition="0">
        <references count="2">
          <reference field="6" count="1" selected="0">
            <x v="113"/>
          </reference>
          <reference field="23" count="1">
            <x v="3"/>
          </reference>
        </references>
      </pivotArea>
    </format>
    <format dxfId="966">
      <pivotArea dataOnly="0" labelOnly="1" outline="0" fieldPosition="0">
        <references count="2">
          <reference field="6" count="1" selected="0">
            <x v="114"/>
          </reference>
          <reference field="23" count="1">
            <x v="1"/>
          </reference>
        </references>
      </pivotArea>
    </format>
    <format dxfId="965">
      <pivotArea dataOnly="0" labelOnly="1" outline="0" fieldPosition="0">
        <references count="1">
          <reference field="6" count="14">
            <x v="101"/>
            <x v="102"/>
            <x v="103"/>
            <x v="104"/>
            <x v="105"/>
            <x v="106"/>
            <x v="107"/>
            <x v="108"/>
            <x v="109"/>
            <x v="110"/>
            <x v="111"/>
            <x v="112"/>
            <x v="113"/>
            <x v="114"/>
          </reference>
        </references>
      </pivotArea>
    </format>
    <format dxfId="964">
      <pivotArea dataOnly="0" labelOnly="1" outline="0" fieldPosition="0">
        <references count="2">
          <reference field="6" count="1" selected="0">
            <x v="2"/>
          </reference>
          <reference field="23" count="1">
            <x v="1"/>
          </reference>
        </references>
      </pivotArea>
    </format>
    <format dxfId="963">
      <pivotArea dataOnly="0" labelOnly="1" outline="0" fieldPosition="0">
        <references count="2">
          <reference field="6" count="1" selected="0">
            <x v="16"/>
          </reference>
          <reference field="23" count="1">
            <x v="2"/>
          </reference>
        </references>
      </pivotArea>
    </format>
    <format dxfId="962">
      <pivotArea dataOnly="0" labelOnly="1" outline="0" fieldPosition="0">
        <references count="2">
          <reference field="6" count="1" selected="0">
            <x v="20"/>
          </reference>
          <reference field="23" count="1">
            <x v="1"/>
          </reference>
        </references>
      </pivotArea>
    </format>
    <format dxfId="961">
      <pivotArea dataOnly="0" labelOnly="1" outline="0" fieldPosition="0">
        <references count="2">
          <reference field="6" count="1" selected="0">
            <x v="27"/>
          </reference>
          <reference field="23" count="1">
            <x v="1"/>
          </reference>
        </references>
      </pivotArea>
    </format>
    <format dxfId="960">
      <pivotArea dataOnly="0" labelOnly="1" outline="0" fieldPosition="0">
        <references count="2">
          <reference field="6" count="1" selected="0">
            <x v="30"/>
          </reference>
          <reference field="23" count="1">
            <x v="1"/>
          </reference>
        </references>
      </pivotArea>
    </format>
    <format dxfId="959">
      <pivotArea dataOnly="0" labelOnly="1" outline="0" fieldPosition="0">
        <references count="2">
          <reference field="6" count="1" selected="0">
            <x v="36"/>
          </reference>
          <reference field="23" count="1">
            <x v="1"/>
          </reference>
        </references>
      </pivotArea>
    </format>
    <format dxfId="958">
      <pivotArea dataOnly="0" labelOnly="1" outline="0" fieldPosition="0">
        <references count="2">
          <reference field="6" count="1" selected="0">
            <x v="43"/>
          </reference>
          <reference field="23" count="1">
            <x v="2"/>
          </reference>
        </references>
      </pivotArea>
    </format>
    <format dxfId="957">
      <pivotArea dataOnly="0" labelOnly="1" outline="0" fieldPosition="0">
        <references count="2">
          <reference field="6" count="1" selected="0">
            <x v="44"/>
          </reference>
          <reference field="23" count="1">
            <x v="2"/>
          </reference>
        </references>
      </pivotArea>
    </format>
    <format dxfId="956">
      <pivotArea dataOnly="0" labelOnly="1" outline="0" fieldPosition="0">
        <references count="2">
          <reference field="6" count="1" selected="0">
            <x v="46"/>
          </reference>
          <reference field="23" count="1">
            <x v="1"/>
          </reference>
        </references>
      </pivotArea>
    </format>
    <format dxfId="955">
      <pivotArea dataOnly="0" labelOnly="1" outline="0" fieldPosition="0">
        <references count="2">
          <reference field="6" count="1" selected="0">
            <x v="47"/>
          </reference>
          <reference field="23" count="1">
            <x v="2"/>
          </reference>
        </references>
      </pivotArea>
    </format>
    <format dxfId="954">
      <pivotArea dataOnly="0" labelOnly="1" outline="0" fieldPosition="0">
        <references count="2">
          <reference field="6" count="1" selected="0">
            <x v="62"/>
          </reference>
          <reference field="23" count="1">
            <x v="1"/>
          </reference>
        </references>
      </pivotArea>
    </format>
    <format dxfId="953">
      <pivotArea dataOnly="0" labelOnly="1" outline="0" fieldPosition="0">
        <references count="2">
          <reference field="6" count="1" selected="0">
            <x v="68"/>
          </reference>
          <reference field="23" count="1">
            <x v="1"/>
          </reference>
        </references>
      </pivotArea>
    </format>
    <format dxfId="952">
      <pivotArea dataOnly="0" labelOnly="1" outline="0" fieldPosition="0">
        <references count="2">
          <reference field="6" count="1" selected="0">
            <x v="73"/>
          </reference>
          <reference field="23" count="1">
            <x v="2"/>
          </reference>
        </references>
      </pivotArea>
    </format>
    <format dxfId="951">
      <pivotArea dataOnly="0" labelOnly="1" outline="0" fieldPosition="0">
        <references count="2">
          <reference field="6" count="1" selected="0">
            <x v="75"/>
          </reference>
          <reference field="23" count="1">
            <x v="1"/>
          </reference>
        </references>
      </pivotArea>
    </format>
    <format dxfId="950">
      <pivotArea dataOnly="0" labelOnly="1" outline="0" fieldPosition="0">
        <references count="2">
          <reference field="6" count="1" selected="0">
            <x v="76"/>
          </reference>
          <reference field="23" count="1">
            <x v="1"/>
          </reference>
        </references>
      </pivotArea>
    </format>
    <format dxfId="949">
      <pivotArea dataOnly="0" labelOnly="1" outline="0" fieldPosition="0">
        <references count="2">
          <reference field="6" count="1" selected="0">
            <x v="77"/>
          </reference>
          <reference field="23" count="1">
            <x v="1"/>
          </reference>
        </references>
      </pivotArea>
    </format>
    <format dxfId="948">
      <pivotArea dataOnly="0" labelOnly="1" outline="0" fieldPosition="0">
        <references count="2">
          <reference field="6" count="1" selected="0">
            <x v="78"/>
          </reference>
          <reference field="23" count="1">
            <x v="1"/>
          </reference>
        </references>
      </pivotArea>
    </format>
    <format dxfId="947">
      <pivotArea dataOnly="0" labelOnly="1" outline="0" fieldPosition="0">
        <references count="2">
          <reference field="6" count="1" selected="0">
            <x v="79"/>
          </reference>
          <reference field="23" count="1">
            <x v="1"/>
          </reference>
        </references>
      </pivotArea>
    </format>
    <format dxfId="946">
      <pivotArea dataOnly="0" labelOnly="1" outline="0" fieldPosition="0">
        <references count="2">
          <reference field="6" count="1" selected="0">
            <x v="80"/>
          </reference>
          <reference field="23" count="1">
            <x v="0"/>
          </reference>
        </references>
      </pivotArea>
    </format>
    <format dxfId="945">
      <pivotArea dataOnly="0" labelOnly="1" outline="0" fieldPosition="0">
        <references count="2">
          <reference field="6" count="1" selected="0">
            <x v="81"/>
          </reference>
          <reference field="23" count="1">
            <x v="1"/>
          </reference>
        </references>
      </pivotArea>
    </format>
    <format dxfId="944">
      <pivotArea dataOnly="0" labelOnly="1" outline="0" fieldPosition="0">
        <references count="2">
          <reference field="6" count="1" selected="0">
            <x v="82"/>
          </reference>
          <reference field="23" count="1">
            <x v="1"/>
          </reference>
        </references>
      </pivotArea>
    </format>
    <format dxfId="943">
      <pivotArea dataOnly="0" labelOnly="1" outline="0" fieldPosition="0">
        <references count="2">
          <reference field="6" count="1" selected="0">
            <x v="83"/>
          </reference>
          <reference field="23" count="1">
            <x v="2"/>
          </reference>
        </references>
      </pivotArea>
    </format>
    <format dxfId="942">
      <pivotArea dataOnly="0" labelOnly="1" outline="0" fieldPosition="0">
        <references count="2">
          <reference field="6" count="1" selected="0">
            <x v="84"/>
          </reference>
          <reference field="23" count="1">
            <x v="1"/>
          </reference>
        </references>
      </pivotArea>
    </format>
    <format dxfId="941">
      <pivotArea dataOnly="0" labelOnly="1" outline="0" fieldPosition="0">
        <references count="2">
          <reference field="6" count="1" selected="0">
            <x v="85"/>
          </reference>
          <reference field="23" count="1">
            <x v="1"/>
          </reference>
        </references>
      </pivotArea>
    </format>
    <format dxfId="940">
      <pivotArea dataOnly="0" labelOnly="1" outline="0" fieldPosition="0">
        <references count="2">
          <reference field="6" count="1" selected="0">
            <x v="86"/>
          </reference>
          <reference field="23" count="1">
            <x v="1"/>
          </reference>
        </references>
      </pivotArea>
    </format>
    <format dxfId="939">
      <pivotArea dataOnly="0" labelOnly="1" outline="0" fieldPosition="0">
        <references count="2">
          <reference field="6" count="1" selected="0">
            <x v="87"/>
          </reference>
          <reference field="23" count="1">
            <x v="1"/>
          </reference>
        </references>
      </pivotArea>
    </format>
    <format dxfId="938">
      <pivotArea dataOnly="0" labelOnly="1" outline="0" fieldPosition="0">
        <references count="2">
          <reference field="6" count="1" selected="0">
            <x v="88"/>
          </reference>
          <reference field="23" count="1">
            <x v="5"/>
          </reference>
        </references>
      </pivotArea>
    </format>
    <format dxfId="937">
      <pivotArea dataOnly="0" labelOnly="1" outline="0" fieldPosition="0">
        <references count="2">
          <reference field="6" count="1" selected="0">
            <x v="89"/>
          </reference>
          <reference field="23" count="1">
            <x v="5"/>
          </reference>
        </references>
      </pivotArea>
    </format>
    <format dxfId="936">
      <pivotArea dataOnly="0" labelOnly="1" outline="0" fieldPosition="0">
        <references count="2">
          <reference field="6" count="1" selected="0">
            <x v="90"/>
          </reference>
          <reference field="23" count="1">
            <x v="1"/>
          </reference>
        </references>
      </pivotArea>
    </format>
    <format dxfId="935">
      <pivotArea dataOnly="0" labelOnly="1" outline="0" fieldPosition="0">
        <references count="2">
          <reference field="6" count="1" selected="0">
            <x v="91"/>
          </reference>
          <reference field="23" count="1">
            <x v="1"/>
          </reference>
        </references>
      </pivotArea>
    </format>
    <format dxfId="934">
      <pivotArea dataOnly="0" labelOnly="1" outline="0" fieldPosition="0">
        <references count="2">
          <reference field="6" count="1" selected="0">
            <x v="92"/>
          </reference>
          <reference field="23" count="1">
            <x v="1"/>
          </reference>
        </references>
      </pivotArea>
    </format>
    <format dxfId="933">
      <pivotArea dataOnly="0" labelOnly="1" outline="0" fieldPosition="0">
        <references count="2">
          <reference field="6" count="1" selected="0">
            <x v="93"/>
          </reference>
          <reference field="23" count="1">
            <x v="1"/>
          </reference>
        </references>
      </pivotArea>
    </format>
    <format dxfId="932">
      <pivotArea dataOnly="0" labelOnly="1" outline="0" fieldPosition="0">
        <references count="2">
          <reference field="6" count="1" selected="0">
            <x v="94"/>
          </reference>
          <reference field="23" count="1">
            <x v="1"/>
          </reference>
        </references>
      </pivotArea>
    </format>
    <format dxfId="931">
      <pivotArea dataOnly="0" labelOnly="1" outline="0" fieldPosition="0">
        <references count="2">
          <reference field="6" count="1" selected="0">
            <x v="95"/>
          </reference>
          <reference field="23" count="1">
            <x v="1"/>
          </reference>
        </references>
      </pivotArea>
    </format>
    <format dxfId="930">
      <pivotArea dataOnly="0" labelOnly="1" outline="0" fieldPosition="0">
        <references count="2">
          <reference field="6" count="1" selected="0">
            <x v="96"/>
          </reference>
          <reference field="23" count="1">
            <x v="1"/>
          </reference>
        </references>
      </pivotArea>
    </format>
    <format dxfId="929">
      <pivotArea dataOnly="0" labelOnly="1" outline="0" fieldPosition="0">
        <references count="2">
          <reference field="6" count="1" selected="0">
            <x v="97"/>
          </reference>
          <reference field="23" count="1">
            <x v="1"/>
          </reference>
        </references>
      </pivotArea>
    </format>
    <format dxfId="928">
      <pivotArea dataOnly="0" labelOnly="1" outline="0" fieldPosition="0">
        <references count="2">
          <reference field="6" count="1" selected="0">
            <x v="98"/>
          </reference>
          <reference field="23" count="1">
            <x v="4"/>
          </reference>
        </references>
      </pivotArea>
    </format>
    <format dxfId="927">
      <pivotArea dataOnly="0" labelOnly="1" outline="0" fieldPosition="0">
        <references count="2">
          <reference field="6" count="1" selected="0">
            <x v="99"/>
          </reference>
          <reference field="23" count="1">
            <x v="1"/>
          </reference>
        </references>
      </pivotArea>
    </format>
    <format dxfId="926">
      <pivotArea dataOnly="0" labelOnly="1" outline="0" fieldPosition="0">
        <references count="2">
          <reference field="6" count="1" selected="0">
            <x v="100"/>
          </reference>
          <reference field="23" count="1">
            <x v="2"/>
          </reference>
        </references>
      </pivotArea>
    </format>
    <format dxfId="925">
      <pivotArea dataOnly="0" labelOnly="1" outline="0" fieldPosition="0">
        <references count="2">
          <reference field="6" count="1" selected="0">
            <x v="101"/>
          </reference>
          <reference field="23" count="1">
            <x v="1"/>
          </reference>
        </references>
      </pivotArea>
    </format>
    <format dxfId="924">
      <pivotArea dataOnly="0" labelOnly="1" outline="0" fieldPosition="0">
        <references count="2">
          <reference field="6" count="1" selected="0">
            <x v="102"/>
          </reference>
          <reference field="23" count="1">
            <x v="1"/>
          </reference>
        </references>
      </pivotArea>
    </format>
    <format dxfId="923">
      <pivotArea dataOnly="0" labelOnly="1" outline="0" fieldPosition="0">
        <references count="2">
          <reference field="6" count="1" selected="0">
            <x v="103"/>
          </reference>
          <reference field="23" count="1">
            <x v="2"/>
          </reference>
        </references>
      </pivotArea>
    </format>
    <format dxfId="922">
      <pivotArea dataOnly="0" labelOnly="1" outline="0" fieldPosition="0">
        <references count="2">
          <reference field="6" count="1" selected="0">
            <x v="104"/>
          </reference>
          <reference field="23" count="1">
            <x v="1"/>
          </reference>
        </references>
      </pivotArea>
    </format>
    <format dxfId="921">
      <pivotArea dataOnly="0" labelOnly="1" outline="0" fieldPosition="0">
        <references count="2">
          <reference field="6" count="1" selected="0">
            <x v="105"/>
          </reference>
          <reference field="23" count="1">
            <x v="0"/>
          </reference>
        </references>
      </pivotArea>
    </format>
    <format dxfId="920">
      <pivotArea dataOnly="0" labelOnly="1" outline="0" fieldPosition="0">
        <references count="2">
          <reference field="6" count="1" selected="0">
            <x v="106"/>
          </reference>
          <reference field="23" count="1">
            <x v="1"/>
          </reference>
        </references>
      </pivotArea>
    </format>
    <format dxfId="919">
      <pivotArea dataOnly="0" labelOnly="1" outline="0" fieldPosition="0">
        <references count="2">
          <reference field="6" count="1" selected="0">
            <x v="107"/>
          </reference>
          <reference field="23" count="1">
            <x v="1"/>
          </reference>
        </references>
      </pivotArea>
    </format>
    <format dxfId="918">
      <pivotArea dataOnly="0" labelOnly="1" outline="0" fieldPosition="0">
        <references count="2">
          <reference field="6" count="1" selected="0">
            <x v="108"/>
          </reference>
          <reference field="23" count="1">
            <x v="5"/>
          </reference>
        </references>
      </pivotArea>
    </format>
    <format dxfId="917">
      <pivotArea dataOnly="0" labelOnly="1" outline="0" fieldPosition="0">
        <references count="2">
          <reference field="6" count="1" selected="0">
            <x v="109"/>
          </reference>
          <reference field="23" count="1">
            <x v="1"/>
          </reference>
        </references>
      </pivotArea>
    </format>
    <format dxfId="916">
      <pivotArea dataOnly="0" labelOnly="1" outline="0" fieldPosition="0">
        <references count="2">
          <reference field="6" count="1" selected="0">
            <x v="110"/>
          </reference>
          <reference field="23" count="1">
            <x v="1"/>
          </reference>
        </references>
      </pivotArea>
    </format>
    <format dxfId="915">
      <pivotArea dataOnly="0" labelOnly="1" outline="0" fieldPosition="0">
        <references count="2">
          <reference field="6" count="1" selected="0">
            <x v="111"/>
          </reference>
          <reference field="23" count="1">
            <x v="3"/>
          </reference>
        </references>
      </pivotArea>
    </format>
    <format dxfId="914">
      <pivotArea dataOnly="0" labelOnly="1" outline="0" fieldPosition="0">
        <references count="2">
          <reference field="6" count="1" selected="0">
            <x v="112"/>
          </reference>
          <reference field="23" count="1">
            <x v="1"/>
          </reference>
        </references>
      </pivotArea>
    </format>
    <format dxfId="913">
      <pivotArea dataOnly="0" labelOnly="1" outline="0" fieldPosition="0">
        <references count="2">
          <reference field="6" count="1" selected="0">
            <x v="113"/>
          </reference>
          <reference field="23" count="1">
            <x v="3"/>
          </reference>
        </references>
      </pivotArea>
    </format>
    <format dxfId="912">
      <pivotArea dataOnly="0" labelOnly="1" outline="0" fieldPosition="0">
        <references count="2">
          <reference field="6" count="1" selected="0">
            <x v="114"/>
          </reference>
          <reference field="23" count="1">
            <x v="1"/>
          </reference>
        </references>
      </pivotArea>
    </format>
    <format dxfId="911">
      <pivotArea dataOnly="0" labelOnly="1" outline="0" fieldPosition="0">
        <references count="2">
          <reference field="6" count="1" selected="0">
            <x v="115"/>
          </reference>
          <reference field="23" count="1">
            <x v="1"/>
          </reference>
        </references>
      </pivotArea>
    </format>
    <format dxfId="910">
      <pivotArea dataOnly="0" labelOnly="1" outline="0" fieldPosition="0">
        <references count="2">
          <reference field="6" count="1" selected="0">
            <x v="116"/>
          </reference>
          <reference field="23" count="1">
            <x v="2"/>
          </reference>
        </references>
      </pivotArea>
    </format>
    <format dxfId="909">
      <pivotArea dataOnly="0" labelOnly="1" outline="0" fieldPosition="0">
        <references count="2">
          <reference field="6" count="1" selected="0">
            <x v="117"/>
          </reference>
          <reference field="23" count="1">
            <x v="2"/>
          </reference>
        </references>
      </pivotArea>
    </format>
    <format dxfId="908">
      <pivotArea dataOnly="0" labelOnly="1" outline="0" fieldPosition="0">
        <references count="2">
          <reference field="6" count="1" selected="0">
            <x v="118"/>
          </reference>
          <reference field="23" count="1">
            <x v="2"/>
          </reference>
        </references>
      </pivotArea>
    </format>
    <format dxfId="907">
      <pivotArea dataOnly="0" labelOnly="1" outline="0" fieldPosition="0">
        <references count="2">
          <reference field="6" count="1" selected="0">
            <x v="119"/>
          </reference>
          <reference field="23" count="1">
            <x v="0"/>
          </reference>
        </references>
      </pivotArea>
    </format>
    <format dxfId="906">
      <pivotArea dataOnly="0" labelOnly="1" outline="0" fieldPosition="0">
        <references count="2">
          <reference field="6" count="1" selected="0">
            <x v="120"/>
          </reference>
          <reference field="23" count="1">
            <x v="1"/>
          </reference>
        </references>
      </pivotArea>
    </format>
    <format dxfId="905">
      <pivotArea dataOnly="0" labelOnly="1" outline="0" fieldPosition="0">
        <references count="2">
          <reference field="6" count="1" selected="0">
            <x v="121"/>
          </reference>
          <reference field="23" count="1">
            <x v="3"/>
          </reference>
        </references>
      </pivotArea>
    </format>
    <format dxfId="904">
      <pivotArea dataOnly="0" labelOnly="1" outline="0" fieldPosition="0">
        <references count="2">
          <reference field="6" count="1" selected="0">
            <x v="122"/>
          </reference>
          <reference field="23" count="1">
            <x v="2"/>
          </reference>
        </references>
      </pivotArea>
    </format>
    <format dxfId="903">
      <pivotArea dataOnly="0" labelOnly="1" outline="0" fieldPosition="0">
        <references count="2">
          <reference field="6" count="1" selected="0">
            <x v="123"/>
          </reference>
          <reference field="23" count="1">
            <x v="2"/>
          </reference>
        </references>
      </pivotArea>
    </format>
    <format dxfId="902">
      <pivotArea dataOnly="0" labelOnly="1" outline="0" fieldPosition="0">
        <references count="2">
          <reference field="6" count="1" selected="0">
            <x v="124"/>
          </reference>
          <reference field="23" count="1">
            <x v="1"/>
          </reference>
        </references>
      </pivotArea>
    </format>
    <format dxfId="901">
      <pivotArea dataOnly="0" labelOnly="1" outline="0" fieldPosition="0">
        <references count="2">
          <reference field="6" count="1" selected="0">
            <x v="125"/>
          </reference>
          <reference field="23" count="1">
            <x v="1"/>
          </reference>
        </references>
      </pivotArea>
    </format>
    <format dxfId="900">
      <pivotArea dataOnly="0" labelOnly="1" outline="0" fieldPosition="0">
        <references count="2">
          <reference field="6" count="1" selected="0">
            <x v="126"/>
          </reference>
          <reference field="23" count="1">
            <x v="5"/>
          </reference>
        </references>
      </pivotArea>
    </format>
    <format dxfId="899">
      <pivotArea dataOnly="0" labelOnly="1" outline="0" fieldPosition="0">
        <references count="2">
          <reference field="6" count="1" selected="0">
            <x v="127"/>
          </reference>
          <reference field="23" count="1">
            <x v="0"/>
          </reference>
        </references>
      </pivotArea>
    </format>
    <format dxfId="898">
      <pivotArea dataOnly="0" labelOnly="1" outline="0" fieldPosition="0">
        <references count="2">
          <reference field="6" count="1" selected="0">
            <x v="128"/>
          </reference>
          <reference field="23" count="1">
            <x v="2"/>
          </reference>
        </references>
      </pivotArea>
    </format>
    <format dxfId="897">
      <pivotArea dataOnly="0" labelOnly="1" outline="0" fieldPosition="0">
        <references count="2">
          <reference field="6" count="1" selected="0">
            <x v="129"/>
          </reference>
          <reference field="23" count="1">
            <x v="1"/>
          </reference>
        </references>
      </pivotArea>
    </format>
    <format dxfId="896">
      <pivotArea dataOnly="0" labelOnly="1" outline="0" fieldPosition="0">
        <references count="2">
          <reference field="6" count="1" selected="0">
            <x v="130"/>
          </reference>
          <reference field="23" count="1">
            <x v="2"/>
          </reference>
        </references>
      </pivotArea>
    </format>
    <format dxfId="895">
      <pivotArea dataOnly="0" labelOnly="1" outline="0" fieldPosition="0">
        <references count="2">
          <reference field="6" count="1" selected="0">
            <x v="131"/>
          </reference>
          <reference field="23" count="1">
            <x v="1"/>
          </reference>
        </references>
      </pivotArea>
    </format>
    <format dxfId="894">
      <pivotArea dataOnly="0" labelOnly="1" outline="0" fieldPosition="0">
        <references count="2">
          <reference field="6" count="1" selected="0">
            <x v="132"/>
          </reference>
          <reference field="23" count="1">
            <x v="1"/>
          </reference>
        </references>
      </pivotArea>
    </format>
    <format dxfId="893">
      <pivotArea dataOnly="0" labelOnly="1" outline="0" fieldPosition="0">
        <references count="2">
          <reference field="6" count="1" selected="0">
            <x v="133"/>
          </reference>
          <reference field="23" count="1">
            <x v="3"/>
          </reference>
        </references>
      </pivotArea>
    </format>
    <format dxfId="892">
      <pivotArea dataOnly="0" labelOnly="1" outline="0" fieldPosition="0">
        <references count="2">
          <reference field="6" count="1" selected="0">
            <x v="2"/>
          </reference>
          <reference field="23" count="1">
            <x v="1"/>
          </reference>
        </references>
      </pivotArea>
    </format>
    <format dxfId="891">
      <pivotArea dataOnly="0" labelOnly="1" outline="0" fieldPosition="0">
        <references count="2">
          <reference field="6" count="1" selected="0">
            <x v="16"/>
          </reference>
          <reference field="23" count="1">
            <x v="2"/>
          </reference>
        </references>
      </pivotArea>
    </format>
    <format dxfId="890">
      <pivotArea dataOnly="0" labelOnly="1" outline="0" fieldPosition="0">
        <references count="2">
          <reference field="6" count="1" selected="0">
            <x v="20"/>
          </reference>
          <reference field="23" count="1">
            <x v="1"/>
          </reference>
        </references>
      </pivotArea>
    </format>
    <format dxfId="889">
      <pivotArea dataOnly="0" labelOnly="1" outline="0" fieldPosition="0">
        <references count="2">
          <reference field="6" count="1" selected="0">
            <x v="27"/>
          </reference>
          <reference field="23" count="1">
            <x v="1"/>
          </reference>
        </references>
      </pivotArea>
    </format>
    <format dxfId="888">
      <pivotArea dataOnly="0" labelOnly="1" outline="0" fieldPosition="0">
        <references count="2">
          <reference field="6" count="1" selected="0">
            <x v="30"/>
          </reference>
          <reference field="23" count="1">
            <x v="1"/>
          </reference>
        </references>
      </pivotArea>
    </format>
    <format dxfId="887">
      <pivotArea dataOnly="0" labelOnly="1" outline="0" fieldPosition="0">
        <references count="2">
          <reference field="6" count="1" selected="0">
            <x v="36"/>
          </reference>
          <reference field="23" count="1">
            <x v="1"/>
          </reference>
        </references>
      </pivotArea>
    </format>
    <format dxfId="886">
      <pivotArea dataOnly="0" labelOnly="1" outline="0" fieldPosition="0">
        <references count="2">
          <reference field="6" count="1" selected="0">
            <x v="43"/>
          </reference>
          <reference field="23" count="1">
            <x v="2"/>
          </reference>
        </references>
      </pivotArea>
    </format>
    <format dxfId="885">
      <pivotArea dataOnly="0" labelOnly="1" outline="0" fieldPosition="0">
        <references count="2">
          <reference field="6" count="1" selected="0">
            <x v="44"/>
          </reference>
          <reference field="23" count="1">
            <x v="2"/>
          </reference>
        </references>
      </pivotArea>
    </format>
    <format dxfId="884">
      <pivotArea dataOnly="0" labelOnly="1" outline="0" fieldPosition="0">
        <references count="2">
          <reference field="6" count="1" selected="0">
            <x v="46"/>
          </reference>
          <reference field="23" count="1">
            <x v="1"/>
          </reference>
        </references>
      </pivotArea>
    </format>
    <format dxfId="883">
      <pivotArea dataOnly="0" labelOnly="1" outline="0" fieldPosition="0">
        <references count="2">
          <reference field="6" count="1" selected="0">
            <x v="47"/>
          </reference>
          <reference field="23" count="1">
            <x v="2"/>
          </reference>
        </references>
      </pivotArea>
    </format>
    <format dxfId="882">
      <pivotArea dataOnly="0" labelOnly="1" outline="0" fieldPosition="0">
        <references count="2">
          <reference field="6" count="1" selected="0">
            <x v="62"/>
          </reference>
          <reference field="23" count="1">
            <x v="1"/>
          </reference>
        </references>
      </pivotArea>
    </format>
    <format dxfId="881">
      <pivotArea dataOnly="0" labelOnly="1" outline="0" fieldPosition="0">
        <references count="2">
          <reference field="6" count="1" selected="0">
            <x v="68"/>
          </reference>
          <reference field="23" count="1">
            <x v="1"/>
          </reference>
        </references>
      </pivotArea>
    </format>
    <format dxfId="880">
      <pivotArea dataOnly="0" labelOnly="1" outline="0" fieldPosition="0">
        <references count="2">
          <reference field="6" count="1" selected="0">
            <x v="73"/>
          </reference>
          <reference field="23" count="1">
            <x v="2"/>
          </reference>
        </references>
      </pivotArea>
    </format>
    <format dxfId="879">
      <pivotArea dataOnly="0" labelOnly="1" outline="0" fieldPosition="0">
        <references count="2">
          <reference field="6" count="1" selected="0">
            <x v="75"/>
          </reference>
          <reference field="23" count="1">
            <x v="1"/>
          </reference>
        </references>
      </pivotArea>
    </format>
    <format dxfId="878">
      <pivotArea dataOnly="0" labelOnly="1" outline="0" fieldPosition="0">
        <references count="2">
          <reference field="6" count="1" selected="0">
            <x v="76"/>
          </reference>
          <reference field="23" count="1">
            <x v="1"/>
          </reference>
        </references>
      </pivotArea>
    </format>
    <format dxfId="877">
      <pivotArea dataOnly="0" labelOnly="1" outline="0" fieldPosition="0">
        <references count="2">
          <reference field="6" count="1" selected="0">
            <x v="77"/>
          </reference>
          <reference field="23" count="1">
            <x v="1"/>
          </reference>
        </references>
      </pivotArea>
    </format>
    <format dxfId="876">
      <pivotArea dataOnly="0" labelOnly="1" outline="0" fieldPosition="0">
        <references count="2">
          <reference field="6" count="1" selected="0">
            <x v="78"/>
          </reference>
          <reference field="23" count="1">
            <x v="1"/>
          </reference>
        </references>
      </pivotArea>
    </format>
    <format dxfId="875">
      <pivotArea dataOnly="0" labelOnly="1" outline="0" fieldPosition="0">
        <references count="2">
          <reference field="6" count="1" selected="0">
            <x v="79"/>
          </reference>
          <reference field="23" count="1">
            <x v="1"/>
          </reference>
        </references>
      </pivotArea>
    </format>
    <format dxfId="874">
      <pivotArea dataOnly="0" labelOnly="1" outline="0" fieldPosition="0">
        <references count="2">
          <reference field="6" count="1" selected="0">
            <x v="80"/>
          </reference>
          <reference field="23" count="1">
            <x v="0"/>
          </reference>
        </references>
      </pivotArea>
    </format>
    <format dxfId="873">
      <pivotArea dataOnly="0" labelOnly="1" outline="0" fieldPosition="0">
        <references count="2">
          <reference field="6" count="1" selected="0">
            <x v="81"/>
          </reference>
          <reference field="23" count="1">
            <x v="1"/>
          </reference>
        </references>
      </pivotArea>
    </format>
    <format dxfId="872">
      <pivotArea dataOnly="0" labelOnly="1" outline="0" fieldPosition="0">
        <references count="2">
          <reference field="6" count="1" selected="0">
            <x v="82"/>
          </reference>
          <reference field="23" count="1">
            <x v="1"/>
          </reference>
        </references>
      </pivotArea>
    </format>
    <format dxfId="871">
      <pivotArea dataOnly="0" labelOnly="1" outline="0" fieldPosition="0">
        <references count="2">
          <reference field="6" count="1" selected="0">
            <x v="83"/>
          </reference>
          <reference field="23" count="1">
            <x v="2"/>
          </reference>
        </references>
      </pivotArea>
    </format>
    <format dxfId="870">
      <pivotArea dataOnly="0" labelOnly="1" outline="0" fieldPosition="0">
        <references count="2">
          <reference field="6" count="1" selected="0">
            <x v="84"/>
          </reference>
          <reference field="23" count="1">
            <x v="1"/>
          </reference>
        </references>
      </pivotArea>
    </format>
    <format dxfId="869">
      <pivotArea dataOnly="0" labelOnly="1" outline="0" fieldPosition="0">
        <references count="2">
          <reference field="6" count="1" selected="0">
            <x v="85"/>
          </reference>
          <reference field="23" count="1">
            <x v="1"/>
          </reference>
        </references>
      </pivotArea>
    </format>
    <format dxfId="868">
      <pivotArea dataOnly="0" labelOnly="1" outline="0" fieldPosition="0">
        <references count="2">
          <reference field="6" count="1" selected="0">
            <x v="86"/>
          </reference>
          <reference field="23" count="1">
            <x v="1"/>
          </reference>
        </references>
      </pivotArea>
    </format>
    <format dxfId="867">
      <pivotArea dataOnly="0" labelOnly="1" outline="0" fieldPosition="0">
        <references count="2">
          <reference field="6" count="1" selected="0">
            <x v="87"/>
          </reference>
          <reference field="23" count="1">
            <x v="1"/>
          </reference>
        </references>
      </pivotArea>
    </format>
    <format dxfId="866">
      <pivotArea dataOnly="0" labelOnly="1" outline="0" fieldPosition="0">
        <references count="2">
          <reference field="6" count="1" selected="0">
            <x v="88"/>
          </reference>
          <reference field="23" count="1">
            <x v="5"/>
          </reference>
        </references>
      </pivotArea>
    </format>
    <format dxfId="865">
      <pivotArea dataOnly="0" labelOnly="1" outline="0" fieldPosition="0">
        <references count="2">
          <reference field="6" count="1" selected="0">
            <x v="89"/>
          </reference>
          <reference field="23" count="1">
            <x v="5"/>
          </reference>
        </references>
      </pivotArea>
    </format>
    <format dxfId="864">
      <pivotArea dataOnly="0" labelOnly="1" outline="0" fieldPosition="0">
        <references count="2">
          <reference field="6" count="1" selected="0">
            <x v="90"/>
          </reference>
          <reference field="23" count="1">
            <x v="1"/>
          </reference>
        </references>
      </pivotArea>
    </format>
    <format dxfId="863">
      <pivotArea dataOnly="0" labelOnly="1" outline="0" fieldPosition="0">
        <references count="2">
          <reference field="6" count="1" selected="0">
            <x v="91"/>
          </reference>
          <reference field="23" count="1">
            <x v="1"/>
          </reference>
        </references>
      </pivotArea>
    </format>
    <format dxfId="862">
      <pivotArea dataOnly="0" labelOnly="1" outline="0" fieldPosition="0">
        <references count="2">
          <reference field="6" count="1" selected="0">
            <x v="92"/>
          </reference>
          <reference field="23" count="1">
            <x v="1"/>
          </reference>
        </references>
      </pivotArea>
    </format>
    <format dxfId="861">
      <pivotArea dataOnly="0" labelOnly="1" outline="0" fieldPosition="0">
        <references count="2">
          <reference field="6" count="1" selected="0">
            <x v="93"/>
          </reference>
          <reference field="23" count="1">
            <x v="1"/>
          </reference>
        </references>
      </pivotArea>
    </format>
    <format dxfId="860">
      <pivotArea dataOnly="0" labelOnly="1" outline="0" fieldPosition="0">
        <references count="2">
          <reference field="6" count="1" selected="0">
            <x v="94"/>
          </reference>
          <reference field="23" count="1">
            <x v="1"/>
          </reference>
        </references>
      </pivotArea>
    </format>
    <format dxfId="859">
      <pivotArea dataOnly="0" labelOnly="1" outline="0" fieldPosition="0">
        <references count="2">
          <reference field="6" count="1" selected="0">
            <x v="95"/>
          </reference>
          <reference field="23" count="1">
            <x v="1"/>
          </reference>
        </references>
      </pivotArea>
    </format>
    <format dxfId="858">
      <pivotArea dataOnly="0" labelOnly="1" outline="0" fieldPosition="0">
        <references count="2">
          <reference field="6" count="1" selected="0">
            <x v="96"/>
          </reference>
          <reference field="23" count="1">
            <x v="1"/>
          </reference>
        </references>
      </pivotArea>
    </format>
    <format dxfId="857">
      <pivotArea dataOnly="0" labelOnly="1" outline="0" fieldPosition="0">
        <references count="2">
          <reference field="6" count="1" selected="0">
            <x v="97"/>
          </reference>
          <reference field="23" count="1">
            <x v="1"/>
          </reference>
        </references>
      </pivotArea>
    </format>
    <format dxfId="856">
      <pivotArea dataOnly="0" labelOnly="1" outline="0" fieldPosition="0">
        <references count="2">
          <reference field="6" count="1" selected="0">
            <x v="98"/>
          </reference>
          <reference field="23" count="1">
            <x v="4"/>
          </reference>
        </references>
      </pivotArea>
    </format>
    <format dxfId="855">
      <pivotArea dataOnly="0" labelOnly="1" outline="0" fieldPosition="0">
        <references count="2">
          <reference field="6" count="1" selected="0">
            <x v="99"/>
          </reference>
          <reference field="23" count="1">
            <x v="1"/>
          </reference>
        </references>
      </pivotArea>
    </format>
    <format dxfId="854">
      <pivotArea dataOnly="0" labelOnly="1" outline="0" fieldPosition="0">
        <references count="2">
          <reference field="6" count="1" selected="0">
            <x v="100"/>
          </reference>
          <reference field="23" count="1">
            <x v="2"/>
          </reference>
        </references>
      </pivotArea>
    </format>
    <format dxfId="853">
      <pivotArea dataOnly="0" labelOnly="1" outline="0" fieldPosition="0">
        <references count="2">
          <reference field="6" count="1" selected="0">
            <x v="101"/>
          </reference>
          <reference field="23" count="1">
            <x v="1"/>
          </reference>
        </references>
      </pivotArea>
    </format>
    <format dxfId="852">
      <pivotArea dataOnly="0" labelOnly="1" outline="0" fieldPosition="0">
        <references count="2">
          <reference field="6" count="1" selected="0">
            <x v="102"/>
          </reference>
          <reference field="23" count="1">
            <x v="1"/>
          </reference>
        </references>
      </pivotArea>
    </format>
    <format dxfId="851">
      <pivotArea dataOnly="0" labelOnly="1" outline="0" fieldPosition="0">
        <references count="2">
          <reference field="6" count="1" selected="0">
            <x v="103"/>
          </reference>
          <reference field="23" count="1">
            <x v="2"/>
          </reference>
        </references>
      </pivotArea>
    </format>
    <format dxfId="850">
      <pivotArea dataOnly="0" labelOnly="1" outline="0" fieldPosition="0">
        <references count="2">
          <reference field="6" count="1" selected="0">
            <x v="104"/>
          </reference>
          <reference field="23" count="1">
            <x v="1"/>
          </reference>
        </references>
      </pivotArea>
    </format>
    <format dxfId="849">
      <pivotArea dataOnly="0" labelOnly="1" outline="0" fieldPosition="0">
        <references count="2">
          <reference field="6" count="1" selected="0">
            <x v="105"/>
          </reference>
          <reference field="23" count="1">
            <x v="0"/>
          </reference>
        </references>
      </pivotArea>
    </format>
    <format dxfId="848">
      <pivotArea dataOnly="0" labelOnly="1" outline="0" fieldPosition="0">
        <references count="2">
          <reference field="6" count="1" selected="0">
            <x v="106"/>
          </reference>
          <reference field="23" count="1">
            <x v="1"/>
          </reference>
        </references>
      </pivotArea>
    </format>
    <format dxfId="847">
      <pivotArea dataOnly="0" labelOnly="1" outline="0" fieldPosition="0">
        <references count="2">
          <reference field="6" count="1" selected="0">
            <x v="107"/>
          </reference>
          <reference field="23" count="1">
            <x v="1"/>
          </reference>
        </references>
      </pivotArea>
    </format>
    <format dxfId="846">
      <pivotArea dataOnly="0" labelOnly="1" outline="0" fieldPosition="0">
        <references count="2">
          <reference field="6" count="1" selected="0">
            <x v="108"/>
          </reference>
          <reference field="23" count="1">
            <x v="5"/>
          </reference>
        </references>
      </pivotArea>
    </format>
    <format dxfId="845">
      <pivotArea dataOnly="0" labelOnly="1" outline="0" fieldPosition="0">
        <references count="2">
          <reference field="6" count="1" selected="0">
            <x v="109"/>
          </reference>
          <reference field="23" count="1">
            <x v="1"/>
          </reference>
        </references>
      </pivotArea>
    </format>
    <format dxfId="844">
      <pivotArea dataOnly="0" labelOnly="1" outline="0" fieldPosition="0">
        <references count="2">
          <reference field="6" count="1" selected="0">
            <x v="110"/>
          </reference>
          <reference field="23" count="1">
            <x v="1"/>
          </reference>
        </references>
      </pivotArea>
    </format>
    <format dxfId="843">
      <pivotArea dataOnly="0" labelOnly="1" outline="0" fieldPosition="0">
        <references count="2">
          <reference field="6" count="1" selected="0">
            <x v="111"/>
          </reference>
          <reference field="23" count="1">
            <x v="3"/>
          </reference>
        </references>
      </pivotArea>
    </format>
    <format dxfId="842">
      <pivotArea dataOnly="0" labelOnly="1" outline="0" fieldPosition="0">
        <references count="2">
          <reference field="6" count="1" selected="0">
            <x v="112"/>
          </reference>
          <reference field="23" count="1">
            <x v="1"/>
          </reference>
        </references>
      </pivotArea>
    </format>
    <format dxfId="841">
      <pivotArea dataOnly="0" labelOnly="1" outline="0" fieldPosition="0">
        <references count="2">
          <reference field="6" count="1" selected="0">
            <x v="113"/>
          </reference>
          <reference field="23" count="1">
            <x v="3"/>
          </reference>
        </references>
      </pivotArea>
    </format>
    <format dxfId="840">
      <pivotArea dataOnly="0" labelOnly="1" outline="0" fieldPosition="0">
        <references count="2">
          <reference field="6" count="1" selected="0">
            <x v="114"/>
          </reference>
          <reference field="23" count="1">
            <x v="1"/>
          </reference>
        </references>
      </pivotArea>
    </format>
    <format dxfId="839">
      <pivotArea dataOnly="0" labelOnly="1" outline="0" fieldPosition="0">
        <references count="2">
          <reference field="6" count="1" selected="0">
            <x v="115"/>
          </reference>
          <reference field="23" count="1">
            <x v="1"/>
          </reference>
        </references>
      </pivotArea>
    </format>
    <format dxfId="838">
      <pivotArea dataOnly="0" labelOnly="1" outline="0" fieldPosition="0">
        <references count="2">
          <reference field="6" count="1" selected="0">
            <x v="116"/>
          </reference>
          <reference field="23" count="1">
            <x v="2"/>
          </reference>
        </references>
      </pivotArea>
    </format>
    <format dxfId="837">
      <pivotArea dataOnly="0" labelOnly="1" outline="0" fieldPosition="0">
        <references count="2">
          <reference field="6" count="1" selected="0">
            <x v="117"/>
          </reference>
          <reference field="23" count="1">
            <x v="2"/>
          </reference>
        </references>
      </pivotArea>
    </format>
    <format dxfId="836">
      <pivotArea dataOnly="0" labelOnly="1" outline="0" fieldPosition="0">
        <references count="2">
          <reference field="6" count="1" selected="0">
            <x v="118"/>
          </reference>
          <reference field="23" count="1">
            <x v="2"/>
          </reference>
        </references>
      </pivotArea>
    </format>
    <format dxfId="835">
      <pivotArea dataOnly="0" labelOnly="1" outline="0" fieldPosition="0">
        <references count="2">
          <reference field="6" count="1" selected="0">
            <x v="119"/>
          </reference>
          <reference field="23" count="1">
            <x v="0"/>
          </reference>
        </references>
      </pivotArea>
    </format>
    <format dxfId="834">
      <pivotArea dataOnly="0" labelOnly="1" outline="0" fieldPosition="0">
        <references count="2">
          <reference field="6" count="1" selected="0">
            <x v="120"/>
          </reference>
          <reference field="23" count="1">
            <x v="1"/>
          </reference>
        </references>
      </pivotArea>
    </format>
    <format dxfId="833">
      <pivotArea dataOnly="0" labelOnly="1" outline="0" fieldPosition="0">
        <references count="2">
          <reference field="6" count="1" selected="0">
            <x v="121"/>
          </reference>
          <reference field="23" count="1">
            <x v="3"/>
          </reference>
        </references>
      </pivotArea>
    </format>
    <format dxfId="832">
      <pivotArea dataOnly="0" labelOnly="1" outline="0" fieldPosition="0">
        <references count="2">
          <reference field="6" count="1" selected="0">
            <x v="122"/>
          </reference>
          <reference field="23" count="1">
            <x v="2"/>
          </reference>
        </references>
      </pivotArea>
    </format>
    <format dxfId="831">
      <pivotArea dataOnly="0" labelOnly="1" outline="0" fieldPosition="0">
        <references count="2">
          <reference field="6" count="1" selected="0">
            <x v="123"/>
          </reference>
          <reference field="23" count="1">
            <x v="2"/>
          </reference>
        </references>
      </pivotArea>
    </format>
    <format dxfId="830">
      <pivotArea dataOnly="0" labelOnly="1" outline="0" fieldPosition="0">
        <references count="2">
          <reference field="6" count="1" selected="0">
            <x v="124"/>
          </reference>
          <reference field="23" count="1">
            <x v="1"/>
          </reference>
        </references>
      </pivotArea>
    </format>
    <format dxfId="829">
      <pivotArea dataOnly="0" labelOnly="1" outline="0" fieldPosition="0">
        <references count="2">
          <reference field="6" count="1" selected="0">
            <x v="125"/>
          </reference>
          <reference field="23" count="1">
            <x v="1"/>
          </reference>
        </references>
      </pivotArea>
    </format>
    <format dxfId="828">
      <pivotArea dataOnly="0" labelOnly="1" outline="0" fieldPosition="0">
        <references count="2">
          <reference field="6" count="1" selected="0">
            <x v="126"/>
          </reference>
          <reference field="23" count="1">
            <x v="5"/>
          </reference>
        </references>
      </pivotArea>
    </format>
    <format dxfId="827">
      <pivotArea dataOnly="0" labelOnly="1" outline="0" fieldPosition="0">
        <references count="2">
          <reference field="6" count="1" selected="0">
            <x v="127"/>
          </reference>
          <reference field="23" count="1">
            <x v="0"/>
          </reference>
        </references>
      </pivotArea>
    </format>
    <format dxfId="826">
      <pivotArea dataOnly="0" labelOnly="1" outline="0" fieldPosition="0">
        <references count="2">
          <reference field="6" count="1" selected="0">
            <x v="128"/>
          </reference>
          <reference field="23" count="1">
            <x v="2"/>
          </reference>
        </references>
      </pivotArea>
    </format>
    <format dxfId="825">
      <pivotArea dataOnly="0" labelOnly="1" outline="0" fieldPosition="0">
        <references count="2">
          <reference field="6" count="1" selected="0">
            <x v="129"/>
          </reference>
          <reference field="23" count="1">
            <x v="1"/>
          </reference>
        </references>
      </pivotArea>
    </format>
    <format dxfId="824">
      <pivotArea dataOnly="0" labelOnly="1" outline="0" fieldPosition="0">
        <references count="2">
          <reference field="6" count="1" selected="0">
            <x v="130"/>
          </reference>
          <reference field="23" count="1">
            <x v="2"/>
          </reference>
        </references>
      </pivotArea>
    </format>
    <format dxfId="823">
      <pivotArea dataOnly="0" labelOnly="1" outline="0" fieldPosition="0">
        <references count="2">
          <reference field="6" count="1" selected="0">
            <x v="131"/>
          </reference>
          <reference field="23" count="1">
            <x v="1"/>
          </reference>
        </references>
      </pivotArea>
    </format>
    <format dxfId="822">
      <pivotArea dataOnly="0" labelOnly="1" outline="0" fieldPosition="0">
        <references count="2">
          <reference field="6" count="1" selected="0">
            <x v="132"/>
          </reference>
          <reference field="23" count="1">
            <x v="1"/>
          </reference>
        </references>
      </pivotArea>
    </format>
    <format dxfId="821">
      <pivotArea dataOnly="0" labelOnly="1" outline="0" fieldPosition="0">
        <references count="2">
          <reference field="6" count="1" selected="0">
            <x v="133"/>
          </reference>
          <reference field="23" count="1">
            <x v="3"/>
          </reference>
        </references>
      </pivotArea>
    </format>
    <format dxfId="820">
      <pivotArea dataOnly="0" labelOnly="1" outline="0" fieldPosition="0">
        <references count="1">
          <reference field="6" count="26">
            <x v="75"/>
            <x v="76"/>
            <x v="77"/>
            <x v="78"/>
            <x v="79"/>
            <x v="80"/>
            <x v="81"/>
            <x v="82"/>
            <x v="83"/>
            <x v="84"/>
            <x v="85"/>
            <x v="86"/>
            <x v="87"/>
            <x v="88"/>
            <x v="89"/>
            <x v="90"/>
            <x v="91"/>
            <x v="92"/>
            <x v="93"/>
            <x v="94"/>
            <x v="95"/>
            <x v="96"/>
            <x v="97"/>
            <x v="98"/>
            <x v="99"/>
            <x v="100"/>
          </reference>
        </references>
      </pivotArea>
    </format>
    <format dxfId="819">
      <pivotArea dataOnly="0" labelOnly="1" outline="0" fieldPosition="0">
        <references count="1">
          <reference field="6" count="19">
            <x v="115"/>
            <x v="116"/>
            <x v="117"/>
            <x v="118"/>
            <x v="119"/>
            <x v="120"/>
            <x v="121"/>
            <x v="122"/>
            <x v="123"/>
            <x v="124"/>
            <x v="125"/>
            <x v="126"/>
            <x v="127"/>
            <x v="128"/>
            <x v="129"/>
            <x v="130"/>
            <x v="131"/>
            <x v="132"/>
            <x v="133"/>
          </reference>
        </references>
      </pivotArea>
    </format>
    <format dxfId="818">
      <pivotArea outline="0" collapsedLevelsAreSubtotals="1" fieldPosition="0"/>
    </format>
    <format dxfId="817">
      <pivotArea outline="0" collapsedLevelsAreSubtotals="1" fieldPosition="0"/>
    </format>
    <format dxfId="816">
      <pivotArea outline="0" collapsedLevelsAreSubtotals="1" fieldPosition="0">
        <references count="1">
          <reference field="4294967294" count="1" selected="0">
            <x v="1"/>
          </reference>
        </references>
      </pivotArea>
    </format>
    <format dxfId="815">
      <pivotArea outline="0" collapsedLevelsAreSubtotals="1" fieldPosition="0">
        <references count="1">
          <reference field="4294967294" count="1" selected="0">
            <x v="0"/>
          </reference>
        </references>
      </pivotArea>
    </format>
    <format dxfId="814">
      <pivotArea outline="0" collapsedLevelsAreSubtotals="1" fieldPosition="0">
        <references count="2">
          <reference field="6" count="1" selected="0">
            <x v="82"/>
          </reference>
          <reference field="23" count="1" selected="0">
            <x v="1"/>
          </reference>
        </references>
      </pivotArea>
    </format>
    <format dxfId="813">
      <pivotArea outline="0" collapsedLevelsAreSubtotals="1" fieldPosition="0">
        <references count="2">
          <reference field="6" count="1" selected="0">
            <x v="83"/>
          </reference>
          <reference field="23" count="1" selected="0">
            <x v="2"/>
          </reference>
        </references>
      </pivotArea>
    </format>
    <format dxfId="812">
      <pivotArea outline="0" collapsedLevelsAreSubtotals="1" fieldPosition="0">
        <references count="2">
          <reference field="6" count="1" selected="0">
            <x v="94"/>
          </reference>
          <reference field="23" count="1" selected="0">
            <x v="1"/>
          </reference>
        </references>
      </pivotArea>
    </format>
    <format dxfId="811">
      <pivotArea dataOnly="0" labelOnly="1" outline="0" fieldPosition="0">
        <references count="2">
          <reference field="6" count="1" selected="0">
            <x v="100"/>
          </reference>
          <reference field="23" count="1">
            <x v="2"/>
          </reference>
        </references>
      </pivotArea>
    </format>
    <format dxfId="810">
      <pivotArea dataOnly="0" labelOnly="1" outline="0" fieldPosition="0">
        <references count="2">
          <reference field="6" count="1" selected="0">
            <x v="100"/>
          </reference>
          <reference field="23" count="1">
            <x v="2"/>
          </reference>
        </references>
      </pivotArea>
    </format>
    <format dxfId="809">
      <pivotArea dataOnly="0" labelOnly="1" outline="0" fieldPosition="0">
        <references count="2">
          <reference field="6" count="1" selected="0">
            <x v="98"/>
          </reference>
          <reference field="23" count="1">
            <x v="1"/>
          </reference>
        </references>
      </pivotArea>
    </format>
    <format dxfId="808">
      <pivotArea outline="0" collapsedLevelsAreSubtotals="1" fieldPosition="0">
        <references count="3">
          <reference field="4294967294" count="1" selected="0">
            <x v="1"/>
          </reference>
          <reference field="6" count="1" selected="0">
            <x v="68"/>
          </reference>
          <reference field="23" count="1" selected="0">
            <x v="1"/>
          </reference>
        </references>
      </pivotArea>
    </format>
    <format dxfId="807">
      <pivotArea outline="0" collapsedLevelsAreSubtotals="1" fieldPosition="0">
        <references count="3">
          <reference field="4294967294" count="1" selected="0">
            <x v="0"/>
          </reference>
          <reference field="6" count="1" selected="0">
            <x v="68"/>
          </reference>
          <reference field="23" count="1" selected="0">
            <x v="1"/>
          </reference>
        </references>
      </pivotArea>
    </format>
    <format dxfId="806">
      <pivotArea outline="0" collapsedLevelsAreSubtotals="1" fieldPosition="0">
        <references count="2">
          <reference field="6" count="1" selected="0">
            <x v="117"/>
          </reference>
          <reference field="23" count="1" selected="0">
            <x v="2"/>
          </reference>
        </references>
      </pivotArea>
    </format>
    <format dxfId="805">
      <pivotArea outline="0" collapsedLevelsAreSubtotals="1" fieldPosition="0">
        <references count="3">
          <reference field="4294967294" count="1" selected="0">
            <x v="1"/>
          </reference>
          <reference field="6" count="1" selected="0">
            <x v="117"/>
          </reference>
          <reference field="23" count="1" selected="0">
            <x v="2"/>
          </reference>
        </references>
      </pivotArea>
    </format>
    <format dxfId="804">
      <pivotArea outline="0" collapsedLevelsAreSubtotals="1" fieldPosition="0">
        <references count="3">
          <reference field="4294967294" count="1" selected="0">
            <x v="1"/>
          </reference>
          <reference field="6" count="1" selected="0">
            <x v="117"/>
          </reference>
          <reference field="23" count="1" selected="0">
            <x v="2"/>
          </reference>
        </references>
      </pivotArea>
    </format>
    <format dxfId="803">
      <pivotArea outline="0" collapsedLevelsAreSubtotals="1" fieldPosition="0">
        <references count="2">
          <reference field="6" count="2" selected="0">
            <x v="120"/>
            <x v="121"/>
          </reference>
          <reference field="23" count="2" selected="0">
            <x v="1"/>
            <x v="3"/>
          </reference>
        </references>
      </pivotArea>
    </format>
    <format dxfId="802">
      <pivotArea outline="0" collapsedLevelsAreSubtotals="1" fieldPosition="0">
        <references count="1">
          <reference field="6" count="1" selected="0">
            <x v="122"/>
          </reference>
        </references>
      </pivotArea>
    </format>
    <format dxfId="801">
      <pivotArea outline="0" collapsedLevelsAreSubtotals="1" fieldPosition="0">
        <references count="2">
          <reference field="6" count="1" selected="0">
            <x v="2"/>
          </reference>
          <reference field="23" count="1" selected="0">
            <x v="1"/>
          </reference>
        </references>
      </pivotArea>
    </format>
    <format dxfId="800">
      <pivotArea outline="0" collapsedLevelsAreSubtotals="1" fieldPosition="0">
        <references count="2">
          <reference field="6" count="1" selected="0">
            <x v="16"/>
          </reference>
          <reference field="23" count="1" selected="0">
            <x v="2"/>
          </reference>
        </references>
      </pivotArea>
    </format>
    <format dxfId="799">
      <pivotArea outline="0" collapsedLevelsAreSubtotals="1" fieldPosition="0">
        <references count="2">
          <reference field="6" count="1" selected="0">
            <x v="20"/>
          </reference>
          <reference field="23" count="1" selected="0">
            <x v="1"/>
          </reference>
        </references>
      </pivotArea>
    </format>
    <format dxfId="798">
      <pivotArea outline="0" collapsedLevelsAreSubtotals="1" fieldPosition="0">
        <references count="2">
          <reference field="6" count="1" selected="0">
            <x v="30"/>
          </reference>
          <reference field="23" count="1" selected="0">
            <x v="1"/>
          </reference>
        </references>
      </pivotArea>
    </format>
    <format dxfId="797">
      <pivotArea outline="0" collapsedLevelsAreSubtotals="1" fieldPosition="0">
        <references count="2">
          <reference field="6" count="2" selected="0">
            <x v="36"/>
            <x v="43"/>
          </reference>
          <reference field="23" count="2" selected="0">
            <x v="1"/>
            <x v="2"/>
          </reference>
        </references>
      </pivotArea>
    </format>
    <format dxfId="796">
      <pivotArea outline="0" collapsedLevelsAreSubtotals="1" fieldPosition="0">
        <references count="2">
          <reference field="6" count="1" selected="0">
            <x v="44"/>
          </reference>
          <reference field="23" count="1" selected="0">
            <x v="2"/>
          </reference>
        </references>
      </pivotArea>
    </format>
    <format dxfId="795">
      <pivotArea outline="0" collapsedLevelsAreSubtotals="1" fieldPosition="0">
        <references count="2">
          <reference field="6" count="1" selected="0">
            <x v="47"/>
          </reference>
          <reference field="23" count="1" selected="0">
            <x v="2"/>
          </reference>
        </references>
      </pivotArea>
    </format>
    <format dxfId="794">
      <pivotArea outline="0" collapsedLevelsAreSubtotals="1" fieldPosition="0">
        <references count="2">
          <reference field="6" count="1" selected="0">
            <x v="123"/>
          </reference>
          <reference field="23" count="1" selected="0">
            <x v="2"/>
          </reference>
        </references>
      </pivotArea>
    </format>
    <format dxfId="793">
      <pivotArea outline="0" collapsedLevelsAreSubtotals="1" fieldPosition="0">
        <references count="2">
          <reference field="6" count="1" selected="0">
            <x v="124"/>
          </reference>
          <reference field="23" count="1" selected="0">
            <x v="1"/>
          </reference>
        </references>
      </pivotArea>
    </format>
    <format dxfId="792">
      <pivotArea outline="0" collapsedLevelsAreSubtotals="1" fieldPosition="0">
        <references count="2">
          <reference field="6" count="1" selected="0">
            <x v="125"/>
          </reference>
          <reference field="23" count="1" selected="0">
            <x v="1"/>
          </reference>
        </references>
      </pivotArea>
    </format>
    <format dxfId="791">
      <pivotArea outline="0" collapsedLevelsAreSubtotals="1" fieldPosition="0">
        <references count="1">
          <reference field="6" count="2" selected="0">
            <x v="127"/>
            <x v="128"/>
          </reference>
        </references>
      </pivotArea>
    </format>
    <format dxfId="790">
      <pivotArea outline="0" collapsedLevelsAreSubtotals="1" fieldPosition="0">
        <references count="1">
          <reference field="6" count="1" selected="0">
            <x v="128"/>
          </reference>
        </references>
      </pivotArea>
    </format>
    <format dxfId="789">
      <pivotArea outline="0" collapsedLevelsAreSubtotals="1" fieldPosition="0">
        <references count="1">
          <reference field="6" count="2" selected="0">
            <x v="127"/>
            <x v="128"/>
          </reference>
        </references>
      </pivotArea>
    </format>
    <format dxfId="788">
      <pivotArea dataOnly="0" labelOnly="1" outline="0" fieldPosition="0">
        <references count="2">
          <reference field="6" count="1" selected="0">
            <x v="115"/>
          </reference>
          <reference field="23" count="1">
            <x v="1"/>
          </reference>
        </references>
      </pivotArea>
    </format>
    <format dxfId="787">
      <pivotArea dataOnly="0" labelOnly="1" outline="0" fieldPosition="0">
        <references count="2">
          <reference field="6" count="1" selected="0">
            <x v="116"/>
          </reference>
          <reference field="23" count="1">
            <x v="2"/>
          </reference>
        </references>
      </pivotArea>
    </format>
    <format dxfId="786">
      <pivotArea dataOnly="0" labelOnly="1" outline="0" fieldPosition="0">
        <references count="2">
          <reference field="6" count="1" selected="0">
            <x v="117"/>
          </reference>
          <reference field="23" count="1">
            <x v="1"/>
          </reference>
        </references>
      </pivotArea>
    </format>
    <format dxfId="785">
      <pivotArea dataOnly="0" labelOnly="1" outline="0" fieldPosition="0">
        <references count="2">
          <reference field="6" count="1" selected="0">
            <x v="118"/>
          </reference>
          <reference field="23" count="1">
            <x v="2"/>
          </reference>
        </references>
      </pivotArea>
    </format>
    <format dxfId="784">
      <pivotArea dataOnly="0" labelOnly="1" outline="0" fieldPosition="0">
        <references count="2">
          <reference field="6" count="1" selected="0">
            <x v="119"/>
          </reference>
          <reference field="23" count="1">
            <x v="0"/>
          </reference>
        </references>
      </pivotArea>
    </format>
    <format dxfId="783">
      <pivotArea dataOnly="0" labelOnly="1" outline="0" fieldPosition="0">
        <references count="2">
          <reference field="6" count="1" selected="0">
            <x v="115"/>
          </reference>
          <reference field="23" count="1">
            <x v="1"/>
          </reference>
        </references>
      </pivotArea>
    </format>
    <format dxfId="782">
      <pivotArea dataOnly="0" labelOnly="1" outline="0" fieldPosition="0">
        <references count="2">
          <reference field="6" count="1" selected="0">
            <x v="116"/>
          </reference>
          <reference field="23" count="1">
            <x v="2"/>
          </reference>
        </references>
      </pivotArea>
    </format>
    <format dxfId="781">
      <pivotArea dataOnly="0" labelOnly="1" outline="0" fieldPosition="0">
        <references count="2">
          <reference field="6" count="1" selected="0">
            <x v="117"/>
          </reference>
          <reference field="23" count="1">
            <x v="1"/>
          </reference>
        </references>
      </pivotArea>
    </format>
    <format dxfId="780">
      <pivotArea dataOnly="0" labelOnly="1" outline="0" fieldPosition="0">
        <references count="2">
          <reference field="6" count="1" selected="0">
            <x v="118"/>
          </reference>
          <reference field="23" count="1">
            <x v="2"/>
          </reference>
        </references>
      </pivotArea>
    </format>
    <format dxfId="779">
      <pivotArea dataOnly="0" labelOnly="1" outline="0" fieldPosition="0">
        <references count="2">
          <reference field="6" count="1" selected="0">
            <x v="119"/>
          </reference>
          <reference field="23" count="1">
            <x v="0"/>
          </reference>
        </references>
      </pivotArea>
    </format>
    <format dxfId="778">
      <pivotArea outline="0" collapsedLevelsAreSubtotals="1" fieldPosition="0">
        <references count="2">
          <reference field="6" count="1" selected="0">
            <x v="117"/>
          </reference>
          <reference field="23" count="1" selected="0">
            <x v="1"/>
          </reference>
        </references>
      </pivotArea>
    </format>
    <format dxfId="777">
      <pivotArea outline="0" collapsedLevelsAreSubtotals="1" fieldPosition="0">
        <references count="2">
          <reference field="6" count="1" selected="0">
            <x v="62"/>
          </reference>
          <reference field="23" count="1" selected="0">
            <x v="1"/>
          </reference>
        </references>
      </pivotArea>
    </format>
    <format dxfId="776">
      <pivotArea outline="0" collapsedLevelsAreSubtotals="1" fieldPosition="0">
        <references count="2">
          <reference field="6" count="5" selected="0">
            <x v="75"/>
            <x v="76"/>
            <x v="77"/>
            <x v="78"/>
            <x v="79"/>
          </reference>
          <reference field="23" count="1" selected="0">
            <x v="1"/>
          </reference>
        </references>
      </pivotArea>
    </format>
    <format dxfId="775">
      <pivotArea outline="0" collapsedLevelsAreSubtotals="1" fieldPosition="0">
        <references count="2">
          <reference field="6" count="1" selected="0">
            <x v="122"/>
          </reference>
          <reference field="23" count="1" selected="0">
            <x v="2"/>
          </reference>
        </references>
      </pivotArea>
    </format>
    <format dxfId="774">
      <pivotArea outline="0" collapsedLevelsAreSubtotals="1" fieldPosition="0">
        <references count="2">
          <reference field="6" count="2" selected="0">
            <x v="127"/>
            <x v="128"/>
          </reference>
          <reference field="23" count="2" selected="0">
            <x v="0"/>
            <x v="2"/>
          </reference>
        </references>
      </pivotArea>
    </format>
    <format dxfId="773">
      <pivotArea dataOnly="0" labelOnly="1" outline="0" fieldPosition="0">
        <references count="2">
          <reference field="6" count="1" selected="0">
            <x v="88"/>
          </reference>
          <reference field="23" count="1">
            <x v="7"/>
          </reference>
        </references>
      </pivotArea>
    </format>
    <format dxfId="772">
      <pivotArea dataOnly="0" labelOnly="1" outline="0" fieldPosition="0">
        <references count="2">
          <reference field="6" count="1" selected="0">
            <x v="89"/>
          </reference>
          <reference field="23" count="1">
            <x v="7"/>
          </reference>
        </references>
      </pivotArea>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name="TablaDinámica10" cacheId="0" applyNumberFormats="0" applyBorderFormats="0" applyFontFormats="0" applyPatternFormats="0" applyAlignmentFormats="0" applyWidthHeightFormats="1" dataCaption="Valores" updatedVersion="6" minRefreshableVersion="3" rowGrandTotals="0" colGrandTotals="0" itemPrintTitles="1" createdVersion="6" indent="0" outline="1" outlineData="1" multipleFieldFilters="0">
  <location ref="A17:B26" firstHeaderRow="1" firstDataRow="1" firstDataCol="1"/>
  <pivotFields count="25">
    <pivotField showAll="0"/>
    <pivotField showAll="0"/>
    <pivotField showAll="0"/>
    <pivotField showAll="0"/>
    <pivotField axis="axisRow" showAll="0">
      <items count="11">
        <item x="0"/>
        <item x="1"/>
        <item x="2"/>
        <item x="3"/>
        <item x="4"/>
        <item x="5"/>
        <item x="6"/>
        <item x="7"/>
        <item x="8"/>
        <item m="1" x="9"/>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dragToRow="0" dragToCol="0" dragToPage="0" showAll="0" defaultSubtotal="0"/>
  </pivotFields>
  <rowFields count="1">
    <field x="4"/>
  </rowFields>
  <rowItems count="9">
    <i>
      <x/>
    </i>
    <i>
      <x v="1"/>
    </i>
    <i>
      <x v="2"/>
    </i>
    <i>
      <x v="3"/>
    </i>
    <i>
      <x v="4"/>
    </i>
    <i>
      <x v="5"/>
    </i>
    <i>
      <x v="6"/>
    </i>
    <i>
      <x v="7"/>
    </i>
    <i>
      <x v="8"/>
    </i>
  </rowItems>
  <colItems count="1">
    <i/>
  </colItems>
  <dataFields count="1">
    <dataField name="Suma de AVANCE PONDERADO ACUMULADO PA" fld="23" baseField="0" baseItem="0"/>
  </dataFields>
  <formats count="13">
    <format dxfId="12">
      <pivotArea outline="0" collapsedLevelsAreSubtotals="1" fieldPosition="0"/>
    </format>
    <format dxfId="11">
      <pivotArea outline="0" collapsedLevelsAreSubtotals="1" fieldPosition="0"/>
    </format>
    <format dxfId="10">
      <pivotArea dataOnly="0" labelOnly="1" outline="0" axis="axisValues" fieldPosition="0"/>
    </format>
    <format dxfId="9">
      <pivotArea dataOnly="0" labelOnly="1" outline="0" axis="axisValues" fieldPosition="0"/>
    </format>
    <format dxfId="8">
      <pivotArea type="all" dataOnly="0" outline="0" fieldPosition="0"/>
    </format>
    <format dxfId="7">
      <pivotArea outline="0" collapsedLevelsAreSubtotals="1" fieldPosition="0"/>
    </format>
    <format dxfId="6">
      <pivotArea field="4" type="button" dataOnly="0" labelOnly="1" outline="0" axis="axisRow" fieldPosition="0"/>
    </format>
    <format dxfId="5">
      <pivotArea dataOnly="0" labelOnly="1" outline="0" axis="axisValues" fieldPosition="0"/>
    </format>
    <format dxfId="4">
      <pivotArea dataOnly="0" labelOnly="1" fieldPosition="0">
        <references count="1">
          <reference field="4" count="0"/>
        </references>
      </pivotArea>
    </format>
    <format dxfId="3">
      <pivotArea dataOnly="0" labelOnly="1" outline="0" axis="axisValues" fieldPosition="0"/>
    </format>
    <format dxfId="2">
      <pivotArea field="4" type="button" dataOnly="0" labelOnly="1" outline="0" axis="axisRow" fieldPosition="0"/>
    </format>
    <format dxfId="1">
      <pivotArea dataOnly="0" labelOnly="1" outline="0" axis="axisValues" fieldPosition="0"/>
    </format>
    <format dxfId="0">
      <pivotArea dataOnly="0" labelOnly="1" outline="0" axis="axisValues" fieldPosition="0"/>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name="Productos Periodo" cacheId="1" applyNumberFormats="0" applyBorderFormats="0" applyFontFormats="0" applyPatternFormats="0" applyAlignmentFormats="0" applyWidthHeightFormats="1" dataCaption="Valores" updatedVersion="6" minRefreshableVersion="3" rowGrandTotals="0" colGrandTotals="0" itemPrintTitles="1" createdVersion="6" indent="0" outline="1" outlineData="1" multipleFieldFilters="0" chartFormat="33" rowHeaderCaption="Dependencia">
  <location ref="A54:D63" firstHeaderRow="0" firstDataRow="1" firstDataCol="1"/>
  <pivotFields count="27">
    <pivotField showAll="0"/>
    <pivotField showAll="0"/>
    <pivotField showAll="0"/>
    <pivotField showAll="0"/>
    <pivotField axis="axisRow" showAll="0">
      <items count="10">
        <item x="0"/>
        <item x="1"/>
        <item x="2"/>
        <item x="3"/>
        <item x="4"/>
        <item x="5"/>
        <item x="6"/>
        <item x="7"/>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defaultSubtotal="0"/>
    <pivotField dataField="1" numFmtId="9" showAll="0" defaultSubtotal="0"/>
    <pivotField showAll="0" defaultSubtotal="0"/>
    <pivotField showAll="0"/>
    <pivotField showAll="0"/>
    <pivotField showAll="0"/>
    <pivotField showAll="0" defaultSubtotal="0"/>
    <pivotField showAll="0">
      <items count="9">
        <item x="1"/>
        <item x="3"/>
        <item x="0"/>
        <item x="2"/>
        <item m="1" x="7"/>
        <item m="1" x="6"/>
        <item x="5"/>
        <item x="4"/>
        <item t="default"/>
      </items>
    </pivotField>
    <pivotField showAll="0">
      <items count="6">
        <item x="1"/>
        <item x="0"/>
        <item m="1" x="4"/>
        <item x="2"/>
        <item m="1" x="3"/>
        <item t="default"/>
      </items>
    </pivotField>
    <pivotField dataField="1" numFmtId="9" showAll="0"/>
    <pivotField dataField="1" dragToRow="0" dragToCol="0" dragToPage="0" showAll="0" defaultSubtotal="0"/>
  </pivotFields>
  <rowFields count="1">
    <field x="4"/>
  </rowFields>
  <rowItems count="9">
    <i>
      <x/>
    </i>
    <i>
      <x v="1"/>
    </i>
    <i>
      <x v="2"/>
    </i>
    <i>
      <x v="3"/>
    </i>
    <i>
      <x v="4"/>
    </i>
    <i>
      <x v="5"/>
    </i>
    <i>
      <x v="6"/>
    </i>
    <i>
      <x v="7"/>
    </i>
    <i>
      <x v="8"/>
    </i>
  </rowItems>
  <colFields count="1">
    <field x="-2"/>
  </colFields>
  <colItems count="3">
    <i>
      <x/>
    </i>
    <i i="1">
      <x v="1"/>
    </i>
    <i i="2">
      <x v="2"/>
    </i>
  </colItems>
  <dataFields count="3">
    <dataField name="Programado 2do tri." fld="17" baseField="0" baseItem="0" numFmtId="9"/>
    <dataField name="Avance Ponderado 2do tri." fld="25" baseField="4" baseItem="0" numFmtId="9"/>
    <dataField name="Cumplimiento Producto 2do tri." fld="26" baseField="4" baseItem="0" numFmtId="9"/>
  </dataFields>
  <formats count="22">
    <format dxfId="34">
      <pivotArea collapsedLevelsAreSubtotals="1" fieldPosition="0">
        <references count="2">
          <reference field="4294967294" count="1" selected="0">
            <x v="1"/>
          </reference>
          <reference field="4" count="1">
            <x v="1"/>
          </reference>
        </references>
      </pivotArea>
    </format>
    <format dxfId="33">
      <pivotArea outline="0" collapsedLevelsAreSubtotals="1" fieldPosition="0">
        <references count="1">
          <reference field="4294967294" count="1" selected="0">
            <x v="1"/>
          </reference>
        </references>
      </pivotArea>
    </format>
    <format dxfId="32">
      <pivotArea field="4" type="button" dataOnly="0" labelOnly="1" outline="0" axis="axisRow" fieldPosition="0"/>
    </format>
    <format dxfId="31">
      <pivotArea type="all" dataOnly="0" outline="0" fieldPosition="0"/>
    </format>
    <format dxfId="30">
      <pivotArea outline="0" collapsedLevelsAreSubtotals="1" fieldPosition="0"/>
    </format>
    <format dxfId="29">
      <pivotArea field="4" type="button" dataOnly="0" labelOnly="1" outline="0" axis="axisRow" fieldPosition="0"/>
    </format>
    <format dxfId="28">
      <pivotArea dataOnly="0" labelOnly="1" fieldPosition="0">
        <references count="1">
          <reference field="4" count="0"/>
        </references>
      </pivotArea>
    </format>
    <format dxfId="27">
      <pivotArea dataOnly="0" labelOnly="1" grandRow="1" outline="0" fieldPosition="0"/>
    </format>
    <format dxfId="26">
      <pivotArea dataOnly="0" labelOnly="1" outline="0" fieldPosition="0">
        <references count="1">
          <reference field="4294967294" count="2">
            <x v="1"/>
            <x v="2"/>
          </reference>
        </references>
      </pivotArea>
    </format>
    <format dxfId="25">
      <pivotArea type="all" dataOnly="0" outline="0" fieldPosition="0"/>
    </format>
    <format dxfId="24">
      <pivotArea outline="0" collapsedLevelsAreSubtotals="1" fieldPosition="0"/>
    </format>
    <format dxfId="23">
      <pivotArea field="4" type="button" dataOnly="0" labelOnly="1" outline="0" axis="axisRow" fieldPosition="0"/>
    </format>
    <format dxfId="22">
      <pivotArea dataOnly="0" labelOnly="1" fieldPosition="0">
        <references count="1">
          <reference field="4" count="0"/>
        </references>
      </pivotArea>
    </format>
    <format dxfId="21">
      <pivotArea dataOnly="0" labelOnly="1" outline="0" fieldPosition="0">
        <references count="1">
          <reference field="4294967294" count="2">
            <x v="1"/>
            <x v="2"/>
          </reference>
        </references>
      </pivotArea>
    </format>
    <format dxfId="20">
      <pivotArea type="all" dataOnly="0" outline="0" fieldPosition="0"/>
    </format>
    <format dxfId="19">
      <pivotArea outline="0" collapsedLevelsAreSubtotals="1" fieldPosition="0"/>
    </format>
    <format dxfId="18">
      <pivotArea field="4" type="button" dataOnly="0" labelOnly="1" outline="0" axis="axisRow" fieldPosition="0"/>
    </format>
    <format dxfId="17">
      <pivotArea dataOnly="0" labelOnly="1" fieldPosition="0">
        <references count="1">
          <reference field="4" count="0"/>
        </references>
      </pivotArea>
    </format>
    <format dxfId="16">
      <pivotArea dataOnly="0" labelOnly="1" outline="0" fieldPosition="0">
        <references count="1">
          <reference field="4294967294" count="2">
            <x v="1"/>
            <x v="2"/>
          </reference>
        </references>
      </pivotArea>
    </format>
    <format dxfId="15">
      <pivotArea dataOnly="0" labelOnly="1" fieldPosition="0">
        <references count="1">
          <reference field="4" count="0"/>
        </references>
      </pivotArea>
    </format>
    <format dxfId="14">
      <pivotArea dataOnly="0" labelOnly="1" outline="0" fieldPosition="0">
        <references count="1">
          <reference field="4294967294" count="2">
            <x v="1"/>
            <x v="2"/>
          </reference>
        </references>
      </pivotArea>
    </format>
    <format dxfId="13">
      <pivotArea outline="0" collapsedLevelsAreSubtotals="1" fieldPosition="0">
        <references count="1">
          <reference field="4294967294" count="1" selected="0">
            <x v="0"/>
          </reference>
        </references>
      </pivotArea>
    </format>
  </formats>
  <chartFormats count="20">
    <chartFormat chart="2" format="11" series="1">
      <pivotArea type="data" outline="0" fieldPosition="0">
        <references count="1">
          <reference field="4294967294" count="1" selected="0">
            <x v="1"/>
          </reference>
        </references>
      </pivotArea>
    </chartFormat>
    <chartFormat chart="2" format="12" series="1">
      <pivotArea type="data" outline="0" fieldPosition="0">
        <references count="1">
          <reference field="4294967294" count="1" selected="0">
            <x v="2"/>
          </reference>
        </references>
      </pivotArea>
    </chartFormat>
    <chartFormat chart="7" format="17" series="1">
      <pivotArea type="data" outline="0" fieldPosition="0">
        <references count="1">
          <reference field="4294967294" count="1" selected="0">
            <x v="0"/>
          </reference>
        </references>
      </pivotArea>
    </chartFormat>
    <chartFormat chart="7" format="18" series="1">
      <pivotArea type="data" outline="0" fieldPosition="0">
        <references count="1">
          <reference field="4294967294" count="1" selected="0">
            <x v="1"/>
          </reference>
        </references>
      </pivotArea>
    </chartFormat>
    <chartFormat chart="7" format="19" series="1">
      <pivotArea type="data" outline="0" fieldPosition="0">
        <references count="1">
          <reference field="4294967294" count="1" selected="0">
            <x v="2"/>
          </reference>
        </references>
      </pivotArea>
    </chartFormat>
    <chartFormat chart="8" format="20" series="1">
      <pivotArea type="data" outline="0" fieldPosition="0">
        <references count="1">
          <reference field="4294967294" count="1" selected="0">
            <x v="0"/>
          </reference>
        </references>
      </pivotArea>
    </chartFormat>
    <chartFormat chart="8" format="21" series="1">
      <pivotArea type="data" outline="0" fieldPosition="0">
        <references count="1">
          <reference field="4294967294" count="1" selected="0">
            <x v="1"/>
          </reference>
        </references>
      </pivotArea>
    </chartFormat>
    <chartFormat chart="8" format="22" series="1">
      <pivotArea type="data" outline="0" fieldPosition="0">
        <references count="1">
          <reference field="4294967294" count="1" selected="0">
            <x v="2"/>
          </reference>
        </references>
      </pivotArea>
    </chartFormat>
    <chartFormat chart="1" format="17" series="1">
      <pivotArea type="data" outline="0" fieldPosition="0">
        <references count="1">
          <reference field="4294967294" count="1" selected="0">
            <x v="0"/>
          </reference>
        </references>
      </pivotArea>
    </chartFormat>
    <chartFormat chart="1" format="18" series="1">
      <pivotArea type="data" outline="0" fieldPosition="0">
        <references count="1">
          <reference field="4294967294" count="1" selected="0">
            <x v="1"/>
          </reference>
        </references>
      </pivotArea>
    </chartFormat>
    <chartFormat chart="3" format="26" series="1">
      <pivotArea type="data" outline="0" fieldPosition="0">
        <references count="1">
          <reference field="4294967294" count="1" selected="0">
            <x v="2"/>
          </reference>
        </references>
      </pivotArea>
    </chartFormat>
    <chartFormat chart="3" format="27" series="1">
      <pivotArea type="data" outline="0" fieldPosition="0">
        <references count="1">
          <reference field="4294967294" count="1" selected="0">
            <x v="0"/>
          </reference>
        </references>
      </pivotArea>
    </chartFormat>
    <chartFormat chart="3" format="28" series="1">
      <pivotArea type="data" outline="0" fieldPosition="0">
        <references count="1">
          <reference field="4294967294" count="1" selected="0">
            <x v="1"/>
          </reference>
        </references>
      </pivotArea>
    </chartFormat>
    <chartFormat chart="1" format="19" series="1">
      <pivotArea type="data" outline="0" fieldPosition="0">
        <references count="1">
          <reference field="4294967294" count="1" selected="0">
            <x v="2"/>
          </reference>
        </references>
      </pivotArea>
    </chartFormat>
    <chartFormat chart="26" format="29" series="1">
      <pivotArea type="data" outline="0" fieldPosition="0">
        <references count="1">
          <reference field="4294967294" count="1" selected="0">
            <x v="0"/>
          </reference>
        </references>
      </pivotArea>
    </chartFormat>
    <chartFormat chart="26" format="30" series="1">
      <pivotArea type="data" outline="0" fieldPosition="0">
        <references count="1">
          <reference field="4294967294" count="1" selected="0">
            <x v="1"/>
          </reference>
        </references>
      </pivotArea>
    </chartFormat>
    <chartFormat chart="26" format="31" series="1">
      <pivotArea type="data" outline="0" fieldPosition="0">
        <references count="1">
          <reference field="4294967294" count="1" selected="0">
            <x v="2"/>
          </reference>
        </references>
      </pivotArea>
    </chartFormat>
    <chartFormat chart="27" format="32" series="1">
      <pivotArea type="data" outline="0" fieldPosition="0">
        <references count="1">
          <reference field="4294967294" count="1" selected="0">
            <x v="0"/>
          </reference>
        </references>
      </pivotArea>
    </chartFormat>
    <chartFormat chart="27" format="33" series="1">
      <pivotArea type="data" outline="0" fieldPosition="0">
        <references count="1">
          <reference field="4294967294" count="1" selected="0">
            <x v="1"/>
          </reference>
        </references>
      </pivotArea>
    </chartFormat>
    <chartFormat chart="27" format="34" series="1">
      <pivotArea type="data" outline="0" fieldPosition="0">
        <references count="1">
          <reference field="4294967294" count="1" selected="0">
            <x v="2"/>
          </reference>
        </references>
      </pivotArea>
    </chartFormat>
  </chart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name="TablaDinámica11" cacheId="1" applyNumberFormats="0" applyBorderFormats="0" applyFontFormats="0" applyPatternFormats="0" applyAlignmentFormats="0" applyWidthHeightFormats="1" dataCaption="Valores" updatedVersion="6" minRefreshableVersion="3" useAutoFormatting="1" rowGrandTotals="0" colGrandTotals="0" itemPrintTitles="1" createdVersion="6" indent="0" compact="0" compactData="0" multipleFieldFilters="0" rowHeaderCaption="Producto">
  <location ref="A72:D144" firstHeaderRow="0" firstDataRow="1" firstDataCol="2"/>
  <pivotFields count="27">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items count="9">
        <item x="0"/>
        <item x="1"/>
        <item x="2"/>
        <item x="3"/>
        <item x="4"/>
        <item x="5"/>
        <item x="6"/>
        <item x="7"/>
        <item x="8"/>
      </items>
    </pivotField>
    <pivotField compact="0" outline="0" subtotalTop="0" showAll="0" defaultSubtotal="0"/>
    <pivotField axis="axisRow" compact="0" outline="0" subtotalTop="0" showAll="0" defaultSubtotal="0">
      <items count="134">
        <item m="1" x="124"/>
        <item m="1" x="129"/>
        <item x="56"/>
        <item m="1" x="96"/>
        <item m="1" x="92"/>
        <item m="1" x="119"/>
        <item m="1" x="120"/>
        <item m="1" x="121"/>
        <item m="1" x="102"/>
        <item m="1" x="132"/>
        <item m="1" x="87"/>
        <item m="1" x="131"/>
        <item m="1" x="133"/>
        <item m="1" x="85"/>
        <item m="1" x="90"/>
        <item m="1" x="104"/>
        <item x="62"/>
        <item m="1" x="79"/>
        <item m="1" x="75"/>
        <item m="1" x="106"/>
        <item x="57"/>
        <item m="1" x="130"/>
        <item m="1" x="112"/>
        <item m="1" x="94"/>
        <item m="1" x="84"/>
        <item m="1" x="117"/>
        <item m="1" x="107"/>
        <item x="52"/>
        <item m="1" x="99"/>
        <item m="1" x="76"/>
        <item x="63"/>
        <item m="1" x="100"/>
        <item m="1" x="95"/>
        <item m="1" x="122"/>
        <item m="1" x="111"/>
        <item m="1" x="109"/>
        <item x="66"/>
        <item m="1" x="116"/>
        <item m="1" x="78"/>
        <item m="1" x="81"/>
        <item m="1" x="103"/>
        <item m="1" x="83"/>
        <item m="1" x="125"/>
        <item x="64"/>
        <item x="61"/>
        <item m="1" x="97"/>
        <item x="29"/>
        <item x="65"/>
        <item m="1" x="128"/>
        <item m="1" x="98"/>
        <item m="1" x="73"/>
        <item m="1" x="93"/>
        <item m="1" x="86"/>
        <item m="1" x="72"/>
        <item m="1" x="108"/>
        <item m="1" x="115"/>
        <item m="1" x="80"/>
        <item m="1" x="82"/>
        <item m="1" x="89"/>
        <item m="1" x="91"/>
        <item m="1" x="113"/>
        <item m="1" x="105"/>
        <item x="0"/>
        <item m="1" x="88"/>
        <item m="1" x="101"/>
        <item m="1" x="123"/>
        <item m="1" x="74"/>
        <item m="1" x="114"/>
        <item x="31"/>
        <item m="1" x="118"/>
        <item m="1" x="126"/>
        <item m="1" x="110"/>
        <item m="1" x="127"/>
        <item x="55"/>
        <item m="1" x="77"/>
        <item x="1"/>
        <item x="2"/>
        <item x="3"/>
        <item x="4"/>
        <item x="5"/>
        <item x="6"/>
        <item x="7"/>
        <item x="8"/>
        <item x="9"/>
        <item x="10"/>
        <item x="11"/>
        <item x="12"/>
        <item x="13"/>
        <item x="14"/>
        <item x="15"/>
        <item x="16"/>
        <item x="17"/>
        <item x="18"/>
        <item x="19"/>
        <item x="20"/>
        <item x="21"/>
        <item x="22"/>
        <item x="23"/>
        <item x="24"/>
        <item x="25"/>
        <item x="26"/>
        <item x="27"/>
        <item x="28"/>
        <item x="30"/>
        <item x="32"/>
        <item x="33"/>
        <item x="34"/>
        <item x="35"/>
        <item x="36"/>
        <item x="37"/>
        <item x="38"/>
        <item x="39"/>
        <item x="40"/>
        <item x="41"/>
        <item x="42"/>
        <item x="43"/>
        <item x="44"/>
        <item x="45"/>
        <item x="46"/>
        <item x="47"/>
        <item x="48"/>
        <item x="49"/>
        <item x="50"/>
        <item x="51"/>
        <item x="53"/>
        <item x="54"/>
        <item x="58"/>
        <item x="59"/>
        <item x="60"/>
        <item x="67"/>
        <item x="68"/>
        <item x="69"/>
        <item x="70"/>
        <item x="71"/>
      </items>
    </pivotField>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compact="0" outline="0" subtotalTop="0" showAll="0" defaultSubtotal="0"/>
    <pivotField dataField="1" compact="0" outline="0" showAll="0" defaultSubtotal="0"/>
    <pivotField compact="0" numFmtId="9" outline="0" showAll="0" defaultSubtotal="0"/>
    <pivotField dataField="1" compact="0" outline="0" showAll="0" defaultSubtotal="0"/>
    <pivotField compact="0" outline="0" subtotalTop="0" showAll="0" defaultSubtotal="0"/>
    <pivotField compact="0" outline="0" subtotalTop="0" showAll="0" defaultSubtotal="0"/>
    <pivotField compact="0" outline="0" subtotalTop="0" showAll="0" defaultSubtotal="0"/>
    <pivotField compact="0" outline="0" showAll="0" defaultSubtotal="0"/>
    <pivotField axis="axisRow" compact="0" outline="0" subtotalTop="0" showAll="0" defaultSubtotal="0">
      <items count="8">
        <item x="1"/>
        <item x="0"/>
        <item x="2"/>
        <item x="5"/>
        <item m="1" x="6"/>
        <item x="4"/>
        <item m="1" x="7"/>
        <item x="3"/>
      </items>
    </pivotField>
    <pivotField compact="0" outline="0" subtotalTop="0" showAll="0" defaultSubtotal="0">
      <items count="5">
        <item x="1"/>
        <item x="0"/>
        <item m="1" x="4"/>
        <item x="2"/>
        <item m="1" x="3"/>
      </items>
    </pivotField>
    <pivotField compact="0" numFmtId="9" outline="0" subtotalTop="0" showAll="0" defaultSubtotal="0"/>
    <pivotField compact="0" outline="0" subtotalTop="0" dragToRow="0" dragToCol="0" dragToPage="0" showAll="0" defaultSubtotal="0"/>
  </pivotFields>
  <rowFields count="2">
    <field x="6"/>
    <field x="23"/>
  </rowFields>
  <rowItems count="72">
    <i>
      <x v="2"/>
      <x v="1"/>
    </i>
    <i>
      <x v="16"/>
      <x v="2"/>
    </i>
    <i>
      <x v="20"/>
      <x v="1"/>
    </i>
    <i>
      <x v="27"/>
      <x v="1"/>
    </i>
    <i>
      <x v="30"/>
      <x v="1"/>
    </i>
    <i>
      <x v="36"/>
      <x v="1"/>
    </i>
    <i>
      <x v="43"/>
      <x v="2"/>
    </i>
    <i>
      <x v="44"/>
      <x v="2"/>
    </i>
    <i>
      <x v="46"/>
      <x v="1"/>
    </i>
    <i>
      <x v="47"/>
      <x v="2"/>
    </i>
    <i>
      <x v="62"/>
      <x v="1"/>
    </i>
    <i>
      <x v="68"/>
      <x v="1"/>
    </i>
    <i>
      <x v="73"/>
      <x v="2"/>
    </i>
    <i>
      <x v="75"/>
      <x v="1"/>
    </i>
    <i>
      <x v="76"/>
      <x v="1"/>
    </i>
    <i>
      <x v="77"/>
      <x v="1"/>
    </i>
    <i>
      <x v="78"/>
      <x v="1"/>
    </i>
    <i>
      <x v="79"/>
      <x v="1"/>
    </i>
    <i>
      <x v="80"/>
      <x/>
    </i>
    <i>
      <x v="81"/>
      <x v="1"/>
    </i>
    <i>
      <x v="82"/>
      <x v="1"/>
    </i>
    <i>
      <x v="83"/>
      <x v="2"/>
    </i>
    <i>
      <x v="84"/>
      <x v="1"/>
    </i>
    <i>
      <x v="85"/>
      <x v="1"/>
    </i>
    <i>
      <x v="86"/>
      <x v="1"/>
    </i>
    <i>
      <x v="87"/>
      <x v="1"/>
    </i>
    <i>
      <x v="88"/>
      <x v="7"/>
    </i>
    <i>
      <x v="89"/>
      <x v="7"/>
    </i>
    <i>
      <x v="90"/>
      <x v="1"/>
    </i>
    <i>
      <x v="91"/>
      <x v="1"/>
    </i>
    <i>
      <x v="92"/>
      <x v="1"/>
    </i>
    <i>
      <x v="93"/>
      <x v="1"/>
    </i>
    <i>
      <x v="94"/>
      <x v="1"/>
    </i>
    <i>
      <x v="95"/>
      <x v="1"/>
    </i>
    <i>
      <x v="96"/>
      <x v="1"/>
    </i>
    <i>
      <x v="97"/>
      <x v="1"/>
    </i>
    <i>
      <x v="98"/>
      <x v="1"/>
    </i>
    <i>
      <x v="99"/>
      <x v="1"/>
    </i>
    <i>
      <x v="100"/>
      <x v="2"/>
    </i>
    <i>
      <x v="101"/>
      <x v="1"/>
    </i>
    <i>
      <x v="102"/>
      <x v="1"/>
    </i>
    <i>
      <x v="103"/>
      <x v="2"/>
    </i>
    <i>
      <x v="104"/>
      <x v="1"/>
    </i>
    <i>
      <x v="105"/>
      <x/>
    </i>
    <i>
      <x v="106"/>
      <x v="1"/>
    </i>
    <i>
      <x v="107"/>
      <x v="1"/>
    </i>
    <i>
      <x v="108"/>
      <x v="5"/>
    </i>
    <i>
      <x v="109"/>
      <x v="1"/>
    </i>
    <i>
      <x v="110"/>
      <x v="1"/>
    </i>
    <i>
      <x v="111"/>
      <x v="3"/>
    </i>
    <i>
      <x v="112"/>
      <x v="1"/>
    </i>
    <i>
      <x v="113"/>
      <x v="3"/>
    </i>
    <i>
      <x v="114"/>
      <x v="1"/>
    </i>
    <i>
      <x v="115"/>
      <x v="1"/>
    </i>
    <i>
      <x v="116"/>
      <x v="2"/>
    </i>
    <i>
      <x v="117"/>
      <x v="1"/>
    </i>
    <i>
      <x v="118"/>
      <x v="2"/>
    </i>
    <i>
      <x v="119"/>
      <x/>
    </i>
    <i>
      <x v="120"/>
      <x v="1"/>
    </i>
    <i>
      <x v="121"/>
      <x v="3"/>
    </i>
    <i>
      <x v="122"/>
      <x v="2"/>
    </i>
    <i>
      <x v="123"/>
      <x v="2"/>
    </i>
    <i>
      <x v="124"/>
      <x v="1"/>
    </i>
    <i>
      <x v="125"/>
      <x v="1"/>
    </i>
    <i>
      <x v="126"/>
      <x v="5"/>
    </i>
    <i>
      <x v="127"/>
      <x/>
    </i>
    <i>
      <x v="128"/>
      <x v="2"/>
    </i>
    <i>
      <x v="129"/>
      <x v="1"/>
    </i>
    <i>
      <x v="130"/>
      <x v="2"/>
    </i>
    <i>
      <x v="131"/>
      <x v="1"/>
    </i>
    <i>
      <x v="132"/>
      <x v="1"/>
    </i>
    <i>
      <x v="133"/>
      <x v="3"/>
    </i>
  </rowItems>
  <colFields count="1">
    <field x="-2"/>
  </colFields>
  <colItems count="2">
    <i>
      <x/>
    </i>
    <i i="1">
      <x v="1"/>
    </i>
  </colItems>
  <dataFields count="2">
    <dataField name="META 2° TRIM" fld="16" baseField="0" baseItem="0" numFmtId="9"/>
    <dataField name="AVANCE 2° TRI" fld="18" baseField="0" baseItem="0" numFmtId="9"/>
  </dataFields>
  <formats count="680">
    <format dxfId="714">
      <pivotArea field="4" type="button" dataOnly="0" labelOnly="1" outline="0"/>
    </format>
    <format dxfId="713">
      <pivotArea type="all" dataOnly="0" outline="0" fieldPosition="0"/>
    </format>
    <format dxfId="712">
      <pivotArea outline="0" collapsedLevelsAreSubtotals="1" fieldPosition="0"/>
    </format>
    <format dxfId="711">
      <pivotArea field="4" type="button" dataOnly="0" labelOnly="1" outline="0"/>
    </format>
    <format dxfId="710">
      <pivotArea dataOnly="0" labelOnly="1" grandRow="1" outline="0" fieldPosition="0"/>
    </format>
    <format dxfId="709">
      <pivotArea type="all" dataOnly="0" outline="0" fieldPosition="0"/>
    </format>
    <format dxfId="708">
      <pivotArea outline="0" collapsedLevelsAreSubtotals="1" fieldPosition="0"/>
    </format>
    <format dxfId="707">
      <pivotArea field="4" type="button" dataOnly="0" labelOnly="1" outline="0"/>
    </format>
    <format dxfId="706">
      <pivotArea type="all" dataOnly="0" outline="0" fieldPosition="0"/>
    </format>
    <format dxfId="705">
      <pivotArea outline="0" collapsedLevelsAreSubtotals="1" fieldPosition="0"/>
    </format>
    <format dxfId="704">
      <pivotArea field="4" type="button" dataOnly="0" labelOnly="1" outline="0"/>
    </format>
    <format dxfId="703">
      <pivotArea field="6" type="button" dataOnly="0" labelOnly="1" outline="0" axis="axisRow" fieldPosition="0"/>
    </format>
    <format dxfId="702">
      <pivotArea type="all" dataOnly="0" outline="0" fieldPosition="0"/>
    </format>
    <format dxfId="701">
      <pivotArea field="6" type="button" dataOnly="0" labelOnly="1" outline="0" axis="axisRow" fieldPosition="0"/>
    </format>
    <format dxfId="700">
      <pivotArea dataOnly="0" labelOnly="1" fieldPosition="0">
        <references count="1">
          <reference field="6"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699">
      <pivotArea dataOnly="0" labelOnly="1" fieldPosition="0">
        <references count="1">
          <reference field="6" count="24">
            <x v="50"/>
            <x v="51"/>
            <x v="52"/>
            <x v="53"/>
            <x v="54"/>
            <x v="55"/>
            <x v="56"/>
            <x v="57"/>
            <x v="58"/>
            <x v="59"/>
            <x v="60"/>
            <x v="61"/>
            <x v="62"/>
            <x v="63"/>
            <x v="64"/>
            <x v="65"/>
            <x v="66"/>
            <x v="67"/>
            <x v="68"/>
            <x v="69"/>
            <x v="70"/>
            <x v="71"/>
            <x v="72"/>
            <x v="73"/>
          </reference>
        </references>
      </pivotArea>
    </format>
    <format dxfId="698">
      <pivotArea type="all" dataOnly="0" outline="0" fieldPosition="0"/>
    </format>
    <format dxfId="697">
      <pivotArea field="6" type="button" dataOnly="0" labelOnly="1" outline="0" axis="axisRow" fieldPosition="0"/>
    </format>
    <format dxfId="696">
      <pivotArea dataOnly="0" labelOnly="1" fieldPosition="0">
        <references count="1">
          <reference field="6"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695">
      <pivotArea dataOnly="0" labelOnly="1" fieldPosition="0">
        <references count="1">
          <reference field="6" count="24">
            <x v="50"/>
            <x v="51"/>
            <x v="52"/>
            <x v="53"/>
            <x v="54"/>
            <x v="55"/>
            <x v="56"/>
            <x v="57"/>
            <x v="58"/>
            <x v="59"/>
            <x v="60"/>
            <x v="61"/>
            <x v="62"/>
            <x v="63"/>
            <x v="64"/>
            <x v="65"/>
            <x v="66"/>
            <x v="67"/>
            <x v="68"/>
            <x v="69"/>
            <x v="70"/>
            <x v="71"/>
            <x v="72"/>
            <x v="73"/>
          </reference>
        </references>
      </pivotArea>
    </format>
    <format dxfId="694">
      <pivotArea type="all" dataOnly="0" outline="0" fieldPosition="0"/>
    </format>
    <format dxfId="693">
      <pivotArea field="6" type="button" dataOnly="0" labelOnly="1" outline="0" axis="axisRow" fieldPosition="0"/>
    </format>
    <format dxfId="692">
      <pivotArea dataOnly="0" labelOnly="1" fieldPosition="0">
        <references count="1">
          <reference field="6"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691">
      <pivotArea dataOnly="0" labelOnly="1" fieldPosition="0">
        <references count="1">
          <reference field="6" count="24">
            <x v="50"/>
            <x v="51"/>
            <x v="52"/>
            <x v="53"/>
            <x v="54"/>
            <x v="55"/>
            <x v="56"/>
            <x v="57"/>
            <x v="58"/>
            <x v="59"/>
            <x v="60"/>
            <x v="61"/>
            <x v="62"/>
            <x v="63"/>
            <x v="64"/>
            <x v="65"/>
            <x v="66"/>
            <x v="67"/>
            <x v="68"/>
            <x v="69"/>
            <x v="70"/>
            <x v="71"/>
            <x v="72"/>
            <x v="73"/>
          </reference>
        </references>
      </pivotArea>
    </format>
    <format dxfId="690">
      <pivotArea outline="0" collapsedLevelsAreSubtotals="1" fieldPosition="0"/>
    </format>
    <format dxfId="689">
      <pivotArea outline="0" collapsedLevelsAreSubtotals="1" fieldPosition="0"/>
    </format>
    <format dxfId="688">
      <pivotArea field="6" type="button" dataOnly="0" labelOnly="1" outline="0" axis="axisRow" fieldPosition="0"/>
    </format>
    <format dxfId="687">
      <pivotArea collapsedLevelsAreSubtotals="1" fieldPosition="0">
        <references count="1">
          <reference field="6" count="7">
            <x v="11"/>
            <x v="37"/>
            <x v="38"/>
            <x v="51"/>
            <x v="52"/>
            <x v="54"/>
            <x v="72"/>
          </reference>
        </references>
      </pivotArea>
    </format>
    <format dxfId="686">
      <pivotArea collapsedLevelsAreSubtotals="1" fieldPosition="0">
        <references count="1">
          <reference field="6" count="1">
            <x v="71"/>
          </reference>
        </references>
      </pivotArea>
    </format>
    <format dxfId="685">
      <pivotArea collapsedLevelsAreSubtotals="1" fieldPosition="0">
        <references count="1">
          <reference field="6" count="1">
            <x v="48"/>
          </reference>
        </references>
      </pivotArea>
    </format>
    <format dxfId="684">
      <pivotArea collapsedLevelsAreSubtotals="1" fieldPosition="0">
        <references count="1">
          <reference field="6" count="1">
            <x v="26"/>
          </reference>
        </references>
      </pivotArea>
    </format>
    <format dxfId="683">
      <pivotArea collapsedLevelsAreSubtotals="1" fieldPosition="0">
        <references count="1">
          <reference field="6" count="2">
            <x v="20"/>
            <x v="21"/>
          </reference>
        </references>
      </pivotArea>
    </format>
    <format dxfId="682">
      <pivotArea collapsedLevelsAreSubtotals="1" fieldPosition="0">
        <references count="1">
          <reference field="6" count="1">
            <x v="73"/>
          </reference>
        </references>
      </pivotArea>
    </format>
    <format dxfId="681">
      <pivotArea type="all" dataOnly="0" outline="0" fieldPosition="0"/>
    </format>
    <format dxfId="680">
      <pivotArea outline="0" collapsedLevelsAreSubtotals="1" fieldPosition="0"/>
    </format>
    <format dxfId="679">
      <pivotArea field="6" type="button" dataOnly="0" labelOnly="1" outline="0" axis="axisRow" fieldPosition="0"/>
    </format>
    <format dxfId="678">
      <pivotArea dataOnly="0" labelOnly="1" fieldPosition="0">
        <references count="1">
          <reference field="6"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677">
      <pivotArea dataOnly="0" labelOnly="1" fieldPosition="0">
        <references count="1">
          <reference field="6" count="24">
            <x v="50"/>
            <x v="51"/>
            <x v="52"/>
            <x v="53"/>
            <x v="54"/>
            <x v="55"/>
            <x v="56"/>
            <x v="57"/>
            <x v="58"/>
            <x v="59"/>
            <x v="60"/>
            <x v="61"/>
            <x v="62"/>
            <x v="63"/>
            <x v="64"/>
            <x v="65"/>
            <x v="66"/>
            <x v="67"/>
            <x v="68"/>
            <x v="69"/>
            <x v="70"/>
            <x v="71"/>
            <x v="72"/>
            <x v="73"/>
          </reference>
        </references>
      </pivotArea>
    </format>
    <format dxfId="676">
      <pivotArea field="6" type="button" dataOnly="0" labelOnly="1" outline="0" axis="axisRow" fieldPosition="0"/>
    </format>
    <format dxfId="675">
      <pivotArea dataOnly="0" labelOnly="1" outline="0" fieldPosition="0">
        <references count="1">
          <reference field="6"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674">
      <pivotArea dataOnly="0" labelOnly="1" outline="0" fieldPosition="0">
        <references count="1">
          <reference field="6" count="24">
            <x v="50"/>
            <x v="51"/>
            <x v="52"/>
            <x v="53"/>
            <x v="54"/>
            <x v="55"/>
            <x v="56"/>
            <x v="57"/>
            <x v="58"/>
            <x v="59"/>
            <x v="60"/>
            <x v="61"/>
            <x v="62"/>
            <x v="63"/>
            <x v="64"/>
            <x v="65"/>
            <x v="66"/>
            <x v="67"/>
            <x v="68"/>
            <x v="69"/>
            <x v="70"/>
            <x v="71"/>
            <x v="72"/>
            <x v="73"/>
          </reference>
        </references>
      </pivotArea>
    </format>
    <format dxfId="673">
      <pivotArea dataOnly="0" labelOnly="1" outline="0" fieldPosition="0">
        <references count="2">
          <reference field="6" count="1" selected="0">
            <x v="0"/>
          </reference>
          <reference field="23" count="1">
            <x v="1"/>
          </reference>
        </references>
      </pivotArea>
    </format>
    <format dxfId="672">
      <pivotArea dataOnly="0" labelOnly="1" outline="0" fieldPosition="0">
        <references count="2">
          <reference field="6" count="1" selected="0">
            <x v="1"/>
          </reference>
          <reference field="23" count="1">
            <x v="1"/>
          </reference>
        </references>
      </pivotArea>
    </format>
    <format dxfId="671">
      <pivotArea dataOnly="0" labelOnly="1" outline="0" fieldPosition="0">
        <references count="2">
          <reference field="6" count="1" selected="0">
            <x v="2"/>
          </reference>
          <reference field="23" count="1">
            <x v="1"/>
          </reference>
        </references>
      </pivotArea>
    </format>
    <format dxfId="670">
      <pivotArea dataOnly="0" labelOnly="1" outline="0" fieldPosition="0">
        <references count="2">
          <reference field="6" count="1" selected="0">
            <x v="3"/>
          </reference>
          <reference field="23" count="1">
            <x v="1"/>
          </reference>
        </references>
      </pivotArea>
    </format>
    <format dxfId="669">
      <pivotArea dataOnly="0" labelOnly="1" outline="0" fieldPosition="0">
        <references count="2">
          <reference field="6" count="1" selected="0">
            <x v="4"/>
          </reference>
          <reference field="23" count="1">
            <x v="0"/>
          </reference>
        </references>
      </pivotArea>
    </format>
    <format dxfId="668">
      <pivotArea dataOnly="0" labelOnly="1" outline="0" fieldPosition="0">
        <references count="2">
          <reference field="6" count="1" selected="0">
            <x v="5"/>
          </reference>
          <reference field="23" count="1">
            <x v="1"/>
          </reference>
        </references>
      </pivotArea>
    </format>
    <format dxfId="667">
      <pivotArea dataOnly="0" labelOnly="1" outline="0" fieldPosition="0">
        <references count="2">
          <reference field="6" count="1" selected="0">
            <x v="6"/>
          </reference>
          <reference field="23" count="1">
            <x v="1"/>
          </reference>
        </references>
      </pivotArea>
    </format>
    <format dxfId="666">
      <pivotArea dataOnly="0" labelOnly="1" outline="0" fieldPosition="0">
        <references count="2">
          <reference field="6" count="1" selected="0">
            <x v="7"/>
          </reference>
          <reference field="23" count="1">
            <x v="1"/>
          </reference>
        </references>
      </pivotArea>
    </format>
    <format dxfId="665">
      <pivotArea dataOnly="0" labelOnly="1" outline="0" fieldPosition="0">
        <references count="2">
          <reference field="6" count="1" selected="0">
            <x v="8"/>
          </reference>
          <reference field="23" count="1">
            <x v="3"/>
          </reference>
        </references>
      </pivotArea>
    </format>
    <format dxfId="664">
      <pivotArea dataOnly="0" labelOnly="1" outline="0" fieldPosition="0">
        <references count="2">
          <reference field="6" count="1" selected="0">
            <x v="9"/>
          </reference>
          <reference field="23" count="1">
            <x v="2"/>
          </reference>
        </references>
      </pivotArea>
    </format>
    <format dxfId="663">
      <pivotArea dataOnly="0" labelOnly="1" outline="0" fieldPosition="0">
        <references count="2">
          <reference field="6" count="1" selected="0">
            <x v="10"/>
          </reference>
          <reference field="23" count="1">
            <x v="1"/>
          </reference>
        </references>
      </pivotArea>
    </format>
    <format dxfId="662">
      <pivotArea dataOnly="0" labelOnly="1" outline="0" fieldPosition="0">
        <references count="2">
          <reference field="6" count="1" selected="0">
            <x v="11"/>
          </reference>
          <reference field="23" count="1">
            <x v="2"/>
          </reference>
        </references>
      </pivotArea>
    </format>
    <format dxfId="661">
      <pivotArea dataOnly="0" labelOnly="1" outline="0" fieldPosition="0">
        <references count="2">
          <reference field="6" count="1" selected="0">
            <x v="12"/>
          </reference>
          <reference field="23" count="1">
            <x v="1"/>
          </reference>
        </references>
      </pivotArea>
    </format>
    <format dxfId="660">
      <pivotArea dataOnly="0" labelOnly="1" outline="0" fieldPosition="0">
        <references count="2">
          <reference field="6" count="1" selected="0">
            <x v="13"/>
          </reference>
          <reference field="23" count="1">
            <x v="1"/>
          </reference>
        </references>
      </pivotArea>
    </format>
    <format dxfId="659">
      <pivotArea dataOnly="0" labelOnly="1" outline="0" fieldPosition="0">
        <references count="2">
          <reference field="6" count="1" selected="0">
            <x v="14"/>
          </reference>
          <reference field="23" count="1">
            <x v="2"/>
          </reference>
        </references>
      </pivotArea>
    </format>
    <format dxfId="658">
      <pivotArea dataOnly="0" labelOnly="1" outline="0" fieldPosition="0">
        <references count="2">
          <reference field="6" count="1" selected="0">
            <x v="15"/>
          </reference>
          <reference field="23" count="1">
            <x v="2"/>
          </reference>
        </references>
      </pivotArea>
    </format>
    <format dxfId="657">
      <pivotArea dataOnly="0" labelOnly="1" outline="0" fieldPosition="0">
        <references count="2">
          <reference field="6" count="1" selected="0">
            <x v="16"/>
          </reference>
          <reference field="23" count="1">
            <x v="2"/>
          </reference>
        </references>
      </pivotArea>
    </format>
    <format dxfId="656">
      <pivotArea dataOnly="0" labelOnly="1" outline="0" fieldPosition="0">
        <references count="2">
          <reference field="6" count="1" selected="0">
            <x v="17"/>
          </reference>
          <reference field="23" count="1">
            <x v="3"/>
          </reference>
        </references>
      </pivotArea>
    </format>
    <format dxfId="655">
      <pivotArea dataOnly="0" labelOnly="1" outline="0" fieldPosition="0">
        <references count="2">
          <reference field="6" count="1" selected="0">
            <x v="18"/>
          </reference>
          <reference field="23" count="1">
            <x v="1"/>
          </reference>
        </references>
      </pivotArea>
    </format>
    <format dxfId="654">
      <pivotArea dataOnly="0" labelOnly="1" outline="0" fieldPosition="0">
        <references count="2">
          <reference field="6" count="1" selected="0">
            <x v="19"/>
          </reference>
          <reference field="23" count="1">
            <x v="1"/>
          </reference>
        </references>
      </pivotArea>
    </format>
    <format dxfId="653">
      <pivotArea dataOnly="0" labelOnly="1" outline="0" fieldPosition="0">
        <references count="2">
          <reference field="6" count="1" selected="0">
            <x v="20"/>
          </reference>
          <reference field="23" count="1">
            <x v="1"/>
          </reference>
        </references>
      </pivotArea>
    </format>
    <format dxfId="652">
      <pivotArea dataOnly="0" labelOnly="1" outline="0" fieldPosition="0">
        <references count="2">
          <reference field="6" count="1" selected="0">
            <x v="21"/>
          </reference>
          <reference field="23" count="1">
            <x v="2"/>
          </reference>
        </references>
      </pivotArea>
    </format>
    <format dxfId="651">
      <pivotArea dataOnly="0" labelOnly="1" outline="0" fieldPosition="0">
        <references count="2">
          <reference field="6" count="1" selected="0">
            <x v="22"/>
          </reference>
          <reference field="23" count="1">
            <x v="3"/>
          </reference>
        </references>
      </pivotArea>
    </format>
    <format dxfId="650">
      <pivotArea dataOnly="0" labelOnly="1" outline="0" fieldPosition="0">
        <references count="2">
          <reference field="6" count="1" selected="0">
            <x v="23"/>
          </reference>
          <reference field="23" count="1">
            <x v="2"/>
          </reference>
        </references>
      </pivotArea>
    </format>
    <format dxfId="649">
      <pivotArea dataOnly="0" labelOnly="1" outline="0" fieldPosition="0">
        <references count="2">
          <reference field="6" count="1" selected="0">
            <x v="24"/>
          </reference>
          <reference field="23" count="1">
            <x v="2"/>
          </reference>
        </references>
      </pivotArea>
    </format>
    <format dxfId="648">
      <pivotArea dataOnly="0" labelOnly="1" outline="0" fieldPosition="0">
        <references count="2">
          <reference field="6" count="1" selected="0">
            <x v="25"/>
          </reference>
          <reference field="23" count="1">
            <x v="1"/>
          </reference>
        </references>
      </pivotArea>
    </format>
    <format dxfId="647">
      <pivotArea dataOnly="0" labelOnly="1" outline="0" fieldPosition="0">
        <references count="2">
          <reference field="6" count="1" selected="0">
            <x v="26"/>
          </reference>
          <reference field="23" count="1">
            <x v="2"/>
          </reference>
        </references>
      </pivotArea>
    </format>
    <format dxfId="646">
      <pivotArea dataOnly="0" labelOnly="1" outline="0" fieldPosition="0">
        <references count="2">
          <reference field="6" count="1" selected="0">
            <x v="27"/>
          </reference>
          <reference field="23" count="1">
            <x v="1"/>
          </reference>
        </references>
      </pivotArea>
    </format>
    <format dxfId="645">
      <pivotArea dataOnly="0" labelOnly="1" outline="0" fieldPosition="0">
        <references count="2">
          <reference field="6" count="1" selected="0">
            <x v="28"/>
          </reference>
          <reference field="23" count="1">
            <x v="2"/>
          </reference>
        </references>
      </pivotArea>
    </format>
    <format dxfId="644">
      <pivotArea dataOnly="0" labelOnly="1" outline="0" fieldPosition="0">
        <references count="2">
          <reference field="6" count="1" selected="0">
            <x v="29"/>
          </reference>
          <reference field="23" count="1">
            <x v="1"/>
          </reference>
        </references>
      </pivotArea>
    </format>
    <format dxfId="643">
      <pivotArea dataOnly="0" labelOnly="1" outline="0" fieldPosition="0">
        <references count="2">
          <reference field="6" count="1" selected="0">
            <x v="30"/>
          </reference>
          <reference field="23" count="1">
            <x v="1"/>
          </reference>
        </references>
      </pivotArea>
    </format>
    <format dxfId="642">
      <pivotArea dataOnly="0" labelOnly="1" outline="0" fieldPosition="0">
        <references count="2">
          <reference field="6" count="1" selected="0">
            <x v="31"/>
          </reference>
          <reference field="23" count="1">
            <x v="1"/>
          </reference>
        </references>
      </pivotArea>
    </format>
    <format dxfId="641">
      <pivotArea dataOnly="0" labelOnly="1" outline="0" fieldPosition="0">
        <references count="2">
          <reference field="6" count="1" selected="0">
            <x v="32"/>
          </reference>
          <reference field="23" count="1">
            <x v="1"/>
          </reference>
        </references>
      </pivotArea>
    </format>
    <format dxfId="640">
      <pivotArea dataOnly="0" labelOnly="1" outline="0" fieldPosition="0">
        <references count="2">
          <reference field="6" count="1" selected="0">
            <x v="33"/>
          </reference>
          <reference field="23" count="1">
            <x v="1"/>
          </reference>
        </references>
      </pivotArea>
    </format>
    <format dxfId="639">
      <pivotArea dataOnly="0" labelOnly="1" outline="0" fieldPosition="0">
        <references count="2">
          <reference field="6" count="1" selected="0">
            <x v="34"/>
          </reference>
          <reference field="23" count="1">
            <x v="1"/>
          </reference>
        </references>
      </pivotArea>
    </format>
    <format dxfId="638">
      <pivotArea dataOnly="0" labelOnly="1" outline="0" fieldPosition="0">
        <references count="2">
          <reference field="6" count="1" selected="0">
            <x v="35"/>
          </reference>
          <reference field="23" count="1">
            <x v="1"/>
          </reference>
        </references>
      </pivotArea>
    </format>
    <format dxfId="637">
      <pivotArea dataOnly="0" labelOnly="1" outline="0" fieldPosition="0">
        <references count="2">
          <reference field="6" count="1" selected="0">
            <x v="36"/>
          </reference>
          <reference field="23" count="1">
            <x v="2"/>
          </reference>
        </references>
      </pivotArea>
    </format>
    <format dxfId="636">
      <pivotArea dataOnly="0" labelOnly="1" outline="0" fieldPosition="0">
        <references count="2">
          <reference field="6" count="1" selected="0">
            <x v="37"/>
          </reference>
          <reference field="23" count="1">
            <x v="2"/>
          </reference>
        </references>
      </pivotArea>
    </format>
    <format dxfId="635">
      <pivotArea dataOnly="0" labelOnly="1" outline="0" fieldPosition="0">
        <references count="2">
          <reference field="6" count="1" selected="0">
            <x v="38"/>
          </reference>
          <reference field="23" count="1">
            <x v="1"/>
          </reference>
        </references>
      </pivotArea>
    </format>
    <format dxfId="634">
      <pivotArea dataOnly="0" labelOnly="1" outline="0" fieldPosition="0">
        <references count="2">
          <reference field="6" count="1" selected="0">
            <x v="39"/>
          </reference>
          <reference field="23" count="1">
            <x v="2"/>
          </reference>
        </references>
      </pivotArea>
    </format>
    <format dxfId="633">
      <pivotArea dataOnly="0" labelOnly="1" outline="0" fieldPosition="0">
        <references count="2">
          <reference field="6" count="1" selected="0">
            <x v="40"/>
          </reference>
          <reference field="23" count="1">
            <x v="1"/>
          </reference>
        </references>
      </pivotArea>
    </format>
    <format dxfId="632">
      <pivotArea dataOnly="0" labelOnly="1" outline="0" fieldPosition="0">
        <references count="2">
          <reference field="6" count="1" selected="0">
            <x v="41"/>
          </reference>
          <reference field="23" count="1">
            <x v="1"/>
          </reference>
        </references>
      </pivotArea>
    </format>
    <format dxfId="631">
      <pivotArea dataOnly="0" labelOnly="1" outline="0" fieldPosition="0">
        <references count="2">
          <reference field="6" count="1" selected="0">
            <x v="42"/>
          </reference>
          <reference field="23" count="1">
            <x v="1"/>
          </reference>
        </references>
      </pivotArea>
    </format>
    <format dxfId="630">
      <pivotArea dataOnly="0" labelOnly="1" outline="0" fieldPosition="0">
        <references count="2">
          <reference field="6" count="1" selected="0">
            <x v="43"/>
          </reference>
          <reference field="23" count="1">
            <x v="1"/>
          </reference>
        </references>
      </pivotArea>
    </format>
    <format dxfId="629">
      <pivotArea dataOnly="0" labelOnly="1" outline="0" fieldPosition="0">
        <references count="2">
          <reference field="6" count="1" selected="0">
            <x v="44"/>
          </reference>
          <reference field="23" count="1">
            <x v="1"/>
          </reference>
        </references>
      </pivotArea>
    </format>
    <format dxfId="628">
      <pivotArea dataOnly="0" labelOnly="1" outline="0" fieldPosition="0">
        <references count="2">
          <reference field="6" count="1" selected="0">
            <x v="45"/>
          </reference>
          <reference field="23" count="1">
            <x v="1"/>
          </reference>
        </references>
      </pivotArea>
    </format>
    <format dxfId="627">
      <pivotArea dataOnly="0" labelOnly="1" outline="0" fieldPosition="0">
        <references count="2">
          <reference field="6" count="1" selected="0">
            <x v="46"/>
          </reference>
          <reference field="23" count="1">
            <x v="1"/>
          </reference>
        </references>
      </pivotArea>
    </format>
    <format dxfId="626">
      <pivotArea dataOnly="0" labelOnly="1" outline="0" fieldPosition="0">
        <references count="2">
          <reference field="6" count="1" selected="0">
            <x v="47"/>
          </reference>
          <reference field="23" count="1">
            <x v="1"/>
          </reference>
        </references>
      </pivotArea>
    </format>
    <format dxfId="625">
      <pivotArea dataOnly="0" labelOnly="1" outline="0" fieldPosition="0">
        <references count="2">
          <reference field="6" count="1" selected="0">
            <x v="48"/>
          </reference>
          <reference field="23" count="1">
            <x v="2"/>
          </reference>
        </references>
      </pivotArea>
    </format>
    <format dxfId="624">
      <pivotArea dataOnly="0" labelOnly="1" outline="0" fieldPosition="0">
        <references count="2">
          <reference field="6" count="1" selected="0">
            <x v="49"/>
          </reference>
          <reference field="23" count="1">
            <x v="1"/>
          </reference>
        </references>
      </pivotArea>
    </format>
    <format dxfId="623">
      <pivotArea dataOnly="0" labelOnly="1" outline="0" fieldPosition="0">
        <references count="2">
          <reference field="6" count="1" selected="0">
            <x v="50"/>
          </reference>
          <reference field="23" count="1">
            <x v="1"/>
          </reference>
        </references>
      </pivotArea>
    </format>
    <format dxfId="622">
      <pivotArea dataOnly="0" labelOnly="1" outline="0" fieldPosition="0">
        <references count="2">
          <reference field="6" count="1" selected="0">
            <x v="51"/>
          </reference>
          <reference field="23" count="1">
            <x v="1"/>
          </reference>
        </references>
      </pivotArea>
    </format>
    <format dxfId="621">
      <pivotArea dataOnly="0" labelOnly="1" outline="0" fieldPosition="0">
        <references count="2">
          <reference field="6" count="1" selected="0">
            <x v="52"/>
          </reference>
          <reference field="23" count="1">
            <x v="2"/>
          </reference>
        </references>
      </pivotArea>
    </format>
    <format dxfId="620">
      <pivotArea dataOnly="0" labelOnly="1" outline="0" fieldPosition="0">
        <references count="2">
          <reference field="6" count="1" selected="0">
            <x v="53"/>
          </reference>
          <reference field="23" count="1">
            <x v="1"/>
          </reference>
        </references>
      </pivotArea>
    </format>
    <format dxfId="619">
      <pivotArea dataOnly="0" labelOnly="1" outline="0" fieldPosition="0">
        <references count="2">
          <reference field="6" count="1" selected="0">
            <x v="54"/>
          </reference>
          <reference field="23" count="1">
            <x v="2"/>
          </reference>
        </references>
      </pivotArea>
    </format>
    <format dxfId="618">
      <pivotArea dataOnly="0" labelOnly="1" outline="0" fieldPosition="0">
        <references count="2">
          <reference field="6" count="1" selected="0">
            <x v="55"/>
          </reference>
          <reference field="23" count="1">
            <x v="1"/>
          </reference>
        </references>
      </pivotArea>
    </format>
    <format dxfId="617">
      <pivotArea dataOnly="0" labelOnly="1" outline="0" fieldPosition="0">
        <references count="2">
          <reference field="6" count="1" selected="0">
            <x v="56"/>
          </reference>
          <reference field="23" count="1">
            <x v="1"/>
          </reference>
        </references>
      </pivotArea>
    </format>
    <format dxfId="616">
      <pivotArea dataOnly="0" labelOnly="1" outline="0" fieldPosition="0">
        <references count="2">
          <reference field="6" count="1" selected="0">
            <x v="57"/>
          </reference>
          <reference field="23" count="1">
            <x v="2"/>
          </reference>
        </references>
      </pivotArea>
    </format>
    <format dxfId="615">
      <pivotArea dataOnly="0" labelOnly="1" outline="0" fieldPosition="0">
        <references count="2">
          <reference field="6" count="1" selected="0">
            <x v="58"/>
          </reference>
          <reference field="23" count="1">
            <x v="1"/>
          </reference>
        </references>
      </pivotArea>
    </format>
    <format dxfId="614">
      <pivotArea dataOnly="0" labelOnly="1" outline="0" fieldPosition="0">
        <references count="2">
          <reference field="6" count="1" selected="0">
            <x v="59"/>
          </reference>
          <reference field="23" count="1">
            <x v="1"/>
          </reference>
        </references>
      </pivotArea>
    </format>
    <format dxfId="613">
      <pivotArea dataOnly="0" labelOnly="1" outline="0" fieldPosition="0">
        <references count="2">
          <reference field="6" count="1" selected="0">
            <x v="60"/>
          </reference>
          <reference field="23" count="1">
            <x v="1"/>
          </reference>
        </references>
      </pivotArea>
    </format>
    <format dxfId="612">
      <pivotArea dataOnly="0" labelOnly="1" outline="0" fieldPosition="0">
        <references count="2">
          <reference field="6" count="1" selected="0">
            <x v="61"/>
          </reference>
          <reference field="23" count="1">
            <x v="1"/>
          </reference>
        </references>
      </pivotArea>
    </format>
    <format dxfId="611">
      <pivotArea dataOnly="0" labelOnly="1" outline="0" fieldPosition="0">
        <references count="2">
          <reference field="6" count="1" selected="0">
            <x v="62"/>
          </reference>
          <reference field="23" count="1">
            <x v="1"/>
          </reference>
        </references>
      </pivotArea>
    </format>
    <format dxfId="610">
      <pivotArea dataOnly="0" labelOnly="1" outline="0" fieldPosition="0">
        <references count="2">
          <reference field="6" count="1" selected="0">
            <x v="63"/>
          </reference>
          <reference field="23" count="1">
            <x v="1"/>
          </reference>
        </references>
      </pivotArea>
    </format>
    <format dxfId="609">
      <pivotArea dataOnly="0" labelOnly="1" outline="0" fieldPosition="0">
        <references count="2">
          <reference field="6" count="1" selected="0">
            <x v="64"/>
          </reference>
          <reference field="23" count="1">
            <x v="1"/>
          </reference>
        </references>
      </pivotArea>
    </format>
    <format dxfId="608">
      <pivotArea dataOnly="0" labelOnly="1" outline="0" fieldPosition="0">
        <references count="2">
          <reference field="6" count="1" selected="0">
            <x v="65"/>
          </reference>
          <reference field="23" count="1">
            <x v="2"/>
          </reference>
        </references>
      </pivotArea>
    </format>
    <format dxfId="607">
      <pivotArea dataOnly="0" labelOnly="1" outline="0" fieldPosition="0">
        <references count="2">
          <reference field="6" count="1" selected="0">
            <x v="66"/>
          </reference>
          <reference field="23" count="1">
            <x v="1"/>
          </reference>
        </references>
      </pivotArea>
    </format>
    <format dxfId="606">
      <pivotArea dataOnly="0" labelOnly="1" outline="0" fieldPosition="0">
        <references count="2">
          <reference field="6" count="1" selected="0">
            <x v="67"/>
          </reference>
          <reference field="23" count="1">
            <x v="2"/>
          </reference>
        </references>
      </pivotArea>
    </format>
    <format dxfId="605">
      <pivotArea dataOnly="0" labelOnly="1" outline="0" fieldPosition="0">
        <references count="2">
          <reference field="6" count="1" selected="0">
            <x v="68"/>
          </reference>
          <reference field="23" count="1">
            <x v="2"/>
          </reference>
        </references>
      </pivotArea>
    </format>
    <format dxfId="604">
      <pivotArea dataOnly="0" labelOnly="1" outline="0" fieldPosition="0">
        <references count="2">
          <reference field="6" count="1" selected="0">
            <x v="69"/>
          </reference>
          <reference field="23" count="1">
            <x v="1"/>
          </reference>
        </references>
      </pivotArea>
    </format>
    <format dxfId="603">
      <pivotArea dataOnly="0" labelOnly="1" outline="0" fieldPosition="0">
        <references count="2">
          <reference field="6" count="1" selected="0">
            <x v="70"/>
          </reference>
          <reference field="23" count="1">
            <x v="1"/>
          </reference>
        </references>
      </pivotArea>
    </format>
    <format dxfId="602">
      <pivotArea dataOnly="0" labelOnly="1" outline="0" fieldPosition="0">
        <references count="2">
          <reference field="6" count="1" selected="0">
            <x v="71"/>
          </reference>
          <reference field="23" count="1">
            <x v="2"/>
          </reference>
        </references>
      </pivotArea>
    </format>
    <format dxfId="601">
      <pivotArea dataOnly="0" labelOnly="1" outline="0" fieldPosition="0">
        <references count="2">
          <reference field="6" count="1" selected="0">
            <x v="72"/>
          </reference>
          <reference field="23" count="1">
            <x v="2"/>
          </reference>
        </references>
      </pivotArea>
    </format>
    <format dxfId="600">
      <pivotArea dataOnly="0" labelOnly="1" outline="0" fieldPosition="0">
        <references count="2">
          <reference field="6" count="1" selected="0">
            <x v="73"/>
          </reference>
          <reference field="23" count="1">
            <x v="2"/>
          </reference>
        </references>
      </pivotArea>
    </format>
    <format dxfId="599">
      <pivotArea dataOnly="0" labelOnly="1" outline="0" fieldPosition="0">
        <references count="2">
          <reference field="6" count="1" selected="0">
            <x v="0"/>
          </reference>
          <reference field="23" count="1">
            <x v="1"/>
          </reference>
        </references>
      </pivotArea>
    </format>
    <format dxfId="598">
      <pivotArea dataOnly="0" labelOnly="1" outline="0" fieldPosition="0">
        <references count="2">
          <reference field="6" count="1" selected="0">
            <x v="1"/>
          </reference>
          <reference field="23" count="1">
            <x v="1"/>
          </reference>
        </references>
      </pivotArea>
    </format>
    <format dxfId="597">
      <pivotArea dataOnly="0" labelOnly="1" outline="0" fieldPosition="0">
        <references count="2">
          <reference field="6" count="1" selected="0">
            <x v="2"/>
          </reference>
          <reference field="23" count="1">
            <x v="1"/>
          </reference>
        </references>
      </pivotArea>
    </format>
    <format dxfId="596">
      <pivotArea dataOnly="0" labelOnly="1" outline="0" fieldPosition="0">
        <references count="2">
          <reference field="6" count="1" selected="0">
            <x v="3"/>
          </reference>
          <reference field="23" count="1">
            <x v="1"/>
          </reference>
        </references>
      </pivotArea>
    </format>
    <format dxfId="595">
      <pivotArea dataOnly="0" labelOnly="1" outline="0" fieldPosition="0">
        <references count="2">
          <reference field="6" count="1" selected="0">
            <x v="4"/>
          </reference>
          <reference field="23" count="1">
            <x v="0"/>
          </reference>
        </references>
      </pivotArea>
    </format>
    <format dxfId="594">
      <pivotArea dataOnly="0" labelOnly="1" outline="0" fieldPosition="0">
        <references count="2">
          <reference field="6" count="1" selected="0">
            <x v="5"/>
          </reference>
          <reference field="23" count="1">
            <x v="1"/>
          </reference>
        </references>
      </pivotArea>
    </format>
    <format dxfId="593">
      <pivotArea dataOnly="0" labelOnly="1" outline="0" fieldPosition="0">
        <references count="2">
          <reference field="6" count="1" selected="0">
            <x v="6"/>
          </reference>
          <reference field="23" count="1">
            <x v="1"/>
          </reference>
        </references>
      </pivotArea>
    </format>
    <format dxfId="592">
      <pivotArea dataOnly="0" labelOnly="1" outline="0" fieldPosition="0">
        <references count="2">
          <reference field="6" count="1" selected="0">
            <x v="7"/>
          </reference>
          <reference field="23" count="1">
            <x v="1"/>
          </reference>
        </references>
      </pivotArea>
    </format>
    <format dxfId="591">
      <pivotArea dataOnly="0" labelOnly="1" outline="0" fieldPosition="0">
        <references count="2">
          <reference field="6" count="1" selected="0">
            <x v="8"/>
          </reference>
          <reference field="23" count="1">
            <x v="3"/>
          </reference>
        </references>
      </pivotArea>
    </format>
    <format dxfId="590">
      <pivotArea dataOnly="0" labelOnly="1" outline="0" fieldPosition="0">
        <references count="2">
          <reference field="6" count="1" selected="0">
            <x v="9"/>
          </reference>
          <reference field="23" count="1">
            <x v="2"/>
          </reference>
        </references>
      </pivotArea>
    </format>
    <format dxfId="589">
      <pivotArea dataOnly="0" labelOnly="1" outline="0" fieldPosition="0">
        <references count="2">
          <reference field="6" count="1" selected="0">
            <x v="10"/>
          </reference>
          <reference field="23" count="1">
            <x v="1"/>
          </reference>
        </references>
      </pivotArea>
    </format>
    <format dxfId="588">
      <pivotArea dataOnly="0" labelOnly="1" outline="0" fieldPosition="0">
        <references count="2">
          <reference field="6" count="1" selected="0">
            <x v="11"/>
          </reference>
          <reference field="23" count="1">
            <x v="4"/>
          </reference>
        </references>
      </pivotArea>
    </format>
    <format dxfId="587">
      <pivotArea dataOnly="0" labelOnly="1" outline="0" fieldPosition="0">
        <references count="2">
          <reference field="6" count="1" selected="0">
            <x v="12"/>
          </reference>
          <reference field="23" count="1">
            <x v="1"/>
          </reference>
        </references>
      </pivotArea>
    </format>
    <format dxfId="586">
      <pivotArea dataOnly="0" labelOnly="1" outline="0" fieldPosition="0">
        <references count="2">
          <reference field="6" count="1" selected="0">
            <x v="13"/>
          </reference>
          <reference field="23" count="1">
            <x v="1"/>
          </reference>
        </references>
      </pivotArea>
    </format>
    <format dxfId="585">
      <pivotArea dataOnly="0" labelOnly="1" outline="0" fieldPosition="0">
        <references count="2">
          <reference field="6" count="1" selected="0">
            <x v="14"/>
          </reference>
          <reference field="23" count="1">
            <x v="4"/>
          </reference>
        </references>
      </pivotArea>
    </format>
    <format dxfId="584">
      <pivotArea dataOnly="0" labelOnly="1" outline="0" fieldPosition="0">
        <references count="2">
          <reference field="6" count="1" selected="0">
            <x v="15"/>
          </reference>
          <reference field="23" count="1">
            <x v="4"/>
          </reference>
        </references>
      </pivotArea>
    </format>
    <format dxfId="583">
      <pivotArea dataOnly="0" labelOnly="1" outline="0" fieldPosition="0">
        <references count="2">
          <reference field="6" count="1" selected="0">
            <x v="16"/>
          </reference>
          <reference field="23" count="1">
            <x v="2"/>
          </reference>
        </references>
      </pivotArea>
    </format>
    <format dxfId="582">
      <pivotArea dataOnly="0" labelOnly="1" outline="0" fieldPosition="0">
        <references count="2">
          <reference field="6" count="1" selected="0">
            <x v="17"/>
          </reference>
          <reference field="23" count="1">
            <x v="3"/>
          </reference>
        </references>
      </pivotArea>
    </format>
    <format dxfId="581">
      <pivotArea dataOnly="0" labelOnly="1" outline="0" fieldPosition="0">
        <references count="2">
          <reference field="6" count="1" selected="0">
            <x v="18"/>
          </reference>
          <reference field="23" count="1">
            <x v="1"/>
          </reference>
        </references>
      </pivotArea>
    </format>
    <format dxfId="580">
      <pivotArea dataOnly="0" labelOnly="1" outline="0" fieldPosition="0">
        <references count="2">
          <reference field="6" count="1" selected="0">
            <x v="19"/>
          </reference>
          <reference field="23" count="1">
            <x v="1"/>
          </reference>
        </references>
      </pivotArea>
    </format>
    <format dxfId="579">
      <pivotArea dataOnly="0" labelOnly="1" outline="0" fieldPosition="0">
        <references count="2">
          <reference field="6" count="1" selected="0">
            <x v="20"/>
          </reference>
          <reference field="23" count="1">
            <x v="1"/>
          </reference>
        </references>
      </pivotArea>
    </format>
    <format dxfId="578">
      <pivotArea dataOnly="0" labelOnly="1" outline="0" fieldPosition="0">
        <references count="2">
          <reference field="6" count="1" selected="0">
            <x v="21"/>
          </reference>
          <reference field="23" count="1">
            <x v="4"/>
          </reference>
        </references>
      </pivotArea>
    </format>
    <format dxfId="577">
      <pivotArea dataOnly="0" labelOnly="1" outline="0" fieldPosition="0">
        <references count="2">
          <reference field="6" count="1" selected="0">
            <x v="22"/>
          </reference>
          <reference field="23" count="1">
            <x v="3"/>
          </reference>
        </references>
      </pivotArea>
    </format>
    <format dxfId="576">
      <pivotArea dataOnly="0" labelOnly="1" outline="0" fieldPosition="0">
        <references count="2">
          <reference field="6" count="1" selected="0">
            <x v="23"/>
          </reference>
          <reference field="23" count="1">
            <x v="2"/>
          </reference>
        </references>
      </pivotArea>
    </format>
    <format dxfId="575">
      <pivotArea dataOnly="0" labelOnly="1" outline="0" fieldPosition="0">
        <references count="2">
          <reference field="6" count="1" selected="0">
            <x v="24"/>
          </reference>
          <reference field="23" count="1">
            <x v="2"/>
          </reference>
        </references>
      </pivotArea>
    </format>
    <format dxfId="574">
      <pivotArea dataOnly="0" labelOnly="1" outline="0" fieldPosition="0">
        <references count="2">
          <reference field="6" count="1" selected="0">
            <x v="25"/>
          </reference>
          <reference field="23" count="1">
            <x v="1"/>
          </reference>
        </references>
      </pivotArea>
    </format>
    <format dxfId="573">
      <pivotArea dataOnly="0" labelOnly="1" outline="0" fieldPosition="0">
        <references count="2">
          <reference field="6" count="1" selected="0">
            <x v="26"/>
          </reference>
          <reference field="23" count="1">
            <x v="4"/>
          </reference>
        </references>
      </pivotArea>
    </format>
    <format dxfId="572">
      <pivotArea dataOnly="0" labelOnly="1" outline="0" fieldPosition="0">
        <references count="2">
          <reference field="6" count="1" selected="0">
            <x v="27"/>
          </reference>
          <reference field="23" count="1">
            <x v="1"/>
          </reference>
        </references>
      </pivotArea>
    </format>
    <format dxfId="571">
      <pivotArea dataOnly="0" labelOnly="1" outline="0" fieldPosition="0">
        <references count="2">
          <reference field="6" count="1" selected="0">
            <x v="28"/>
          </reference>
          <reference field="23" count="1">
            <x v="2"/>
          </reference>
        </references>
      </pivotArea>
    </format>
    <format dxfId="570">
      <pivotArea dataOnly="0" labelOnly="1" outline="0" fieldPosition="0">
        <references count="2">
          <reference field="6" count="1" selected="0">
            <x v="29"/>
          </reference>
          <reference field="23" count="1">
            <x v="1"/>
          </reference>
        </references>
      </pivotArea>
    </format>
    <format dxfId="569">
      <pivotArea dataOnly="0" labelOnly="1" outline="0" fieldPosition="0">
        <references count="2">
          <reference field="6" count="1" selected="0">
            <x v="30"/>
          </reference>
          <reference field="23" count="1">
            <x v="1"/>
          </reference>
        </references>
      </pivotArea>
    </format>
    <format dxfId="568">
      <pivotArea dataOnly="0" labelOnly="1" outline="0" fieldPosition="0">
        <references count="2">
          <reference field="6" count="1" selected="0">
            <x v="31"/>
          </reference>
          <reference field="23" count="1">
            <x v="1"/>
          </reference>
        </references>
      </pivotArea>
    </format>
    <format dxfId="567">
      <pivotArea dataOnly="0" labelOnly="1" outline="0" fieldPosition="0">
        <references count="2">
          <reference field="6" count="1" selected="0">
            <x v="32"/>
          </reference>
          <reference field="23" count="1">
            <x v="1"/>
          </reference>
        </references>
      </pivotArea>
    </format>
    <format dxfId="566">
      <pivotArea dataOnly="0" labelOnly="1" outline="0" fieldPosition="0">
        <references count="2">
          <reference field="6" count="1" selected="0">
            <x v="33"/>
          </reference>
          <reference field="23" count="1">
            <x v="1"/>
          </reference>
        </references>
      </pivotArea>
    </format>
    <format dxfId="565">
      <pivotArea dataOnly="0" labelOnly="1" outline="0" fieldPosition="0">
        <references count="2">
          <reference field="6" count="1" selected="0">
            <x v="34"/>
          </reference>
          <reference field="23" count="1">
            <x v="1"/>
          </reference>
        </references>
      </pivotArea>
    </format>
    <format dxfId="564">
      <pivotArea dataOnly="0" labelOnly="1" outline="0" fieldPosition="0">
        <references count="2">
          <reference field="6" count="1" selected="0">
            <x v="35"/>
          </reference>
          <reference field="23" count="1">
            <x v="1"/>
          </reference>
        </references>
      </pivotArea>
    </format>
    <format dxfId="563">
      <pivotArea dataOnly="0" labelOnly="1" outline="0" fieldPosition="0">
        <references count="2">
          <reference field="6" count="1" selected="0">
            <x v="36"/>
          </reference>
          <reference field="23" count="1">
            <x v="2"/>
          </reference>
        </references>
      </pivotArea>
    </format>
    <format dxfId="562">
      <pivotArea dataOnly="0" labelOnly="1" outline="0" fieldPosition="0">
        <references count="2">
          <reference field="6" count="1" selected="0">
            <x v="37"/>
          </reference>
          <reference field="23" count="1">
            <x v="2"/>
          </reference>
        </references>
      </pivotArea>
    </format>
    <format dxfId="561">
      <pivotArea dataOnly="0" labelOnly="1" outline="0" fieldPosition="0">
        <references count="2">
          <reference field="6" count="1" selected="0">
            <x v="38"/>
          </reference>
          <reference field="23" count="1">
            <x v="1"/>
          </reference>
        </references>
      </pivotArea>
    </format>
    <format dxfId="560">
      <pivotArea dataOnly="0" labelOnly="1" outline="0" fieldPosition="0">
        <references count="2">
          <reference field="6" count="1" selected="0">
            <x v="39"/>
          </reference>
          <reference field="23" count="1">
            <x v="4"/>
          </reference>
        </references>
      </pivotArea>
    </format>
    <format dxfId="559">
      <pivotArea dataOnly="0" labelOnly="1" outline="0" fieldPosition="0">
        <references count="2">
          <reference field="6" count="1" selected="0">
            <x v="40"/>
          </reference>
          <reference field="23" count="1">
            <x v="1"/>
          </reference>
        </references>
      </pivotArea>
    </format>
    <format dxfId="558">
      <pivotArea dataOnly="0" labelOnly="1" outline="0" fieldPosition="0">
        <references count="2">
          <reference field="6" count="1" selected="0">
            <x v="41"/>
          </reference>
          <reference field="23" count="1">
            <x v="1"/>
          </reference>
        </references>
      </pivotArea>
    </format>
    <format dxfId="557">
      <pivotArea dataOnly="0" labelOnly="1" outline="0" fieldPosition="0">
        <references count="2">
          <reference field="6" count="1" selected="0">
            <x v="42"/>
          </reference>
          <reference field="23" count="1">
            <x v="1"/>
          </reference>
        </references>
      </pivotArea>
    </format>
    <format dxfId="556">
      <pivotArea dataOnly="0" labelOnly="1" outline="0" fieldPosition="0">
        <references count="2">
          <reference field="6" count="1" selected="0">
            <x v="43"/>
          </reference>
          <reference field="23" count="1">
            <x v="1"/>
          </reference>
        </references>
      </pivotArea>
    </format>
    <format dxfId="555">
      <pivotArea dataOnly="0" labelOnly="1" outline="0" fieldPosition="0">
        <references count="2">
          <reference field="6" count="1" selected="0">
            <x v="44"/>
          </reference>
          <reference field="23" count="1">
            <x v="1"/>
          </reference>
        </references>
      </pivotArea>
    </format>
    <format dxfId="554">
      <pivotArea dataOnly="0" labelOnly="1" outline="0" fieldPosition="0">
        <references count="2">
          <reference field="6" count="1" selected="0">
            <x v="45"/>
          </reference>
          <reference field="23" count="1">
            <x v="1"/>
          </reference>
        </references>
      </pivotArea>
    </format>
    <format dxfId="553">
      <pivotArea dataOnly="0" labelOnly="1" outline="0" fieldPosition="0">
        <references count="2">
          <reference field="6" count="1" selected="0">
            <x v="46"/>
          </reference>
          <reference field="23" count="1">
            <x v="1"/>
          </reference>
        </references>
      </pivotArea>
    </format>
    <format dxfId="552">
      <pivotArea dataOnly="0" labelOnly="1" outline="0" fieldPosition="0">
        <references count="2">
          <reference field="6" count="1" selected="0">
            <x v="47"/>
          </reference>
          <reference field="23" count="1">
            <x v="1"/>
          </reference>
        </references>
      </pivotArea>
    </format>
    <format dxfId="551">
      <pivotArea dataOnly="0" labelOnly="1" outline="0" fieldPosition="0">
        <references count="2">
          <reference field="6" count="1" selected="0">
            <x v="48"/>
          </reference>
          <reference field="23" count="1">
            <x v="2"/>
          </reference>
        </references>
      </pivotArea>
    </format>
    <format dxfId="550">
      <pivotArea dataOnly="0" labelOnly="1" outline="0" fieldPosition="0">
        <references count="2">
          <reference field="6" count="1" selected="0">
            <x v="49"/>
          </reference>
          <reference field="23" count="1">
            <x v="1"/>
          </reference>
        </references>
      </pivotArea>
    </format>
    <format dxfId="549">
      <pivotArea dataOnly="0" labelOnly="1" outline="0" fieldPosition="0">
        <references count="2">
          <reference field="6" count="1" selected="0">
            <x v="50"/>
          </reference>
          <reference field="23" count="1">
            <x v="1"/>
          </reference>
        </references>
      </pivotArea>
    </format>
    <format dxfId="548">
      <pivotArea dataOnly="0" labelOnly="1" outline="0" fieldPosition="0">
        <references count="2">
          <reference field="6" count="1" selected="0">
            <x v="51"/>
          </reference>
          <reference field="23" count="1">
            <x v="1"/>
          </reference>
        </references>
      </pivotArea>
    </format>
    <format dxfId="547">
      <pivotArea dataOnly="0" labelOnly="1" outline="0" fieldPosition="0">
        <references count="2">
          <reference field="6" count="1" selected="0">
            <x v="52"/>
          </reference>
          <reference field="23" count="1">
            <x v="4"/>
          </reference>
        </references>
      </pivotArea>
    </format>
    <format dxfId="546">
      <pivotArea dataOnly="0" labelOnly="1" outline="0" fieldPosition="0">
        <references count="2">
          <reference field="6" count="1" selected="0">
            <x v="53"/>
          </reference>
          <reference field="23" count="1">
            <x v="1"/>
          </reference>
        </references>
      </pivotArea>
    </format>
    <format dxfId="545">
      <pivotArea dataOnly="0" labelOnly="1" outline="0" fieldPosition="0">
        <references count="2">
          <reference field="6" count="1" selected="0">
            <x v="54"/>
          </reference>
          <reference field="23" count="1">
            <x v="4"/>
          </reference>
        </references>
      </pivotArea>
    </format>
    <format dxfId="544">
      <pivotArea dataOnly="0" labelOnly="1" outline="0" fieldPosition="0">
        <references count="2">
          <reference field="6" count="1" selected="0">
            <x v="55"/>
          </reference>
          <reference field="23" count="1">
            <x v="1"/>
          </reference>
        </references>
      </pivotArea>
    </format>
    <format dxfId="543">
      <pivotArea dataOnly="0" labelOnly="1" outline="0" fieldPosition="0">
        <references count="2">
          <reference field="6" count="1" selected="0">
            <x v="56"/>
          </reference>
          <reference field="23" count="1">
            <x v="1"/>
          </reference>
        </references>
      </pivotArea>
    </format>
    <format dxfId="542">
      <pivotArea dataOnly="0" labelOnly="1" outline="0" fieldPosition="0">
        <references count="2">
          <reference field="6" count="1" selected="0">
            <x v="57"/>
          </reference>
          <reference field="23" count="1">
            <x v="2"/>
          </reference>
        </references>
      </pivotArea>
    </format>
    <format dxfId="541">
      <pivotArea dataOnly="0" labelOnly="1" outline="0" fieldPosition="0">
        <references count="2">
          <reference field="6" count="1" selected="0">
            <x v="58"/>
          </reference>
          <reference field="23" count="1">
            <x v="1"/>
          </reference>
        </references>
      </pivotArea>
    </format>
    <format dxfId="540">
      <pivotArea dataOnly="0" labelOnly="1" outline="0" fieldPosition="0">
        <references count="2">
          <reference field="6" count="1" selected="0">
            <x v="59"/>
          </reference>
          <reference field="23" count="1">
            <x v="1"/>
          </reference>
        </references>
      </pivotArea>
    </format>
    <format dxfId="539">
      <pivotArea dataOnly="0" labelOnly="1" outline="0" fieldPosition="0">
        <references count="2">
          <reference field="6" count="1" selected="0">
            <x v="60"/>
          </reference>
          <reference field="23" count="1">
            <x v="1"/>
          </reference>
        </references>
      </pivotArea>
    </format>
    <format dxfId="538">
      <pivotArea dataOnly="0" labelOnly="1" outline="0" fieldPosition="0">
        <references count="2">
          <reference field="6" count="1" selected="0">
            <x v="61"/>
          </reference>
          <reference field="23" count="1">
            <x v="1"/>
          </reference>
        </references>
      </pivotArea>
    </format>
    <format dxfId="537">
      <pivotArea dataOnly="0" labelOnly="1" outline="0" fieldPosition="0">
        <references count="2">
          <reference field="6" count="1" selected="0">
            <x v="62"/>
          </reference>
          <reference field="23" count="1">
            <x v="1"/>
          </reference>
        </references>
      </pivotArea>
    </format>
    <format dxfId="536">
      <pivotArea dataOnly="0" labelOnly="1" outline="0" fieldPosition="0">
        <references count="2">
          <reference field="6" count="1" selected="0">
            <x v="63"/>
          </reference>
          <reference field="23" count="1">
            <x v="1"/>
          </reference>
        </references>
      </pivotArea>
    </format>
    <format dxfId="535">
      <pivotArea dataOnly="0" labelOnly="1" outline="0" fieldPosition="0">
        <references count="2">
          <reference field="6" count="1" selected="0">
            <x v="64"/>
          </reference>
          <reference field="23" count="1">
            <x v="1"/>
          </reference>
        </references>
      </pivotArea>
    </format>
    <format dxfId="534">
      <pivotArea dataOnly="0" labelOnly="1" outline="0" fieldPosition="0">
        <references count="2">
          <reference field="6" count="1" selected="0">
            <x v="65"/>
          </reference>
          <reference field="23" count="1">
            <x v="2"/>
          </reference>
        </references>
      </pivotArea>
    </format>
    <format dxfId="533">
      <pivotArea dataOnly="0" labelOnly="1" outline="0" fieldPosition="0">
        <references count="2">
          <reference field="6" count="1" selected="0">
            <x v="66"/>
          </reference>
          <reference field="23" count="1">
            <x v="1"/>
          </reference>
        </references>
      </pivotArea>
    </format>
    <format dxfId="532">
      <pivotArea dataOnly="0" labelOnly="1" outline="0" fieldPosition="0">
        <references count="2">
          <reference field="6" count="1" selected="0">
            <x v="67"/>
          </reference>
          <reference field="23" count="1">
            <x v="2"/>
          </reference>
        </references>
      </pivotArea>
    </format>
    <format dxfId="531">
      <pivotArea dataOnly="0" labelOnly="1" outline="0" fieldPosition="0">
        <references count="2">
          <reference field="6" count="1" selected="0">
            <x v="68"/>
          </reference>
          <reference field="23" count="1">
            <x v="1"/>
          </reference>
        </references>
      </pivotArea>
    </format>
    <format dxfId="530">
      <pivotArea dataOnly="0" labelOnly="1" outline="0" fieldPosition="0">
        <references count="2">
          <reference field="6" count="1" selected="0">
            <x v="69"/>
          </reference>
          <reference field="23" count="1">
            <x v="1"/>
          </reference>
        </references>
      </pivotArea>
    </format>
    <format dxfId="529">
      <pivotArea dataOnly="0" labelOnly="1" outline="0" fieldPosition="0">
        <references count="2">
          <reference field="6" count="1" selected="0">
            <x v="70"/>
          </reference>
          <reference field="23" count="1">
            <x v="1"/>
          </reference>
        </references>
      </pivotArea>
    </format>
    <format dxfId="528">
      <pivotArea dataOnly="0" labelOnly="1" outline="0" fieldPosition="0">
        <references count="2">
          <reference field="6" count="1" selected="0">
            <x v="71"/>
          </reference>
          <reference field="23" count="1">
            <x v="2"/>
          </reference>
        </references>
      </pivotArea>
    </format>
    <format dxfId="527">
      <pivotArea dataOnly="0" labelOnly="1" outline="0" fieldPosition="0">
        <references count="2">
          <reference field="6" count="1" selected="0">
            <x v="72"/>
          </reference>
          <reference field="23" count="1">
            <x v="4"/>
          </reference>
        </references>
      </pivotArea>
    </format>
    <format dxfId="526">
      <pivotArea dataOnly="0" labelOnly="1" outline="0" fieldPosition="0">
        <references count="2">
          <reference field="6" count="1" selected="0">
            <x v="73"/>
          </reference>
          <reference field="23" count="1">
            <x v="4"/>
          </reference>
        </references>
      </pivotArea>
    </format>
    <format dxfId="525">
      <pivotArea dataOnly="0" labelOnly="1" outline="0" fieldPosition="0">
        <references count="2">
          <reference field="6" count="1" selected="0">
            <x v="0"/>
          </reference>
          <reference field="23" count="1">
            <x v="1"/>
          </reference>
        </references>
      </pivotArea>
    </format>
    <format dxfId="524">
      <pivotArea dataOnly="0" labelOnly="1" outline="0" fieldPosition="0">
        <references count="2">
          <reference field="6" count="1" selected="0">
            <x v="1"/>
          </reference>
          <reference field="23" count="1">
            <x v="1"/>
          </reference>
        </references>
      </pivotArea>
    </format>
    <format dxfId="523">
      <pivotArea dataOnly="0" labelOnly="1" outline="0" fieldPosition="0">
        <references count="2">
          <reference field="6" count="1" selected="0">
            <x v="2"/>
          </reference>
          <reference field="23" count="1">
            <x v="1"/>
          </reference>
        </references>
      </pivotArea>
    </format>
    <format dxfId="522">
      <pivotArea dataOnly="0" labelOnly="1" outline="0" fieldPosition="0">
        <references count="2">
          <reference field="6" count="1" selected="0">
            <x v="3"/>
          </reference>
          <reference field="23" count="1">
            <x v="1"/>
          </reference>
        </references>
      </pivotArea>
    </format>
    <format dxfId="521">
      <pivotArea dataOnly="0" labelOnly="1" outline="0" fieldPosition="0">
        <references count="2">
          <reference field="6" count="1" selected="0">
            <x v="4"/>
          </reference>
          <reference field="23" count="1">
            <x v="0"/>
          </reference>
        </references>
      </pivotArea>
    </format>
    <format dxfId="520">
      <pivotArea dataOnly="0" labelOnly="1" outline="0" fieldPosition="0">
        <references count="2">
          <reference field="6" count="1" selected="0">
            <x v="5"/>
          </reference>
          <reference field="23" count="1">
            <x v="1"/>
          </reference>
        </references>
      </pivotArea>
    </format>
    <format dxfId="519">
      <pivotArea dataOnly="0" labelOnly="1" outline="0" fieldPosition="0">
        <references count="2">
          <reference field="6" count="1" selected="0">
            <x v="6"/>
          </reference>
          <reference field="23" count="1">
            <x v="1"/>
          </reference>
        </references>
      </pivotArea>
    </format>
    <format dxfId="518">
      <pivotArea dataOnly="0" labelOnly="1" outline="0" fieldPosition="0">
        <references count="2">
          <reference field="6" count="1" selected="0">
            <x v="7"/>
          </reference>
          <reference field="23" count="1">
            <x v="1"/>
          </reference>
        </references>
      </pivotArea>
    </format>
    <format dxfId="517">
      <pivotArea dataOnly="0" labelOnly="1" outline="0" fieldPosition="0">
        <references count="2">
          <reference field="6" count="1" selected="0">
            <x v="8"/>
          </reference>
          <reference field="23" count="1">
            <x v="3"/>
          </reference>
        </references>
      </pivotArea>
    </format>
    <format dxfId="516">
      <pivotArea dataOnly="0" labelOnly="1" outline="0" fieldPosition="0">
        <references count="2">
          <reference field="6" count="1" selected="0">
            <x v="9"/>
          </reference>
          <reference field="23" count="1">
            <x v="2"/>
          </reference>
        </references>
      </pivotArea>
    </format>
    <format dxfId="515">
      <pivotArea dataOnly="0" labelOnly="1" outline="0" fieldPosition="0">
        <references count="2">
          <reference field="6" count="1" selected="0">
            <x v="10"/>
          </reference>
          <reference field="23" count="1">
            <x v="1"/>
          </reference>
        </references>
      </pivotArea>
    </format>
    <format dxfId="514">
      <pivotArea dataOnly="0" labelOnly="1" outline="0" fieldPosition="0">
        <references count="2">
          <reference field="6" count="1" selected="0">
            <x v="11"/>
          </reference>
          <reference field="23" count="1">
            <x v="4"/>
          </reference>
        </references>
      </pivotArea>
    </format>
    <format dxfId="513">
      <pivotArea dataOnly="0" labelOnly="1" outline="0" fieldPosition="0">
        <references count="2">
          <reference field="6" count="1" selected="0">
            <x v="12"/>
          </reference>
          <reference field="23" count="1">
            <x v="1"/>
          </reference>
        </references>
      </pivotArea>
    </format>
    <format dxfId="512">
      <pivotArea dataOnly="0" labelOnly="1" outline="0" fieldPosition="0">
        <references count="2">
          <reference field="6" count="1" selected="0">
            <x v="13"/>
          </reference>
          <reference field="23" count="1">
            <x v="1"/>
          </reference>
        </references>
      </pivotArea>
    </format>
    <format dxfId="511">
      <pivotArea dataOnly="0" labelOnly="1" outline="0" fieldPosition="0">
        <references count="2">
          <reference field="6" count="1" selected="0">
            <x v="14"/>
          </reference>
          <reference field="23" count="1">
            <x v="4"/>
          </reference>
        </references>
      </pivotArea>
    </format>
    <format dxfId="510">
      <pivotArea dataOnly="0" labelOnly="1" outline="0" fieldPosition="0">
        <references count="2">
          <reference field="6" count="1" selected="0">
            <x v="15"/>
          </reference>
          <reference field="23" count="1">
            <x v="4"/>
          </reference>
        </references>
      </pivotArea>
    </format>
    <format dxfId="509">
      <pivotArea dataOnly="0" labelOnly="1" outline="0" fieldPosition="0">
        <references count="2">
          <reference field="6" count="1" selected="0">
            <x v="16"/>
          </reference>
          <reference field="23" count="1">
            <x v="2"/>
          </reference>
        </references>
      </pivotArea>
    </format>
    <format dxfId="508">
      <pivotArea dataOnly="0" labelOnly="1" outline="0" fieldPosition="0">
        <references count="2">
          <reference field="6" count="1" selected="0">
            <x v="17"/>
          </reference>
          <reference field="23" count="1">
            <x v="3"/>
          </reference>
        </references>
      </pivotArea>
    </format>
    <format dxfId="507">
      <pivotArea dataOnly="0" labelOnly="1" outline="0" fieldPosition="0">
        <references count="2">
          <reference field="6" count="1" selected="0">
            <x v="18"/>
          </reference>
          <reference field="23" count="1">
            <x v="1"/>
          </reference>
        </references>
      </pivotArea>
    </format>
    <format dxfId="506">
      <pivotArea dataOnly="0" labelOnly="1" outline="0" fieldPosition="0">
        <references count="2">
          <reference field="6" count="1" selected="0">
            <x v="19"/>
          </reference>
          <reference field="23" count="1">
            <x v="1"/>
          </reference>
        </references>
      </pivotArea>
    </format>
    <format dxfId="505">
      <pivotArea dataOnly="0" labelOnly="1" outline="0" fieldPosition="0">
        <references count="2">
          <reference field="6" count="1" selected="0">
            <x v="20"/>
          </reference>
          <reference field="23" count="1">
            <x v="1"/>
          </reference>
        </references>
      </pivotArea>
    </format>
    <format dxfId="504">
      <pivotArea dataOnly="0" labelOnly="1" outline="0" fieldPosition="0">
        <references count="2">
          <reference field="6" count="1" selected="0">
            <x v="21"/>
          </reference>
          <reference field="23" count="1">
            <x v="4"/>
          </reference>
        </references>
      </pivotArea>
    </format>
    <format dxfId="503">
      <pivotArea dataOnly="0" labelOnly="1" outline="0" fieldPosition="0">
        <references count="2">
          <reference field="6" count="1" selected="0">
            <x v="22"/>
          </reference>
          <reference field="23" count="1">
            <x v="3"/>
          </reference>
        </references>
      </pivotArea>
    </format>
    <format dxfId="502">
      <pivotArea dataOnly="0" labelOnly="1" outline="0" fieldPosition="0">
        <references count="2">
          <reference field="6" count="1" selected="0">
            <x v="23"/>
          </reference>
          <reference field="23" count="1">
            <x v="2"/>
          </reference>
        </references>
      </pivotArea>
    </format>
    <format dxfId="501">
      <pivotArea dataOnly="0" labelOnly="1" outline="0" fieldPosition="0">
        <references count="2">
          <reference field="6" count="1" selected="0">
            <x v="24"/>
          </reference>
          <reference field="23" count="1">
            <x v="2"/>
          </reference>
        </references>
      </pivotArea>
    </format>
    <format dxfId="500">
      <pivotArea dataOnly="0" labelOnly="1" outline="0" fieldPosition="0">
        <references count="2">
          <reference field="6" count="1" selected="0">
            <x v="25"/>
          </reference>
          <reference field="23" count="1">
            <x v="1"/>
          </reference>
        </references>
      </pivotArea>
    </format>
    <format dxfId="499">
      <pivotArea dataOnly="0" labelOnly="1" outline="0" fieldPosition="0">
        <references count="2">
          <reference field="6" count="1" selected="0">
            <x v="26"/>
          </reference>
          <reference field="23" count="1">
            <x v="4"/>
          </reference>
        </references>
      </pivotArea>
    </format>
    <format dxfId="498">
      <pivotArea dataOnly="0" labelOnly="1" outline="0" fieldPosition="0">
        <references count="2">
          <reference field="6" count="1" selected="0">
            <x v="27"/>
          </reference>
          <reference field="23" count="1">
            <x v="1"/>
          </reference>
        </references>
      </pivotArea>
    </format>
    <format dxfId="497">
      <pivotArea dataOnly="0" labelOnly="1" outline="0" fieldPosition="0">
        <references count="2">
          <reference field="6" count="1" selected="0">
            <x v="28"/>
          </reference>
          <reference field="23" count="1">
            <x v="2"/>
          </reference>
        </references>
      </pivotArea>
    </format>
    <format dxfId="496">
      <pivotArea dataOnly="0" labelOnly="1" outline="0" fieldPosition="0">
        <references count="2">
          <reference field="6" count="1" selected="0">
            <x v="29"/>
          </reference>
          <reference field="23" count="1">
            <x v="1"/>
          </reference>
        </references>
      </pivotArea>
    </format>
    <format dxfId="495">
      <pivotArea dataOnly="0" labelOnly="1" outline="0" fieldPosition="0">
        <references count="2">
          <reference field="6" count="1" selected="0">
            <x v="30"/>
          </reference>
          <reference field="23" count="1">
            <x v="1"/>
          </reference>
        </references>
      </pivotArea>
    </format>
    <format dxfId="494">
      <pivotArea dataOnly="0" labelOnly="1" outline="0" fieldPosition="0">
        <references count="2">
          <reference field="6" count="1" selected="0">
            <x v="31"/>
          </reference>
          <reference field="23" count="1">
            <x v="1"/>
          </reference>
        </references>
      </pivotArea>
    </format>
    <format dxfId="493">
      <pivotArea dataOnly="0" labelOnly="1" outline="0" fieldPosition="0">
        <references count="2">
          <reference field="6" count="1" selected="0">
            <x v="32"/>
          </reference>
          <reference field="23" count="1">
            <x v="1"/>
          </reference>
        </references>
      </pivotArea>
    </format>
    <format dxfId="492">
      <pivotArea dataOnly="0" labelOnly="1" outline="0" fieldPosition="0">
        <references count="2">
          <reference field="6" count="1" selected="0">
            <x v="33"/>
          </reference>
          <reference field="23" count="1">
            <x v="1"/>
          </reference>
        </references>
      </pivotArea>
    </format>
    <format dxfId="491">
      <pivotArea dataOnly="0" labelOnly="1" outline="0" fieldPosition="0">
        <references count="2">
          <reference field="6" count="1" selected="0">
            <x v="34"/>
          </reference>
          <reference field="23" count="1">
            <x v="1"/>
          </reference>
        </references>
      </pivotArea>
    </format>
    <format dxfId="490">
      <pivotArea dataOnly="0" labelOnly="1" outline="0" fieldPosition="0">
        <references count="2">
          <reference field="6" count="1" selected="0">
            <x v="35"/>
          </reference>
          <reference field="23" count="1">
            <x v="1"/>
          </reference>
        </references>
      </pivotArea>
    </format>
    <format dxfId="489">
      <pivotArea dataOnly="0" labelOnly="1" outline="0" fieldPosition="0">
        <references count="2">
          <reference field="6" count="1" selected="0">
            <x v="36"/>
          </reference>
          <reference field="23" count="1">
            <x v="2"/>
          </reference>
        </references>
      </pivotArea>
    </format>
    <format dxfId="488">
      <pivotArea dataOnly="0" labelOnly="1" outline="0" fieldPosition="0">
        <references count="2">
          <reference field="6" count="1" selected="0">
            <x v="37"/>
          </reference>
          <reference field="23" count="1">
            <x v="2"/>
          </reference>
        </references>
      </pivotArea>
    </format>
    <format dxfId="487">
      <pivotArea dataOnly="0" labelOnly="1" outline="0" fieldPosition="0">
        <references count="2">
          <reference field="6" count="1" selected="0">
            <x v="38"/>
          </reference>
          <reference field="23" count="1">
            <x v="1"/>
          </reference>
        </references>
      </pivotArea>
    </format>
    <format dxfId="486">
      <pivotArea dataOnly="0" labelOnly="1" outline="0" fieldPosition="0">
        <references count="2">
          <reference field="6" count="1" selected="0">
            <x v="39"/>
          </reference>
          <reference field="23" count="1">
            <x v="4"/>
          </reference>
        </references>
      </pivotArea>
    </format>
    <format dxfId="485">
      <pivotArea dataOnly="0" labelOnly="1" outline="0" fieldPosition="0">
        <references count="2">
          <reference field="6" count="1" selected="0">
            <x v="40"/>
          </reference>
          <reference field="23" count="1">
            <x v="1"/>
          </reference>
        </references>
      </pivotArea>
    </format>
    <format dxfId="484">
      <pivotArea dataOnly="0" labelOnly="1" outline="0" fieldPosition="0">
        <references count="2">
          <reference field="6" count="1" selected="0">
            <x v="41"/>
          </reference>
          <reference field="23" count="1">
            <x v="1"/>
          </reference>
        </references>
      </pivotArea>
    </format>
    <format dxfId="483">
      <pivotArea dataOnly="0" labelOnly="1" outline="0" fieldPosition="0">
        <references count="2">
          <reference field="6" count="1" selected="0">
            <x v="42"/>
          </reference>
          <reference field="23" count="1">
            <x v="1"/>
          </reference>
        </references>
      </pivotArea>
    </format>
    <format dxfId="482">
      <pivotArea dataOnly="0" labelOnly="1" outline="0" fieldPosition="0">
        <references count="2">
          <reference field="6" count="1" selected="0">
            <x v="43"/>
          </reference>
          <reference field="23" count="1">
            <x v="1"/>
          </reference>
        </references>
      </pivotArea>
    </format>
    <format dxfId="481">
      <pivotArea dataOnly="0" labelOnly="1" outline="0" fieldPosition="0">
        <references count="2">
          <reference field="6" count="1" selected="0">
            <x v="44"/>
          </reference>
          <reference field="23" count="1">
            <x v="1"/>
          </reference>
        </references>
      </pivotArea>
    </format>
    <format dxfId="480">
      <pivotArea dataOnly="0" labelOnly="1" outline="0" fieldPosition="0">
        <references count="2">
          <reference field="6" count="1" selected="0">
            <x v="45"/>
          </reference>
          <reference field="23" count="1">
            <x v="1"/>
          </reference>
        </references>
      </pivotArea>
    </format>
    <format dxfId="479">
      <pivotArea dataOnly="0" labelOnly="1" outline="0" fieldPosition="0">
        <references count="2">
          <reference field="6" count="1" selected="0">
            <x v="46"/>
          </reference>
          <reference field="23" count="1">
            <x v="1"/>
          </reference>
        </references>
      </pivotArea>
    </format>
    <format dxfId="478">
      <pivotArea dataOnly="0" labelOnly="1" outline="0" fieldPosition="0">
        <references count="2">
          <reference field="6" count="1" selected="0">
            <x v="47"/>
          </reference>
          <reference field="23" count="1">
            <x v="1"/>
          </reference>
        </references>
      </pivotArea>
    </format>
    <format dxfId="477">
      <pivotArea dataOnly="0" labelOnly="1" outline="0" fieldPosition="0">
        <references count="2">
          <reference field="6" count="1" selected="0">
            <x v="48"/>
          </reference>
          <reference field="23" count="1">
            <x v="2"/>
          </reference>
        </references>
      </pivotArea>
    </format>
    <format dxfId="476">
      <pivotArea dataOnly="0" labelOnly="1" outline="0" fieldPosition="0">
        <references count="2">
          <reference field="6" count="1" selected="0">
            <x v="49"/>
          </reference>
          <reference field="23" count="1">
            <x v="1"/>
          </reference>
        </references>
      </pivotArea>
    </format>
    <format dxfId="475">
      <pivotArea dataOnly="0" labelOnly="1" outline="0" fieldPosition="0">
        <references count="2">
          <reference field="6" count="1" selected="0">
            <x v="50"/>
          </reference>
          <reference field="23" count="1">
            <x v="1"/>
          </reference>
        </references>
      </pivotArea>
    </format>
    <format dxfId="474">
      <pivotArea dataOnly="0" labelOnly="1" outline="0" fieldPosition="0">
        <references count="2">
          <reference field="6" count="1" selected="0">
            <x v="51"/>
          </reference>
          <reference field="23" count="1">
            <x v="1"/>
          </reference>
        </references>
      </pivotArea>
    </format>
    <format dxfId="473">
      <pivotArea dataOnly="0" labelOnly="1" outline="0" fieldPosition="0">
        <references count="2">
          <reference field="6" count="1" selected="0">
            <x v="52"/>
          </reference>
          <reference field="23" count="1">
            <x v="4"/>
          </reference>
        </references>
      </pivotArea>
    </format>
    <format dxfId="472">
      <pivotArea dataOnly="0" labelOnly="1" outline="0" fieldPosition="0">
        <references count="2">
          <reference field="6" count="1" selected="0">
            <x v="53"/>
          </reference>
          <reference field="23" count="1">
            <x v="1"/>
          </reference>
        </references>
      </pivotArea>
    </format>
    <format dxfId="471">
      <pivotArea dataOnly="0" labelOnly="1" outline="0" fieldPosition="0">
        <references count="2">
          <reference field="6" count="1" selected="0">
            <x v="54"/>
          </reference>
          <reference field="23" count="1">
            <x v="4"/>
          </reference>
        </references>
      </pivotArea>
    </format>
    <format dxfId="470">
      <pivotArea dataOnly="0" labelOnly="1" outline="0" fieldPosition="0">
        <references count="2">
          <reference field="6" count="1" selected="0">
            <x v="55"/>
          </reference>
          <reference field="23" count="1">
            <x v="1"/>
          </reference>
        </references>
      </pivotArea>
    </format>
    <format dxfId="469">
      <pivotArea dataOnly="0" labelOnly="1" outline="0" fieldPosition="0">
        <references count="2">
          <reference field="6" count="1" selected="0">
            <x v="56"/>
          </reference>
          <reference field="23" count="1">
            <x v="1"/>
          </reference>
        </references>
      </pivotArea>
    </format>
    <format dxfId="468">
      <pivotArea dataOnly="0" labelOnly="1" outline="0" fieldPosition="0">
        <references count="2">
          <reference field="6" count="1" selected="0">
            <x v="57"/>
          </reference>
          <reference field="23" count="1">
            <x v="2"/>
          </reference>
        </references>
      </pivotArea>
    </format>
    <format dxfId="467">
      <pivotArea dataOnly="0" labelOnly="1" outline="0" fieldPosition="0">
        <references count="2">
          <reference field="6" count="1" selected="0">
            <x v="58"/>
          </reference>
          <reference field="23" count="1">
            <x v="1"/>
          </reference>
        </references>
      </pivotArea>
    </format>
    <format dxfId="466">
      <pivotArea dataOnly="0" labelOnly="1" outline="0" fieldPosition="0">
        <references count="2">
          <reference field="6" count="1" selected="0">
            <x v="59"/>
          </reference>
          <reference field="23" count="1">
            <x v="1"/>
          </reference>
        </references>
      </pivotArea>
    </format>
    <format dxfId="465">
      <pivotArea dataOnly="0" labelOnly="1" outline="0" fieldPosition="0">
        <references count="2">
          <reference field="6" count="1" selected="0">
            <x v="60"/>
          </reference>
          <reference field="23" count="1">
            <x v="1"/>
          </reference>
        </references>
      </pivotArea>
    </format>
    <format dxfId="464">
      <pivotArea dataOnly="0" labelOnly="1" outline="0" fieldPosition="0">
        <references count="2">
          <reference field="6" count="1" selected="0">
            <x v="61"/>
          </reference>
          <reference field="23" count="1">
            <x v="1"/>
          </reference>
        </references>
      </pivotArea>
    </format>
    <format dxfId="463">
      <pivotArea dataOnly="0" labelOnly="1" outline="0" fieldPosition="0">
        <references count="2">
          <reference field="6" count="1" selected="0">
            <x v="62"/>
          </reference>
          <reference field="23" count="1">
            <x v="1"/>
          </reference>
        </references>
      </pivotArea>
    </format>
    <format dxfId="462">
      <pivotArea dataOnly="0" labelOnly="1" outline="0" fieldPosition="0">
        <references count="2">
          <reference field="6" count="1" selected="0">
            <x v="63"/>
          </reference>
          <reference field="23" count="1">
            <x v="1"/>
          </reference>
        </references>
      </pivotArea>
    </format>
    <format dxfId="461">
      <pivotArea dataOnly="0" labelOnly="1" outline="0" fieldPosition="0">
        <references count="2">
          <reference field="6" count="1" selected="0">
            <x v="64"/>
          </reference>
          <reference field="23" count="1">
            <x v="1"/>
          </reference>
        </references>
      </pivotArea>
    </format>
    <format dxfId="460">
      <pivotArea dataOnly="0" labelOnly="1" outline="0" fieldPosition="0">
        <references count="2">
          <reference field="6" count="1" selected="0">
            <x v="65"/>
          </reference>
          <reference field="23" count="1">
            <x v="2"/>
          </reference>
        </references>
      </pivotArea>
    </format>
    <format dxfId="459">
      <pivotArea dataOnly="0" labelOnly="1" outline="0" fieldPosition="0">
        <references count="2">
          <reference field="6" count="1" selected="0">
            <x v="66"/>
          </reference>
          <reference field="23" count="1">
            <x v="1"/>
          </reference>
        </references>
      </pivotArea>
    </format>
    <format dxfId="458">
      <pivotArea dataOnly="0" labelOnly="1" outline="0" fieldPosition="0">
        <references count="2">
          <reference field="6" count="1" selected="0">
            <x v="67"/>
          </reference>
          <reference field="23" count="1">
            <x v="2"/>
          </reference>
        </references>
      </pivotArea>
    </format>
    <format dxfId="457">
      <pivotArea dataOnly="0" labelOnly="1" outline="0" fieldPosition="0">
        <references count="2">
          <reference field="6" count="1" selected="0">
            <x v="68"/>
          </reference>
          <reference field="23" count="1">
            <x v="1"/>
          </reference>
        </references>
      </pivotArea>
    </format>
    <format dxfId="456">
      <pivotArea dataOnly="0" labelOnly="1" outline="0" fieldPosition="0">
        <references count="2">
          <reference field="6" count="1" selected="0">
            <x v="69"/>
          </reference>
          <reference field="23" count="1">
            <x v="1"/>
          </reference>
        </references>
      </pivotArea>
    </format>
    <format dxfId="455">
      <pivotArea dataOnly="0" labelOnly="1" outline="0" fieldPosition="0">
        <references count="2">
          <reference field="6" count="1" selected="0">
            <x v="70"/>
          </reference>
          <reference field="23" count="1">
            <x v="1"/>
          </reference>
        </references>
      </pivotArea>
    </format>
    <format dxfId="454">
      <pivotArea dataOnly="0" labelOnly="1" outline="0" fieldPosition="0">
        <references count="2">
          <reference field="6" count="1" selected="0">
            <x v="71"/>
          </reference>
          <reference field="23" count="1">
            <x v="2"/>
          </reference>
        </references>
      </pivotArea>
    </format>
    <format dxfId="453">
      <pivotArea dataOnly="0" labelOnly="1" outline="0" fieldPosition="0">
        <references count="2">
          <reference field="6" count="1" selected="0">
            <x v="72"/>
          </reference>
          <reference field="23" count="1">
            <x v="4"/>
          </reference>
        </references>
      </pivotArea>
    </format>
    <format dxfId="452">
      <pivotArea dataOnly="0" labelOnly="1" outline="0" fieldPosition="0">
        <references count="2">
          <reference field="6" count="1" selected="0">
            <x v="73"/>
          </reference>
          <reference field="23" count="1">
            <x v="4"/>
          </reference>
        </references>
      </pivotArea>
    </format>
    <format dxfId="451">
      <pivotArea field="23" type="button" dataOnly="0" labelOnly="1" outline="0" axis="axisRow" fieldPosition="1"/>
    </format>
    <format dxfId="450">
      <pivotArea field="6" type="button" dataOnly="0" labelOnly="1" outline="0" axis="axisRow" fieldPosition="0"/>
    </format>
    <format dxfId="449">
      <pivotArea field="23" type="button" dataOnly="0" labelOnly="1" outline="0" axis="axisRow" fieldPosition="1"/>
    </format>
    <format dxfId="448">
      <pivotArea dataOnly="0" labelOnly="1" outline="0" fieldPosition="0">
        <references count="1">
          <reference field="6" count="14">
            <x v="0"/>
            <x v="12"/>
            <x v="13"/>
            <x v="39"/>
            <x v="45"/>
            <x v="46"/>
            <x v="49"/>
            <x v="58"/>
            <x v="60"/>
            <x v="61"/>
            <x v="63"/>
            <x v="68"/>
            <x v="69"/>
            <x v="70"/>
          </reference>
        </references>
      </pivotArea>
    </format>
    <format dxfId="447">
      <pivotArea dataOnly="0" labelOnly="1" outline="0" fieldPosition="0">
        <references count="1">
          <reference field="6" count="14">
            <x v="0"/>
            <x v="12"/>
            <x v="13"/>
            <x v="39"/>
            <x v="45"/>
            <x v="46"/>
            <x v="49"/>
            <x v="58"/>
            <x v="60"/>
            <x v="61"/>
            <x v="63"/>
            <x v="68"/>
            <x v="69"/>
            <x v="70"/>
          </reference>
        </references>
      </pivotArea>
    </format>
    <format dxfId="446">
      <pivotArea dataOnly="0" labelOnly="1" outline="0" fieldPosition="0">
        <references count="1">
          <reference field="6" count="1">
            <x v="70"/>
          </reference>
        </references>
      </pivotArea>
    </format>
    <format dxfId="445">
      <pivotArea dataOnly="0" labelOnly="1" outline="0" fieldPosition="0">
        <references count="1">
          <reference field="6" count="1">
            <x v="70"/>
          </reference>
        </references>
      </pivotArea>
    </format>
    <format dxfId="444">
      <pivotArea dataOnly="0" labelOnly="1" outline="0" fieldPosition="0">
        <references count="2">
          <reference field="6" count="1" selected="0">
            <x v="0"/>
          </reference>
          <reference field="23" count="1">
            <x v="1"/>
          </reference>
        </references>
      </pivotArea>
    </format>
    <format dxfId="443">
      <pivotArea dataOnly="0" labelOnly="1" outline="0" fieldPosition="0">
        <references count="2">
          <reference field="6" count="1" selected="0">
            <x v="1"/>
          </reference>
          <reference field="23" count="1">
            <x v="1"/>
          </reference>
        </references>
      </pivotArea>
    </format>
    <format dxfId="442">
      <pivotArea dataOnly="0" labelOnly="1" outline="0" fieldPosition="0">
        <references count="2">
          <reference field="6" count="1" selected="0">
            <x v="2"/>
          </reference>
          <reference field="23" count="1">
            <x v="1"/>
          </reference>
        </references>
      </pivotArea>
    </format>
    <format dxfId="441">
      <pivotArea dataOnly="0" labelOnly="1" outline="0" fieldPosition="0">
        <references count="2">
          <reference field="6" count="1" selected="0">
            <x v="3"/>
          </reference>
          <reference field="23" count="1">
            <x v="0"/>
          </reference>
        </references>
      </pivotArea>
    </format>
    <format dxfId="440">
      <pivotArea dataOnly="0" labelOnly="1" outline="0" fieldPosition="0">
        <references count="2">
          <reference field="6" count="1" selected="0">
            <x v="4"/>
          </reference>
          <reference field="23" count="1">
            <x v="2"/>
          </reference>
        </references>
      </pivotArea>
    </format>
    <format dxfId="439">
      <pivotArea dataOnly="0" labelOnly="1" outline="0" fieldPosition="0">
        <references count="2">
          <reference field="6" count="1" selected="0">
            <x v="5"/>
          </reference>
          <reference field="23" count="1">
            <x v="1"/>
          </reference>
        </references>
      </pivotArea>
    </format>
    <format dxfId="438">
      <pivotArea dataOnly="0" labelOnly="1" outline="0" fieldPosition="0">
        <references count="2">
          <reference field="6" count="1" selected="0">
            <x v="6"/>
          </reference>
          <reference field="23" count="1">
            <x v="1"/>
          </reference>
        </references>
      </pivotArea>
    </format>
    <format dxfId="437">
      <pivotArea dataOnly="0" labelOnly="1" outline="0" fieldPosition="0">
        <references count="2">
          <reference field="6" count="1" selected="0">
            <x v="7"/>
          </reference>
          <reference field="23" count="1">
            <x v="3"/>
          </reference>
        </references>
      </pivotArea>
    </format>
    <format dxfId="436">
      <pivotArea dataOnly="0" labelOnly="1" outline="0" fieldPosition="0">
        <references count="2">
          <reference field="6" count="1" selected="0">
            <x v="8"/>
          </reference>
          <reference field="23" count="1">
            <x v="1"/>
          </reference>
        </references>
      </pivotArea>
    </format>
    <format dxfId="435">
      <pivotArea dataOnly="0" labelOnly="1" outline="0" fieldPosition="0">
        <references count="2">
          <reference field="6" count="1" selected="0">
            <x v="9"/>
          </reference>
          <reference field="23" count="1">
            <x v="2"/>
          </reference>
        </references>
      </pivotArea>
    </format>
    <format dxfId="434">
      <pivotArea dataOnly="0" labelOnly="1" outline="0" fieldPosition="0">
        <references count="2">
          <reference field="6" count="1" selected="0">
            <x v="10"/>
          </reference>
          <reference field="23" count="1">
            <x v="1"/>
          </reference>
        </references>
      </pivotArea>
    </format>
    <format dxfId="433">
      <pivotArea dataOnly="0" labelOnly="1" outline="0" fieldPosition="0">
        <references count="2">
          <reference field="6" count="1" selected="0">
            <x v="11"/>
          </reference>
          <reference field="23" count="1">
            <x v="1"/>
          </reference>
        </references>
      </pivotArea>
    </format>
    <format dxfId="432">
      <pivotArea dataOnly="0" labelOnly="1" outline="0" fieldPosition="0">
        <references count="2">
          <reference field="6" count="1" selected="0">
            <x v="12"/>
          </reference>
          <reference field="23" count="1">
            <x v="1"/>
          </reference>
        </references>
      </pivotArea>
    </format>
    <format dxfId="431">
      <pivotArea dataOnly="0" labelOnly="1" outline="0" fieldPosition="0">
        <references count="2">
          <reference field="6" count="1" selected="0">
            <x v="13"/>
          </reference>
          <reference field="23" count="1">
            <x v="1"/>
          </reference>
        </references>
      </pivotArea>
    </format>
    <format dxfId="430">
      <pivotArea dataOnly="0" labelOnly="1" outline="0" fieldPosition="0">
        <references count="2">
          <reference field="6" count="1" selected="0">
            <x v="14"/>
          </reference>
          <reference field="23" count="1">
            <x v="2"/>
          </reference>
        </references>
      </pivotArea>
    </format>
    <format dxfId="429">
      <pivotArea dataOnly="0" labelOnly="1" outline="0" fieldPosition="0">
        <references count="2">
          <reference field="6" count="1" selected="0">
            <x v="15"/>
          </reference>
          <reference field="23" count="1">
            <x v="1"/>
          </reference>
        </references>
      </pivotArea>
    </format>
    <format dxfId="428">
      <pivotArea dataOnly="0" labelOnly="1" outline="0" fieldPosition="0">
        <references count="2">
          <reference field="6" count="1" selected="0">
            <x v="16"/>
          </reference>
          <reference field="23" count="1">
            <x v="1"/>
          </reference>
        </references>
      </pivotArea>
    </format>
    <format dxfId="427">
      <pivotArea dataOnly="0" labelOnly="1" outline="0" fieldPosition="0">
        <references count="2">
          <reference field="6" count="1" selected="0">
            <x v="17"/>
          </reference>
          <reference field="23" count="1">
            <x v="1"/>
          </reference>
        </references>
      </pivotArea>
    </format>
    <format dxfId="426">
      <pivotArea dataOnly="0" labelOnly="1" outline="0" fieldPosition="0">
        <references count="2">
          <reference field="6" count="1" selected="0">
            <x v="18"/>
          </reference>
          <reference field="23" count="1">
            <x v="1"/>
          </reference>
        </references>
      </pivotArea>
    </format>
    <format dxfId="425">
      <pivotArea dataOnly="0" labelOnly="1" outline="0" fieldPosition="0">
        <references count="2">
          <reference field="6" count="1" selected="0">
            <x v="19"/>
          </reference>
          <reference field="23" count="1">
            <x v="1"/>
          </reference>
        </references>
      </pivotArea>
    </format>
    <format dxfId="424">
      <pivotArea dataOnly="0" labelOnly="1" outline="0" fieldPosition="0">
        <references count="2">
          <reference field="6" count="1" selected="0">
            <x v="20"/>
          </reference>
          <reference field="23" count="1">
            <x v="1"/>
          </reference>
        </references>
      </pivotArea>
    </format>
    <format dxfId="423">
      <pivotArea dataOnly="0" labelOnly="1" outline="0" fieldPosition="0">
        <references count="2">
          <reference field="6" count="1" selected="0">
            <x v="21"/>
          </reference>
          <reference field="23" count="1">
            <x v="1"/>
          </reference>
        </references>
      </pivotArea>
    </format>
    <format dxfId="422">
      <pivotArea dataOnly="0" labelOnly="1" outline="0" fieldPosition="0">
        <references count="2">
          <reference field="6" count="1" selected="0">
            <x v="23"/>
          </reference>
          <reference field="23" count="1">
            <x v="1"/>
          </reference>
        </references>
      </pivotArea>
    </format>
    <format dxfId="421">
      <pivotArea dataOnly="0" labelOnly="1" outline="0" fieldPosition="0">
        <references count="2">
          <reference field="6" count="1" selected="0">
            <x v="24"/>
          </reference>
          <reference field="23" count="1">
            <x v="1"/>
          </reference>
        </references>
      </pivotArea>
    </format>
    <format dxfId="420">
      <pivotArea dataOnly="0" labelOnly="1" outline="0" fieldPosition="0">
        <references count="2">
          <reference field="6" count="1" selected="0">
            <x v="25"/>
          </reference>
          <reference field="23" count="1">
            <x v="1"/>
          </reference>
        </references>
      </pivotArea>
    </format>
    <format dxfId="419">
      <pivotArea dataOnly="0" labelOnly="1" outline="0" fieldPosition="0">
        <references count="2">
          <reference field="6" count="1" selected="0">
            <x v="26"/>
          </reference>
          <reference field="23" count="1">
            <x v="1"/>
          </reference>
        </references>
      </pivotArea>
    </format>
    <format dxfId="418">
      <pivotArea dataOnly="0" labelOnly="1" outline="0" fieldPosition="0">
        <references count="2">
          <reference field="6" count="1" selected="0">
            <x v="27"/>
          </reference>
          <reference field="23" count="1">
            <x v="1"/>
          </reference>
        </references>
      </pivotArea>
    </format>
    <format dxfId="417">
      <pivotArea dataOnly="0" labelOnly="1" outline="0" fieldPosition="0">
        <references count="2">
          <reference field="6" count="1" selected="0">
            <x v="28"/>
          </reference>
          <reference field="23" count="1">
            <x v="1"/>
          </reference>
        </references>
      </pivotArea>
    </format>
    <format dxfId="416">
      <pivotArea dataOnly="0" labelOnly="1" outline="0" fieldPosition="0">
        <references count="2">
          <reference field="6" count="1" selected="0">
            <x v="29"/>
          </reference>
          <reference field="23" count="1">
            <x v="1"/>
          </reference>
        </references>
      </pivotArea>
    </format>
    <format dxfId="415">
      <pivotArea dataOnly="0" labelOnly="1" outline="0" fieldPosition="0">
        <references count="2">
          <reference field="6" count="1" selected="0">
            <x v="30"/>
          </reference>
          <reference field="23" count="1">
            <x v="1"/>
          </reference>
        </references>
      </pivotArea>
    </format>
    <format dxfId="414">
      <pivotArea dataOnly="0" labelOnly="1" outline="0" fieldPosition="0">
        <references count="2">
          <reference field="6" count="1" selected="0">
            <x v="31"/>
          </reference>
          <reference field="23" count="1">
            <x v="1"/>
          </reference>
        </references>
      </pivotArea>
    </format>
    <format dxfId="413">
      <pivotArea dataOnly="0" labelOnly="1" outline="0" fieldPosition="0">
        <references count="2">
          <reference field="6" count="1" selected="0">
            <x v="32"/>
          </reference>
          <reference field="23" count="1">
            <x v="1"/>
          </reference>
        </references>
      </pivotArea>
    </format>
    <format dxfId="412">
      <pivotArea dataOnly="0" labelOnly="1" outline="0" fieldPosition="0">
        <references count="2">
          <reference field="6" count="1" selected="0">
            <x v="33"/>
          </reference>
          <reference field="23" count="1">
            <x v="1"/>
          </reference>
        </references>
      </pivotArea>
    </format>
    <format dxfId="411">
      <pivotArea dataOnly="0" labelOnly="1" outline="0" fieldPosition="0">
        <references count="2">
          <reference field="6" count="1" selected="0">
            <x v="34"/>
          </reference>
          <reference field="23" count="1">
            <x v="1"/>
          </reference>
        </references>
      </pivotArea>
    </format>
    <format dxfId="410">
      <pivotArea dataOnly="0" labelOnly="1" outline="0" fieldPosition="0">
        <references count="2">
          <reference field="6" count="1" selected="0">
            <x v="35"/>
          </reference>
          <reference field="23" count="1">
            <x v="1"/>
          </reference>
        </references>
      </pivotArea>
    </format>
    <format dxfId="409">
      <pivotArea dataOnly="0" labelOnly="1" outline="0" fieldPosition="0">
        <references count="2">
          <reference field="6" count="1" selected="0">
            <x v="36"/>
          </reference>
          <reference field="23" count="1">
            <x v="0"/>
          </reference>
        </references>
      </pivotArea>
    </format>
    <format dxfId="408">
      <pivotArea dataOnly="0" labelOnly="1" outline="0" fieldPosition="0">
        <references count="2">
          <reference field="6" count="1" selected="0">
            <x v="37"/>
          </reference>
          <reference field="23" count="1">
            <x v="1"/>
          </reference>
        </references>
      </pivotArea>
    </format>
    <format dxfId="407">
      <pivotArea dataOnly="0" labelOnly="1" outline="0" fieldPosition="0">
        <references count="2">
          <reference field="6" count="1" selected="0">
            <x v="38"/>
          </reference>
          <reference field="23" count="1">
            <x v="1"/>
          </reference>
        </references>
      </pivotArea>
    </format>
    <format dxfId="406">
      <pivotArea dataOnly="0" labelOnly="1" outline="0" fieldPosition="0">
        <references count="2">
          <reference field="6" count="1" selected="0">
            <x v="39"/>
          </reference>
          <reference field="23" count="1">
            <x v="1"/>
          </reference>
        </references>
      </pivotArea>
    </format>
    <format dxfId="405">
      <pivotArea dataOnly="0" labelOnly="1" outline="0" fieldPosition="0">
        <references count="2">
          <reference field="6" count="1" selected="0">
            <x v="40"/>
          </reference>
          <reference field="23" count="1">
            <x v="1"/>
          </reference>
        </references>
      </pivotArea>
    </format>
    <format dxfId="404">
      <pivotArea dataOnly="0" labelOnly="1" outline="0" fieldPosition="0">
        <references count="2">
          <reference field="6" count="1" selected="0">
            <x v="41"/>
          </reference>
          <reference field="23" count="1">
            <x v="1"/>
          </reference>
        </references>
      </pivotArea>
    </format>
    <format dxfId="403">
      <pivotArea dataOnly="0" labelOnly="1" outline="0" fieldPosition="0">
        <references count="2">
          <reference field="6" count="1" selected="0">
            <x v="42"/>
          </reference>
          <reference field="23" count="1">
            <x v="1"/>
          </reference>
        </references>
      </pivotArea>
    </format>
    <format dxfId="402">
      <pivotArea dataOnly="0" labelOnly="1" outline="0" fieldPosition="0">
        <references count="2">
          <reference field="6" count="1" selected="0">
            <x v="43"/>
          </reference>
          <reference field="23" count="1">
            <x v="0"/>
          </reference>
        </references>
      </pivotArea>
    </format>
    <format dxfId="401">
      <pivotArea dataOnly="0" labelOnly="1" outline="0" fieldPosition="0">
        <references count="2">
          <reference field="6" count="1" selected="0">
            <x v="44"/>
          </reference>
          <reference field="23" count="1">
            <x v="3"/>
          </reference>
        </references>
      </pivotArea>
    </format>
    <format dxfId="400">
      <pivotArea dataOnly="0" labelOnly="1" outline="0" fieldPosition="0">
        <references count="2">
          <reference field="6" count="1" selected="0">
            <x v="45"/>
          </reference>
          <reference field="23" count="1">
            <x v="1"/>
          </reference>
        </references>
      </pivotArea>
    </format>
    <format dxfId="399">
      <pivotArea dataOnly="0" labelOnly="1" outline="0" fieldPosition="0">
        <references count="2">
          <reference field="6" count="1" selected="0">
            <x v="46"/>
          </reference>
          <reference field="23" count="1">
            <x v="1"/>
          </reference>
        </references>
      </pivotArea>
    </format>
    <format dxfId="398">
      <pivotArea dataOnly="0" labelOnly="1" outline="0" fieldPosition="0">
        <references count="2">
          <reference field="6" count="1" selected="0">
            <x v="47"/>
          </reference>
          <reference field="23" count="1">
            <x v="0"/>
          </reference>
        </references>
      </pivotArea>
    </format>
    <format dxfId="397">
      <pivotArea dataOnly="0" labelOnly="1" outline="0" fieldPosition="0">
        <references count="2">
          <reference field="6" count="1" selected="0">
            <x v="48"/>
          </reference>
          <reference field="23" count="1">
            <x v="2"/>
          </reference>
        </references>
      </pivotArea>
    </format>
    <format dxfId="396">
      <pivotArea dataOnly="0" labelOnly="1" outline="0" fieldPosition="0">
        <references count="2">
          <reference field="6" count="1" selected="0">
            <x v="49"/>
          </reference>
          <reference field="23" count="1">
            <x v="1"/>
          </reference>
        </references>
      </pivotArea>
    </format>
    <format dxfId="395">
      <pivotArea dataOnly="0" labelOnly="1" outline="0" fieldPosition="0">
        <references count="2">
          <reference field="6" count="1" selected="0">
            <x v="50"/>
          </reference>
          <reference field="23" count="1">
            <x v="1"/>
          </reference>
        </references>
      </pivotArea>
    </format>
    <format dxfId="394">
      <pivotArea dataOnly="0" labelOnly="1" outline="0" fieldPosition="0">
        <references count="2">
          <reference field="6" count="1" selected="0">
            <x v="51"/>
          </reference>
          <reference field="23" count="1">
            <x v="1"/>
          </reference>
        </references>
      </pivotArea>
    </format>
    <format dxfId="393">
      <pivotArea dataOnly="0" labelOnly="1" outline="0" fieldPosition="0">
        <references count="2">
          <reference field="6" count="1" selected="0">
            <x v="52"/>
          </reference>
          <reference field="23" count="1">
            <x v="2"/>
          </reference>
        </references>
      </pivotArea>
    </format>
    <format dxfId="392">
      <pivotArea dataOnly="0" labelOnly="1" outline="0" fieldPosition="0">
        <references count="2">
          <reference field="6" count="1" selected="0">
            <x v="53"/>
          </reference>
          <reference field="23" count="1">
            <x v="0"/>
          </reference>
        </references>
      </pivotArea>
    </format>
    <format dxfId="391">
      <pivotArea dataOnly="0" labelOnly="1" outline="0" fieldPosition="0">
        <references count="2">
          <reference field="6" count="1" selected="0">
            <x v="54"/>
          </reference>
          <reference field="23" count="1">
            <x v="2"/>
          </reference>
        </references>
      </pivotArea>
    </format>
    <format dxfId="390">
      <pivotArea dataOnly="0" labelOnly="1" outline="0" fieldPosition="0">
        <references count="2">
          <reference field="6" count="1" selected="0">
            <x v="55"/>
          </reference>
          <reference field="23" count="1">
            <x v="2"/>
          </reference>
        </references>
      </pivotArea>
    </format>
    <format dxfId="389">
      <pivotArea dataOnly="0" labelOnly="1" outline="0" fieldPosition="0">
        <references count="2">
          <reference field="6" count="1" selected="0">
            <x v="56"/>
          </reference>
          <reference field="23" count="1">
            <x v="1"/>
          </reference>
        </references>
      </pivotArea>
    </format>
    <format dxfId="388">
      <pivotArea dataOnly="0" labelOnly="1" outline="0" fieldPosition="0">
        <references count="2">
          <reference field="6" count="1" selected="0">
            <x v="57"/>
          </reference>
          <reference field="23" count="1">
            <x v="1"/>
          </reference>
        </references>
      </pivotArea>
    </format>
    <format dxfId="387">
      <pivotArea dataOnly="0" labelOnly="1" outline="0" fieldPosition="0">
        <references count="2">
          <reference field="6" count="1" selected="0">
            <x v="58"/>
          </reference>
          <reference field="23" count="1">
            <x v="1"/>
          </reference>
        </references>
      </pivotArea>
    </format>
    <format dxfId="386">
      <pivotArea dataOnly="0" labelOnly="1" outline="0" fieldPosition="0">
        <references count="2">
          <reference field="6" count="1" selected="0">
            <x v="59"/>
          </reference>
          <reference field="23" count="1">
            <x v="1"/>
          </reference>
        </references>
      </pivotArea>
    </format>
    <format dxfId="385">
      <pivotArea dataOnly="0" labelOnly="1" outline="0" fieldPosition="0">
        <references count="2">
          <reference field="6" count="1" selected="0">
            <x v="60"/>
          </reference>
          <reference field="23" count="1">
            <x v="1"/>
          </reference>
        </references>
      </pivotArea>
    </format>
    <format dxfId="384">
      <pivotArea dataOnly="0" labelOnly="1" outline="0" fieldPosition="0">
        <references count="2">
          <reference field="6" count="1" selected="0">
            <x v="61"/>
          </reference>
          <reference field="23" count="1">
            <x v="1"/>
          </reference>
        </references>
      </pivotArea>
    </format>
    <format dxfId="383">
      <pivotArea dataOnly="0" labelOnly="1" outline="0" fieldPosition="0">
        <references count="2">
          <reference field="6" count="1" selected="0">
            <x v="62"/>
          </reference>
          <reference field="23" count="1">
            <x v="1"/>
          </reference>
        </references>
      </pivotArea>
    </format>
    <format dxfId="382">
      <pivotArea dataOnly="0" labelOnly="1" outline="0" fieldPosition="0">
        <references count="2">
          <reference field="6" count="1" selected="0">
            <x v="63"/>
          </reference>
          <reference field="23" count="1">
            <x v="1"/>
          </reference>
        </references>
      </pivotArea>
    </format>
    <format dxfId="381">
      <pivotArea dataOnly="0" labelOnly="1" outline="0" fieldPosition="0">
        <references count="2">
          <reference field="6" count="1" selected="0">
            <x v="64"/>
          </reference>
          <reference field="23" count="1">
            <x v="3"/>
          </reference>
        </references>
      </pivotArea>
    </format>
    <format dxfId="380">
      <pivotArea dataOnly="0" labelOnly="1" outline="0" fieldPosition="0">
        <references count="2">
          <reference field="6" count="1" selected="0">
            <x v="65"/>
          </reference>
          <reference field="23" count="1">
            <x v="2"/>
          </reference>
        </references>
      </pivotArea>
    </format>
    <format dxfId="379">
      <pivotArea dataOnly="0" labelOnly="1" outline="0" fieldPosition="0">
        <references count="2">
          <reference field="6" count="1" selected="0">
            <x v="66"/>
          </reference>
          <reference field="23" count="1">
            <x v="2"/>
          </reference>
        </references>
      </pivotArea>
    </format>
    <format dxfId="378">
      <pivotArea dataOnly="0" labelOnly="1" outline="0" fieldPosition="0">
        <references count="2">
          <reference field="6" count="1" selected="0">
            <x v="67"/>
          </reference>
          <reference field="23" count="1">
            <x v="2"/>
          </reference>
        </references>
      </pivotArea>
    </format>
    <format dxfId="377">
      <pivotArea dataOnly="0" labelOnly="1" outline="0" fieldPosition="0">
        <references count="2">
          <reference field="6" count="1" selected="0">
            <x v="68"/>
          </reference>
          <reference field="23" count="1">
            <x v="1"/>
          </reference>
        </references>
      </pivotArea>
    </format>
    <format dxfId="376">
      <pivotArea dataOnly="0" labelOnly="1" outline="0" fieldPosition="0">
        <references count="2">
          <reference field="6" count="1" selected="0">
            <x v="69"/>
          </reference>
          <reference field="23" count="1">
            <x v="3"/>
          </reference>
        </references>
      </pivotArea>
    </format>
    <format dxfId="375">
      <pivotArea dataOnly="0" labelOnly="1" outline="0" fieldPosition="0">
        <references count="2">
          <reference field="6" count="1" selected="0">
            <x v="70"/>
          </reference>
          <reference field="23" count="1">
            <x v="3"/>
          </reference>
        </references>
      </pivotArea>
    </format>
    <format dxfId="374">
      <pivotArea dataOnly="0" labelOnly="1" outline="0" fieldPosition="0">
        <references count="2">
          <reference field="6" count="1" selected="0">
            <x v="71"/>
          </reference>
          <reference field="23" count="1">
            <x v="2"/>
          </reference>
        </references>
      </pivotArea>
    </format>
    <format dxfId="373">
      <pivotArea dataOnly="0" labelOnly="1" outline="0" fieldPosition="0">
        <references count="2">
          <reference field="6" count="1" selected="0">
            <x v="72"/>
          </reference>
          <reference field="23" count="1">
            <x v="1"/>
          </reference>
        </references>
      </pivotArea>
    </format>
    <format dxfId="372">
      <pivotArea dataOnly="0" labelOnly="1" outline="0" fieldPosition="0">
        <references count="2">
          <reference field="6" count="1" selected="0">
            <x v="73"/>
          </reference>
          <reference field="23" count="1">
            <x v="1"/>
          </reference>
        </references>
      </pivotArea>
    </format>
    <format dxfId="371">
      <pivotArea dataOnly="0" labelOnly="1" outline="0" fieldPosition="0">
        <references count="2">
          <reference field="6" count="1" selected="0">
            <x v="74"/>
          </reference>
          <reference field="23" count="1">
            <x v="1"/>
          </reference>
        </references>
      </pivotArea>
    </format>
    <format dxfId="370">
      <pivotArea dataOnly="0" labelOnly="1" outline="0" fieldPosition="0">
        <references count="2">
          <reference field="6" count="1" selected="0">
            <x v="0"/>
          </reference>
          <reference field="23" count="1">
            <x v="1"/>
          </reference>
        </references>
      </pivotArea>
    </format>
    <format dxfId="369">
      <pivotArea dataOnly="0" labelOnly="1" outline="0" fieldPosition="0">
        <references count="2">
          <reference field="6" count="1" selected="0">
            <x v="1"/>
          </reference>
          <reference field="23" count="1">
            <x v="1"/>
          </reference>
        </references>
      </pivotArea>
    </format>
    <format dxfId="368">
      <pivotArea dataOnly="0" labelOnly="1" outline="0" fieldPosition="0">
        <references count="2">
          <reference field="6" count="1" selected="0">
            <x v="2"/>
          </reference>
          <reference field="23" count="1">
            <x v="1"/>
          </reference>
        </references>
      </pivotArea>
    </format>
    <format dxfId="367">
      <pivotArea dataOnly="0" labelOnly="1" outline="0" fieldPosition="0">
        <references count="2">
          <reference field="6" count="1" selected="0">
            <x v="3"/>
          </reference>
          <reference field="23" count="1">
            <x v="0"/>
          </reference>
        </references>
      </pivotArea>
    </format>
    <format dxfId="366">
      <pivotArea dataOnly="0" labelOnly="1" outline="0" fieldPosition="0">
        <references count="2">
          <reference field="6" count="1" selected="0">
            <x v="4"/>
          </reference>
          <reference field="23" count="1">
            <x v="2"/>
          </reference>
        </references>
      </pivotArea>
    </format>
    <format dxfId="365">
      <pivotArea dataOnly="0" labelOnly="1" outline="0" fieldPosition="0">
        <references count="2">
          <reference field="6" count="1" selected="0">
            <x v="5"/>
          </reference>
          <reference field="23" count="1">
            <x v="1"/>
          </reference>
        </references>
      </pivotArea>
    </format>
    <format dxfId="364">
      <pivotArea dataOnly="0" labelOnly="1" outline="0" fieldPosition="0">
        <references count="2">
          <reference field="6" count="1" selected="0">
            <x v="6"/>
          </reference>
          <reference field="23" count="1">
            <x v="1"/>
          </reference>
        </references>
      </pivotArea>
    </format>
    <format dxfId="363">
      <pivotArea dataOnly="0" labelOnly="1" outline="0" fieldPosition="0">
        <references count="2">
          <reference field="6" count="1" selected="0">
            <x v="7"/>
          </reference>
          <reference field="23" count="1">
            <x v="3"/>
          </reference>
        </references>
      </pivotArea>
    </format>
    <format dxfId="362">
      <pivotArea dataOnly="0" labelOnly="1" outline="0" fieldPosition="0">
        <references count="2">
          <reference field="6" count="1" selected="0">
            <x v="8"/>
          </reference>
          <reference field="23" count="1">
            <x v="1"/>
          </reference>
        </references>
      </pivotArea>
    </format>
    <format dxfId="361">
      <pivotArea dataOnly="0" labelOnly="1" outline="0" fieldPosition="0">
        <references count="2">
          <reference field="6" count="1" selected="0">
            <x v="9"/>
          </reference>
          <reference field="23" count="1">
            <x v="2"/>
          </reference>
        </references>
      </pivotArea>
    </format>
    <format dxfId="360">
      <pivotArea dataOnly="0" labelOnly="1" outline="0" fieldPosition="0">
        <references count="2">
          <reference field="6" count="1" selected="0">
            <x v="10"/>
          </reference>
          <reference field="23" count="1">
            <x v="1"/>
          </reference>
        </references>
      </pivotArea>
    </format>
    <format dxfId="359">
      <pivotArea dataOnly="0" labelOnly="1" outline="0" fieldPosition="0">
        <references count="2">
          <reference field="6" count="1" selected="0">
            <x v="11"/>
          </reference>
          <reference field="23" count="1">
            <x v="1"/>
          </reference>
        </references>
      </pivotArea>
    </format>
    <format dxfId="358">
      <pivotArea dataOnly="0" labelOnly="1" outline="0" fieldPosition="0">
        <references count="2">
          <reference field="6" count="1" selected="0">
            <x v="12"/>
          </reference>
          <reference field="23" count="1">
            <x v="1"/>
          </reference>
        </references>
      </pivotArea>
    </format>
    <format dxfId="357">
      <pivotArea dataOnly="0" labelOnly="1" outline="0" fieldPosition="0">
        <references count="2">
          <reference field="6" count="1" selected="0">
            <x v="13"/>
          </reference>
          <reference field="23" count="1">
            <x v="1"/>
          </reference>
        </references>
      </pivotArea>
    </format>
    <format dxfId="356">
      <pivotArea dataOnly="0" labelOnly="1" outline="0" fieldPosition="0">
        <references count="2">
          <reference field="6" count="1" selected="0">
            <x v="14"/>
          </reference>
          <reference field="23" count="1">
            <x v="2"/>
          </reference>
        </references>
      </pivotArea>
    </format>
    <format dxfId="355">
      <pivotArea dataOnly="0" labelOnly="1" outline="0" fieldPosition="0">
        <references count="2">
          <reference field="6" count="1" selected="0">
            <x v="15"/>
          </reference>
          <reference field="23" count="1">
            <x v="1"/>
          </reference>
        </references>
      </pivotArea>
    </format>
    <format dxfId="354">
      <pivotArea dataOnly="0" labelOnly="1" outline="0" fieldPosition="0">
        <references count="2">
          <reference field="6" count="1" selected="0">
            <x v="16"/>
          </reference>
          <reference field="23" count="1">
            <x v="1"/>
          </reference>
        </references>
      </pivotArea>
    </format>
    <format dxfId="353">
      <pivotArea dataOnly="0" labelOnly="1" outline="0" fieldPosition="0">
        <references count="2">
          <reference field="6" count="1" selected="0">
            <x v="17"/>
          </reference>
          <reference field="23" count="1">
            <x v="1"/>
          </reference>
        </references>
      </pivotArea>
    </format>
    <format dxfId="352">
      <pivotArea dataOnly="0" labelOnly="1" outline="0" fieldPosition="0">
        <references count="2">
          <reference field="6" count="1" selected="0">
            <x v="18"/>
          </reference>
          <reference field="23" count="1">
            <x v="1"/>
          </reference>
        </references>
      </pivotArea>
    </format>
    <format dxfId="351">
      <pivotArea dataOnly="0" labelOnly="1" outline="0" fieldPosition="0">
        <references count="2">
          <reference field="6" count="1" selected="0">
            <x v="19"/>
          </reference>
          <reference field="23" count="1">
            <x v="1"/>
          </reference>
        </references>
      </pivotArea>
    </format>
    <format dxfId="350">
      <pivotArea dataOnly="0" labelOnly="1" outline="0" fieldPosition="0">
        <references count="2">
          <reference field="6" count="1" selected="0">
            <x v="20"/>
          </reference>
          <reference field="23" count="1">
            <x v="1"/>
          </reference>
        </references>
      </pivotArea>
    </format>
    <format dxfId="349">
      <pivotArea dataOnly="0" labelOnly="1" outline="0" fieldPosition="0">
        <references count="2">
          <reference field="6" count="1" selected="0">
            <x v="21"/>
          </reference>
          <reference field="23" count="1">
            <x v="1"/>
          </reference>
        </references>
      </pivotArea>
    </format>
    <format dxfId="348">
      <pivotArea dataOnly="0" labelOnly="1" outline="0" fieldPosition="0">
        <references count="2">
          <reference field="6" count="1" selected="0">
            <x v="23"/>
          </reference>
          <reference field="23" count="1">
            <x v="1"/>
          </reference>
        </references>
      </pivotArea>
    </format>
    <format dxfId="347">
      <pivotArea dataOnly="0" labelOnly="1" outline="0" fieldPosition="0">
        <references count="2">
          <reference field="6" count="1" selected="0">
            <x v="24"/>
          </reference>
          <reference field="23" count="1">
            <x v="1"/>
          </reference>
        </references>
      </pivotArea>
    </format>
    <format dxfId="346">
      <pivotArea dataOnly="0" labelOnly="1" outline="0" fieldPosition="0">
        <references count="2">
          <reference field="6" count="1" selected="0">
            <x v="25"/>
          </reference>
          <reference field="23" count="1">
            <x v="1"/>
          </reference>
        </references>
      </pivotArea>
    </format>
    <format dxfId="345">
      <pivotArea dataOnly="0" labelOnly="1" outline="0" fieldPosition="0">
        <references count="2">
          <reference field="6" count="1" selected="0">
            <x v="26"/>
          </reference>
          <reference field="23" count="1">
            <x v="1"/>
          </reference>
        </references>
      </pivotArea>
    </format>
    <format dxfId="344">
      <pivotArea dataOnly="0" labelOnly="1" outline="0" fieldPosition="0">
        <references count="2">
          <reference field="6" count="1" selected="0">
            <x v="27"/>
          </reference>
          <reference field="23" count="1">
            <x v="1"/>
          </reference>
        </references>
      </pivotArea>
    </format>
    <format dxfId="343">
      <pivotArea dataOnly="0" labelOnly="1" outline="0" fieldPosition="0">
        <references count="2">
          <reference field="6" count="1" selected="0">
            <x v="28"/>
          </reference>
          <reference field="23" count="1">
            <x v="1"/>
          </reference>
        </references>
      </pivotArea>
    </format>
    <format dxfId="342">
      <pivotArea dataOnly="0" labelOnly="1" outline="0" fieldPosition="0">
        <references count="2">
          <reference field="6" count="1" selected="0">
            <x v="29"/>
          </reference>
          <reference field="23" count="1">
            <x v="1"/>
          </reference>
        </references>
      </pivotArea>
    </format>
    <format dxfId="341">
      <pivotArea dataOnly="0" labelOnly="1" outline="0" fieldPosition="0">
        <references count="2">
          <reference field="6" count="1" selected="0">
            <x v="30"/>
          </reference>
          <reference field="23" count="1">
            <x v="1"/>
          </reference>
        </references>
      </pivotArea>
    </format>
    <format dxfId="340">
      <pivotArea dataOnly="0" labelOnly="1" outline="0" fieldPosition="0">
        <references count="2">
          <reference field="6" count="1" selected="0">
            <x v="31"/>
          </reference>
          <reference field="23" count="1">
            <x v="1"/>
          </reference>
        </references>
      </pivotArea>
    </format>
    <format dxfId="339">
      <pivotArea dataOnly="0" labelOnly="1" outline="0" fieldPosition="0">
        <references count="2">
          <reference field="6" count="1" selected="0">
            <x v="32"/>
          </reference>
          <reference field="23" count="1">
            <x v="1"/>
          </reference>
        </references>
      </pivotArea>
    </format>
    <format dxfId="338">
      <pivotArea dataOnly="0" labelOnly="1" outline="0" fieldPosition="0">
        <references count="2">
          <reference field="6" count="1" selected="0">
            <x v="33"/>
          </reference>
          <reference field="23" count="1">
            <x v="1"/>
          </reference>
        </references>
      </pivotArea>
    </format>
    <format dxfId="337">
      <pivotArea dataOnly="0" labelOnly="1" outline="0" fieldPosition="0">
        <references count="2">
          <reference field="6" count="1" selected="0">
            <x v="34"/>
          </reference>
          <reference field="23" count="1">
            <x v="1"/>
          </reference>
        </references>
      </pivotArea>
    </format>
    <format dxfId="336">
      <pivotArea dataOnly="0" labelOnly="1" outline="0" fieldPosition="0">
        <references count="2">
          <reference field="6" count="1" selected="0">
            <x v="35"/>
          </reference>
          <reference field="23" count="1">
            <x v="1"/>
          </reference>
        </references>
      </pivotArea>
    </format>
    <format dxfId="335">
      <pivotArea dataOnly="0" labelOnly="1" outline="0" fieldPosition="0">
        <references count="2">
          <reference field="6" count="1" selected="0">
            <x v="36"/>
          </reference>
          <reference field="23" count="1">
            <x v="0"/>
          </reference>
        </references>
      </pivotArea>
    </format>
    <format dxfId="334">
      <pivotArea dataOnly="0" labelOnly="1" outline="0" fieldPosition="0">
        <references count="2">
          <reference field="6" count="1" selected="0">
            <x v="37"/>
          </reference>
          <reference field="23" count="1">
            <x v="1"/>
          </reference>
        </references>
      </pivotArea>
    </format>
    <format dxfId="333">
      <pivotArea dataOnly="0" labelOnly="1" outline="0" fieldPosition="0">
        <references count="2">
          <reference field="6" count="1" selected="0">
            <x v="38"/>
          </reference>
          <reference field="23" count="1">
            <x v="1"/>
          </reference>
        </references>
      </pivotArea>
    </format>
    <format dxfId="332">
      <pivotArea dataOnly="0" labelOnly="1" outline="0" fieldPosition="0">
        <references count="2">
          <reference field="6" count="1" selected="0">
            <x v="39"/>
          </reference>
          <reference field="23" count="1">
            <x v="1"/>
          </reference>
        </references>
      </pivotArea>
    </format>
    <format dxfId="331">
      <pivotArea dataOnly="0" labelOnly="1" outline="0" fieldPosition="0">
        <references count="2">
          <reference field="6" count="1" selected="0">
            <x v="40"/>
          </reference>
          <reference field="23" count="1">
            <x v="1"/>
          </reference>
        </references>
      </pivotArea>
    </format>
    <format dxfId="330">
      <pivotArea dataOnly="0" labelOnly="1" outline="0" fieldPosition="0">
        <references count="2">
          <reference field="6" count="1" selected="0">
            <x v="41"/>
          </reference>
          <reference field="23" count="1">
            <x v="1"/>
          </reference>
        </references>
      </pivotArea>
    </format>
    <format dxfId="329">
      <pivotArea dataOnly="0" labelOnly="1" outline="0" fieldPosition="0">
        <references count="2">
          <reference field="6" count="1" selected="0">
            <x v="42"/>
          </reference>
          <reference field="23" count="1">
            <x v="1"/>
          </reference>
        </references>
      </pivotArea>
    </format>
    <format dxfId="328">
      <pivotArea dataOnly="0" labelOnly="1" outline="0" fieldPosition="0">
        <references count="2">
          <reference field="6" count="1" selected="0">
            <x v="43"/>
          </reference>
          <reference field="23" count="1">
            <x v="0"/>
          </reference>
        </references>
      </pivotArea>
    </format>
    <format dxfId="327">
      <pivotArea dataOnly="0" labelOnly="1" outline="0" fieldPosition="0">
        <references count="2">
          <reference field="6" count="1" selected="0">
            <x v="44"/>
          </reference>
          <reference field="23" count="1">
            <x v="3"/>
          </reference>
        </references>
      </pivotArea>
    </format>
    <format dxfId="326">
      <pivotArea dataOnly="0" labelOnly="1" outline="0" fieldPosition="0">
        <references count="2">
          <reference field="6" count="1" selected="0">
            <x v="45"/>
          </reference>
          <reference field="23" count="1">
            <x v="1"/>
          </reference>
        </references>
      </pivotArea>
    </format>
    <format dxfId="325">
      <pivotArea dataOnly="0" labelOnly="1" outline="0" fieldPosition="0">
        <references count="2">
          <reference field="6" count="1" selected="0">
            <x v="46"/>
          </reference>
          <reference field="23" count="1">
            <x v="1"/>
          </reference>
        </references>
      </pivotArea>
    </format>
    <format dxfId="324">
      <pivotArea dataOnly="0" labelOnly="1" outline="0" fieldPosition="0">
        <references count="2">
          <reference field="6" count="1" selected="0">
            <x v="47"/>
          </reference>
          <reference field="23" count="1">
            <x v="0"/>
          </reference>
        </references>
      </pivotArea>
    </format>
    <format dxfId="323">
      <pivotArea dataOnly="0" labelOnly="1" outline="0" fieldPosition="0">
        <references count="2">
          <reference field="6" count="1" selected="0">
            <x v="48"/>
          </reference>
          <reference field="23" count="1">
            <x v="2"/>
          </reference>
        </references>
      </pivotArea>
    </format>
    <format dxfId="322">
      <pivotArea dataOnly="0" labelOnly="1" outline="0" fieldPosition="0">
        <references count="2">
          <reference field="6" count="1" selected="0">
            <x v="49"/>
          </reference>
          <reference field="23" count="1">
            <x v="1"/>
          </reference>
        </references>
      </pivotArea>
    </format>
    <format dxfId="321">
      <pivotArea dataOnly="0" labelOnly="1" outline="0" fieldPosition="0">
        <references count="2">
          <reference field="6" count="1" selected="0">
            <x v="50"/>
          </reference>
          <reference field="23" count="1">
            <x v="1"/>
          </reference>
        </references>
      </pivotArea>
    </format>
    <format dxfId="320">
      <pivotArea dataOnly="0" labelOnly="1" outline="0" fieldPosition="0">
        <references count="2">
          <reference field="6" count="1" selected="0">
            <x v="51"/>
          </reference>
          <reference field="23" count="1">
            <x v="1"/>
          </reference>
        </references>
      </pivotArea>
    </format>
    <format dxfId="319">
      <pivotArea dataOnly="0" labelOnly="1" outline="0" fieldPosition="0">
        <references count="2">
          <reference field="6" count="1" selected="0">
            <x v="52"/>
          </reference>
          <reference field="23" count="1">
            <x v="2"/>
          </reference>
        </references>
      </pivotArea>
    </format>
    <format dxfId="318">
      <pivotArea dataOnly="0" labelOnly="1" outline="0" fieldPosition="0">
        <references count="2">
          <reference field="6" count="1" selected="0">
            <x v="53"/>
          </reference>
          <reference field="23" count="1">
            <x v="0"/>
          </reference>
        </references>
      </pivotArea>
    </format>
    <format dxfId="317">
      <pivotArea dataOnly="0" labelOnly="1" outline="0" fieldPosition="0">
        <references count="2">
          <reference field="6" count="1" selected="0">
            <x v="54"/>
          </reference>
          <reference field="23" count="1">
            <x v="2"/>
          </reference>
        </references>
      </pivotArea>
    </format>
    <format dxfId="316">
      <pivotArea dataOnly="0" labelOnly="1" outline="0" fieldPosition="0">
        <references count="2">
          <reference field="6" count="1" selected="0">
            <x v="55"/>
          </reference>
          <reference field="23" count="1">
            <x v="2"/>
          </reference>
        </references>
      </pivotArea>
    </format>
    <format dxfId="315">
      <pivotArea dataOnly="0" labelOnly="1" outline="0" fieldPosition="0">
        <references count="2">
          <reference field="6" count="1" selected="0">
            <x v="56"/>
          </reference>
          <reference field="23" count="1">
            <x v="1"/>
          </reference>
        </references>
      </pivotArea>
    </format>
    <format dxfId="314">
      <pivotArea dataOnly="0" labelOnly="1" outline="0" fieldPosition="0">
        <references count="2">
          <reference field="6" count="1" selected="0">
            <x v="57"/>
          </reference>
          <reference field="23" count="1">
            <x v="1"/>
          </reference>
        </references>
      </pivotArea>
    </format>
    <format dxfId="313">
      <pivotArea dataOnly="0" labelOnly="1" outline="0" fieldPosition="0">
        <references count="2">
          <reference field="6" count="1" selected="0">
            <x v="58"/>
          </reference>
          <reference field="23" count="1">
            <x v="1"/>
          </reference>
        </references>
      </pivotArea>
    </format>
    <format dxfId="312">
      <pivotArea dataOnly="0" labelOnly="1" outline="0" fieldPosition="0">
        <references count="2">
          <reference field="6" count="1" selected="0">
            <x v="59"/>
          </reference>
          <reference field="23" count="1">
            <x v="1"/>
          </reference>
        </references>
      </pivotArea>
    </format>
    <format dxfId="311">
      <pivotArea dataOnly="0" labelOnly="1" outline="0" fieldPosition="0">
        <references count="2">
          <reference field="6" count="1" selected="0">
            <x v="60"/>
          </reference>
          <reference field="23" count="1">
            <x v="1"/>
          </reference>
        </references>
      </pivotArea>
    </format>
    <format dxfId="310">
      <pivotArea dataOnly="0" labelOnly="1" outline="0" fieldPosition="0">
        <references count="2">
          <reference field="6" count="1" selected="0">
            <x v="61"/>
          </reference>
          <reference field="23" count="1">
            <x v="1"/>
          </reference>
        </references>
      </pivotArea>
    </format>
    <format dxfId="309">
      <pivotArea dataOnly="0" labelOnly="1" outline="0" fieldPosition="0">
        <references count="2">
          <reference field="6" count="1" selected="0">
            <x v="62"/>
          </reference>
          <reference field="23" count="1">
            <x v="1"/>
          </reference>
        </references>
      </pivotArea>
    </format>
    <format dxfId="308">
      <pivotArea dataOnly="0" labelOnly="1" outline="0" fieldPosition="0">
        <references count="2">
          <reference field="6" count="1" selected="0">
            <x v="63"/>
          </reference>
          <reference field="23" count="1">
            <x v="1"/>
          </reference>
        </references>
      </pivotArea>
    </format>
    <format dxfId="307">
      <pivotArea dataOnly="0" labelOnly="1" outline="0" fieldPosition="0">
        <references count="2">
          <reference field="6" count="1" selected="0">
            <x v="64"/>
          </reference>
          <reference field="23" count="1">
            <x v="3"/>
          </reference>
        </references>
      </pivotArea>
    </format>
    <format dxfId="306">
      <pivotArea dataOnly="0" labelOnly="1" outline="0" fieldPosition="0">
        <references count="2">
          <reference field="6" count="1" selected="0">
            <x v="65"/>
          </reference>
          <reference field="23" count="1">
            <x v="2"/>
          </reference>
        </references>
      </pivotArea>
    </format>
    <format dxfId="305">
      <pivotArea dataOnly="0" labelOnly="1" outline="0" fieldPosition="0">
        <references count="2">
          <reference field="6" count="1" selected="0">
            <x v="66"/>
          </reference>
          <reference field="23" count="1">
            <x v="2"/>
          </reference>
        </references>
      </pivotArea>
    </format>
    <format dxfId="304">
      <pivotArea dataOnly="0" labelOnly="1" outline="0" fieldPosition="0">
        <references count="2">
          <reference field="6" count="1" selected="0">
            <x v="67"/>
          </reference>
          <reference field="23" count="1">
            <x v="2"/>
          </reference>
        </references>
      </pivotArea>
    </format>
    <format dxfId="303">
      <pivotArea dataOnly="0" labelOnly="1" outline="0" fieldPosition="0">
        <references count="2">
          <reference field="6" count="1" selected="0">
            <x v="68"/>
          </reference>
          <reference field="23" count="1">
            <x v="1"/>
          </reference>
        </references>
      </pivotArea>
    </format>
    <format dxfId="302">
      <pivotArea dataOnly="0" labelOnly="1" outline="0" fieldPosition="0">
        <references count="2">
          <reference field="6" count="1" selected="0">
            <x v="69"/>
          </reference>
          <reference field="23" count="1">
            <x v="3"/>
          </reference>
        </references>
      </pivotArea>
    </format>
    <format dxfId="301">
      <pivotArea dataOnly="0" labelOnly="1" outline="0" fieldPosition="0">
        <references count="2">
          <reference field="6" count="1" selected="0">
            <x v="70"/>
          </reference>
          <reference field="23" count="1">
            <x v="3"/>
          </reference>
        </references>
      </pivotArea>
    </format>
    <format dxfId="300">
      <pivotArea dataOnly="0" labelOnly="1" outline="0" fieldPosition="0">
        <references count="2">
          <reference field="6" count="1" selected="0">
            <x v="71"/>
          </reference>
          <reference field="23" count="1">
            <x v="2"/>
          </reference>
        </references>
      </pivotArea>
    </format>
    <format dxfId="299">
      <pivotArea dataOnly="0" labelOnly="1" outline="0" fieldPosition="0">
        <references count="2">
          <reference field="6" count="1" selected="0">
            <x v="72"/>
          </reference>
          <reference field="23" count="1">
            <x v="1"/>
          </reference>
        </references>
      </pivotArea>
    </format>
    <format dxfId="298">
      <pivotArea dataOnly="0" labelOnly="1" outline="0" fieldPosition="0">
        <references count="2">
          <reference field="6" count="1" selected="0">
            <x v="73"/>
          </reference>
          <reference field="23" count="1">
            <x v="1"/>
          </reference>
        </references>
      </pivotArea>
    </format>
    <format dxfId="297">
      <pivotArea dataOnly="0" labelOnly="1" outline="0" fieldPosition="0">
        <references count="2">
          <reference field="6" count="1" selected="0">
            <x v="74"/>
          </reference>
          <reference field="23" count="1">
            <x v="1"/>
          </reference>
        </references>
      </pivotArea>
    </format>
    <format dxfId="296">
      <pivotArea outline="0" collapsedLevelsAreSubtotals="1" fieldPosition="0">
        <references count="3">
          <reference field="4294967294" count="2" selected="0">
            <x v="0"/>
            <x v="1"/>
          </reference>
          <reference field="6" count="1" selected="0">
            <x v="15"/>
          </reference>
          <reference field="23" count="1" selected="0">
            <x v="3"/>
          </reference>
        </references>
      </pivotArea>
    </format>
    <format dxfId="295">
      <pivotArea dataOnly="0" labelOnly="1" outline="0" fieldPosition="0">
        <references count="2">
          <reference field="6" count="1" selected="0">
            <x v="15"/>
          </reference>
          <reference field="23" count="1">
            <x v="3"/>
          </reference>
        </references>
      </pivotArea>
    </format>
    <format dxfId="294">
      <pivotArea outline="0" collapsedLevelsAreSubtotals="1" fieldPosition="0">
        <references count="3">
          <reference field="4294967294" count="2" selected="0">
            <x v="0"/>
            <x v="1"/>
          </reference>
          <reference field="6" count="1" selected="0">
            <x v="62"/>
          </reference>
          <reference field="23" count="1" selected="0">
            <x v="1"/>
          </reference>
        </references>
      </pivotArea>
    </format>
    <format dxfId="293">
      <pivotArea outline="0" collapsedLevelsAreSubtotals="1" fieldPosition="0">
        <references count="3">
          <reference field="4294967294" count="2" selected="0">
            <x v="0"/>
            <x v="1"/>
          </reference>
          <reference field="6" count="1" selected="0">
            <x v="10"/>
          </reference>
          <reference field="23" count="1" selected="0">
            <x v="1"/>
          </reference>
        </references>
      </pivotArea>
    </format>
    <format dxfId="292">
      <pivotArea outline="0" collapsedLevelsAreSubtotals="1" fieldPosition="0">
        <references count="3">
          <reference field="4294967294" count="2" selected="0">
            <x v="0"/>
            <x v="1"/>
          </reference>
          <reference field="6" count="1" selected="0">
            <x v="11"/>
          </reference>
          <reference field="23" count="1" selected="0">
            <x v="1"/>
          </reference>
        </references>
      </pivotArea>
    </format>
    <format dxfId="291">
      <pivotArea outline="0" collapsedLevelsAreSubtotals="1" fieldPosition="0">
        <references count="3">
          <reference field="4294967294" count="2" selected="0">
            <x v="0"/>
            <x v="1"/>
          </reference>
          <reference field="6" count="1" selected="0">
            <x v="18"/>
          </reference>
          <reference field="23" count="1" selected="0">
            <x v="1"/>
          </reference>
        </references>
      </pivotArea>
    </format>
    <format dxfId="290">
      <pivotArea outline="0" collapsedLevelsAreSubtotals="1" fieldPosition="0">
        <references count="3">
          <reference field="4294967294" count="2" selected="0">
            <x v="0"/>
            <x v="1"/>
          </reference>
          <reference field="6" count="1" selected="0">
            <x v="25"/>
          </reference>
          <reference field="23" count="1" selected="0">
            <x v="1"/>
          </reference>
        </references>
      </pivotArea>
    </format>
    <format dxfId="289">
      <pivotArea outline="0" collapsedLevelsAreSubtotals="1" fieldPosition="0">
        <references count="3">
          <reference field="4294967294" count="2" selected="0">
            <x v="0"/>
            <x v="1"/>
          </reference>
          <reference field="6" count="1" selected="0">
            <x v="26"/>
          </reference>
          <reference field="23" count="1" selected="0">
            <x v="1"/>
          </reference>
        </references>
      </pivotArea>
    </format>
    <format dxfId="288">
      <pivotArea outline="0" collapsedLevelsAreSubtotals="1" fieldPosition="0">
        <references count="3">
          <reference field="4294967294" count="2" selected="0">
            <x v="0"/>
            <x v="1"/>
          </reference>
          <reference field="6" count="1" selected="0">
            <x v="41"/>
          </reference>
          <reference field="23" count="1" selected="0">
            <x v="1"/>
          </reference>
        </references>
      </pivotArea>
    </format>
    <format dxfId="287">
      <pivotArea outline="0" collapsedLevelsAreSubtotals="1" fieldPosition="0">
        <references count="3">
          <reference field="4294967294" count="2" selected="0">
            <x v="0"/>
            <x v="1"/>
          </reference>
          <reference field="6" count="1" selected="0">
            <x v="38"/>
          </reference>
          <reference field="23" count="1" selected="0">
            <x v="1"/>
          </reference>
        </references>
      </pivotArea>
    </format>
    <format dxfId="286">
      <pivotArea outline="0" collapsedLevelsAreSubtotals="1" fieldPosition="0">
        <references count="3">
          <reference field="4294967294" count="2" selected="0">
            <x v="0"/>
            <x v="1"/>
          </reference>
          <reference field="6" count="1" selected="0">
            <x v="51"/>
          </reference>
          <reference field="23" count="1" selected="0">
            <x v="2"/>
          </reference>
        </references>
      </pivotArea>
    </format>
    <format dxfId="285">
      <pivotArea dataOnly="0" labelOnly="1" outline="0" fieldPosition="0">
        <references count="2">
          <reference field="6" count="1" selected="0">
            <x v="51"/>
          </reference>
          <reference field="23" count="1">
            <x v="2"/>
          </reference>
        </references>
      </pivotArea>
    </format>
    <format dxfId="284">
      <pivotArea outline="0" collapsedLevelsAreSubtotals="1" fieldPosition="0">
        <references count="3">
          <reference field="4294967294" count="2" selected="0">
            <x v="0"/>
            <x v="1"/>
          </reference>
          <reference field="6" count="1" selected="0">
            <x v="72"/>
          </reference>
          <reference field="23" count="1" selected="0">
            <x v="1"/>
          </reference>
        </references>
      </pivotArea>
    </format>
    <format dxfId="283">
      <pivotArea outline="0" collapsedLevelsAreSubtotals="1" fieldPosition="0">
        <references count="3">
          <reference field="4294967294" count="2" selected="0">
            <x v="0"/>
            <x v="1"/>
          </reference>
          <reference field="6" count="1" selected="0">
            <x v="52"/>
          </reference>
          <reference field="23" count="1" selected="0">
            <x v="4"/>
          </reference>
        </references>
      </pivotArea>
    </format>
    <format dxfId="282">
      <pivotArea outline="0" collapsedLevelsAreSubtotals="1" fieldPosition="0">
        <references count="3">
          <reference field="4294967294" count="2" selected="0">
            <x v="0"/>
            <x v="1"/>
          </reference>
          <reference field="6" count="1" selected="0">
            <x v="54"/>
          </reference>
          <reference field="23" count="1" selected="0">
            <x v="4"/>
          </reference>
        </references>
      </pivotArea>
    </format>
    <format dxfId="281">
      <pivotArea outline="0" collapsedLevelsAreSubtotals="1" fieldPosition="0">
        <references count="3">
          <reference field="4294967294" count="2" selected="0">
            <x v="0"/>
            <x v="1"/>
          </reference>
          <reference field="6" count="1" selected="0">
            <x v="71"/>
          </reference>
          <reference field="23" count="1" selected="0">
            <x v="2"/>
          </reference>
        </references>
      </pivotArea>
    </format>
    <format dxfId="280">
      <pivotArea outline="0" collapsedLevelsAreSubtotals="1" fieldPosition="0">
        <references count="3">
          <reference field="4294967294" count="2" selected="0">
            <x v="0"/>
            <x v="1"/>
          </reference>
          <reference field="6" count="1" selected="0">
            <x v="48"/>
          </reference>
          <reference field="23" count="1" selected="0">
            <x v="2"/>
          </reference>
        </references>
      </pivotArea>
    </format>
    <format dxfId="279">
      <pivotArea outline="0" collapsedLevelsAreSubtotals="1" fieldPosition="0">
        <references count="3">
          <reference field="4294967294" count="2" selected="0">
            <x v="0"/>
            <x v="1"/>
          </reference>
          <reference field="6" count="1" selected="0">
            <x v="73"/>
          </reference>
          <reference field="23" count="1" selected="0">
            <x v="1"/>
          </reference>
        </references>
      </pivotArea>
    </format>
    <format dxfId="278">
      <pivotArea outline="0" collapsedLevelsAreSubtotals="1" fieldPosition="0">
        <references count="3">
          <reference field="4294967294" count="2" selected="0">
            <x v="0"/>
            <x v="1"/>
          </reference>
          <reference field="6" count="1" selected="0">
            <x v="21"/>
          </reference>
          <reference field="23" count="1" selected="0">
            <x v="1"/>
          </reference>
        </references>
      </pivotArea>
    </format>
    <format dxfId="277">
      <pivotArea outline="0" collapsedLevelsAreSubtotals="1" fieldPosition="0">
        <references count="3">
          <reference field="4294967294" count="2" selected="0">
            <x v="0"/>
            <x v="1"/>
          </reference>
          <reference field="6" count="1" selected="0">
            <x v="20"/>
          </reference>
          <reference field="23" count="1" selected="0">
            <x v="1"/>
          </reference>
        </references>
      </pivotArea>
    </format>
    <format dxfId="276">
      <pivotArea outline="0" collapsedLevelsAreSubtotals="1" fieldPosition="0">
        <references count="3">
          <reference field="4294967294" count="2" selected="0">
            <x v="0"/>
            <x v="1"/>
          </reference>
          <reference field="6" count="1" selected="0">
            <x v="37"/>
          </reference>
          <reference field="23" count="1" selected="0">
            <x v="1"/>
          </reference>
        </references>
      </pivotArea>
    </format>
    <format dxfId="275">
      <pivotArea dataOnly="0" labelOnly="1" outline="0" fieldPosition="0">
        <references count="1">
          <reference field="4294967294" count="2">
            <x v="0"/>
            <x v="1"/>
          </reference>
        </references>
      </pivotArea>
    </format>
    <format dxfId="274">
      <pivotArea dataOnly="0" labelOnly="1" outline="0" fieldPosition="0">
        <references count="1">
          <reference field="6" count="1">
            <x v="74"/>
          </reference>
        </references>
      </pivotArea>
    </format>
    <format dxfId="273">
      <pivotArea outline="0" collapsedLevelsAreSubtotals="1" fieldPosition="0"/>
    </format>
    <format dxfId="272">
      <pivotArea outline="0" fieldPosition="0">
        <references count="2">
          <reference field="6" count="2" selected="0">
            <x v="2"/>
            <x v="16"/>
          </reference>
          <reference field="23" count="1" selected="0">
            <x v="1"/>
          </reference>
        </references>
      </pivotArea>
    </format>
    <format dxfId="271">
      <pivotArea outline="0" fieldPosition="0">
        <references count="2">
          <reference field="6" count="4" selected="0">
            <x v="30"/>
            <x v="36"/>
            <x v="43"/>
            <x v="44"/>
          </reference>
          <reference field="23" count="2" selected="0">
            <x v="0"/>
            <x v="1"/>
          </reference>
        </references>
      </pivotArea>
    </format>
    <format dxfId="270">
      <pivotArea outline="0" fieldPosition="0">
        <references count="2">
          <reference field="6" count="1" selected="0">
            <x v="47"/>
          </reference>
          <reference field="23" count="1" selected="0">
            <x v="1"/>
          </reference>
        </references>
      </pivotArea>
    </format>
    <format dxfId="269">
      <pivotArea outline="0" fieldPosition="0">
        <references count="2">
          <reference field="6" count="1" selected="0">
            <x v="68"/>
          </reference>
          <reference field="23" count="1" selected="0">
            <x v="1"/>
          </reference>
        </references>
      </pivotArea>
    </format>
    <format dxfId="268">
      <pivotArea outline="0" fieldPosition="0">
        <references count="2">
          <reference field="6" count="5" selected="0">
            <x v="75"/>
            <x v="76"/>
            <x v="77"/>
            <x v="78"/>
            <x v="79"/>
          </reference>
          <reference field="23" count="1" selected="0">
            <x v="1"/>
          </reference>
        </references>
      </pivotArea>
    </format>
    <format dxfId="267">
      <pivotArea outline="0" fieldPosition="0">
        <references count="2">
          <reference field="6" count="2" selected="0">
            <x v="82"/>
            <x v="83"/>
          </reference>
          <reference field="23" count="2" selected="0">
            <x v="1"/>
            <x v="2"/>
          </reference>
        </references>
      </pivotArea>
    </format>
    <format dxfId="266">
      <pivotArea outline="0" fieldPosition="0">
        <references count="2">
          <reference field="6" count="1" selected="0">
            <x v="94"/>
          </reference>
          <reference field="23" count="1" selected="0">
            <x v="1"/>
          </reference>
        </references>
      </pivotArea>
    </format>
    <format dxfId="265">
      <pivotArea outline="0" fieldPosition="0">
        <references count="2">
          <reference field="6" count="1" selected="0">
            <x v="117"/>
          </reference>
          <reference field="23" count="1" selected="0">
            <x v="1"/>
          </reference>
        </references>
      </pivotArea>
    </format>
    <format dxfId="264">
      <pivotArea outline="0" fieldPosition="0">
        <references count="2">
          <reference field="6" count="1" selected="0">
            <x v="120"/>
          </reference>
          <reference field="23" count="1" selected="0">
            <x v="1"/>
          </reference>
        </references>
      </pivotArea>
    </format>
    <format dxfId="263">
      <pivotArea outline="0" fieldPosition="0">
        <references count="2">
          <reference field="6" count="8" selected="0">
            <x v="121"/>
            <x v="122"/>
            <x v="123"/>
            <x v="124"/>
            <x v="125"/>
            <x v="126"/>
            <x v="127"/>
            <x v="128"/>
          </reference>
          <reference field="23" count="4" selected="0">
            <x v="0"/>
            <x v="1"/>
            <x v="2"/>
            <x v="5"/>
          </reference>
        </references>
      </pivotArea>
    </format>
    <format dxfId="262">
      <pivotArea dataOnly="0" labelOnly="1" outline="0" fieldPosition="0">
        <references count="2">
          <reference field="6" count="1" selected="0">
            <x v="46"/>
          </reference>
          <reference field="23" count="1">
            <x v="1"/>
          </reference>
        </references>
      </pivotArea>
    </format>
    <format dxfId="261">
      <pivotArea dataOnly="0" labelOnly="1" outline="0" fieldPosition="0">
        <references count="2">
          <reference field="6" count="1" selected="0">
            <x v="68"/>
          </reference>
          <reference field="23" count="1">
            <x v="1"/>
          </reference>
        </references>
      </pivotArea>
    </format>
    <format dxfId="260">
      <pivotArea dataOnly="0" labelOnly="1" outline="0" fieldPosition="0">
        <references count="2">
          <reference field="6" count="1" selected="0">
            <x v="101"/>
          </reference>
          <reference field="23" count="1">
            <x v="1"/>
          </reference>
        </references>
      </pivotArea>
    </format>
    <format dxfId="259">
      <pivotArea dataOnly="0" labelOnly="1" outline="0" fieldPosition="0">
        <references count="2">
          <reference field="6" count="1" selected="0">
            <x v="102"/>
          </reference>
          <reference field="23" count="1">
            <x v="1"/>
          </reference>
        </references>
      </pivotArea>
    </format>
    <format dxfId="258">
      <pivotArea dataOnly="0" labelOnly="1" outline="0" fieldPosition="0">
        <references count="2">
          <reference field="6" count="1" selected="0">
            <x v="103"/>
          </reference>
          <reference field="23" count="1">
            <x v="2"/>
          </reference>
        </references>
      </pivotArea>
    </format>
    <format dxfId="257">
      <pivotArea dataOnly="0" labelOnly="1" outline="0" fieldPosition="0">
        <references count="2">
          <reference field="6" count="1" selected="0">
            <x v="104"/>
          </reference>
          <reference field="23" count="1">
            <x v="1"/>
          </reference>
        </references>
      </pivotArea>
    </format>
    <format dxfId="256">
      <pivotArea dataOnly="0" labelOnly="1" outline="0" fieldPosition="0">
        <references count="2">
          <reference field="6" count="1" selected="0">
            <x v="105"/>
          </reference>
          <reference field="23" count="1">
            <x v="0"/>
          </reference>
        </references>
      </pivotArea>
    </format>
    <format dxfId="255">
      <pivotArea dataOnly="0" labelOnly="1" outline="0" fieldPosition="0">
        <references count="2">
          <reference field="6" count="1" selected="0">
            <x v="106"/>
          </reference>
          <reference field="23" count="1">
            <x v="1"/>
          </reference>
        </references>
      </pivotArea>
    </format>
    <format dxfId="254">
      <pivotArea dataOnly="0" labelOnly="1" outline="0" fieldPosition="0">
        <references count="2">
          <reference field="6" count="1" selected="0">
            <x v="107"/>
          </reference>
          <reference field="23" count="1">
            <x v="1"/>
          </reference>
        </references>
      </pivotArea>
    </format>
    <format dxfId="253">
      <pivotArea dataOnly="0" labelOnly="1" outline="0" fieldPosition="0">
        <references count="2">
          <reference field="6" count="1" selected="0">
            <x v="108"/>
          </reference>
          <reference field="23" count="1">
            <x v="5"/>
          </reference>
        </references>
      </pivotArea>
    </format>
    <format dxfId="252">
      <pivotArea dataOnly="0" labelOnly="1" outline="0" fieldPosition="0">
        <references count="2">
          <reference field="6" count="1" selected="0">
            <x v="109"/>
          </reference>
          <reference field="23" count="1">
            <x v="1"/>
          </reference>
        </references>
      </pivotArea>
    </format>
    <format dxfId="251">
      <pivotArea dataOnly="0" labelOnly="1" outline="0" fieldPosition="0">
        <references count="2">
          <reference field="6" count="1" selected="0">
            <x v="110"/>
          </reference>
          <reference field="23" count="1">
            <x v="1"/>
          </reference>
        </references>
      </pivotArea>
    </format>
    <format dxfId="250">
      <pivotArea dataOnly="0" labelOnly="1" outline="0" fieldPosition="0">
        <references count="2">
          <reference field="6" count="1" selected="0">
            <x v="111"/>
          </reference>
          <reference field="23" count="1">
            <x v="3"/>
          </reference>
        </references>
      </pivotArea>
    </format>
    <format dxfId="249">
      <pivotArea dataOnly="0" labelOnly="1" outline="0" fieldPosition="0">
        <references count="2">
          <reference field="6" count="1" selected="0">
            <x v="112"/>
          </reference>
          <reference field="23" count="1">
            <x v="1"/>
          </reference>
        </references>
      </pivotArea>
    </format>
    <format dxfId="248">
      <pivotArea dataOnly="0" labelOnly="1" outline="0" fieldPosition="0">
        <references count="2">
          <reference field="6" count="1" selected="0">
            <x v="113"/>
          </reference>
          <reference field="23" count="1">
            <x v="3"/>
          </reference>
        </references>
      </pivotArea>
    </format>
    <format dxfId="247">
      <pivotArea dataOnly="0" labelOnly="1" outline="0" fieldPosition="0">
        <references count="2">
          <reference field="6" count="1" selected="0">
            <x v="114"/>
          </reference>
          <reference field="23" count="1">
            <x v="1"/>
          </reference>
        </references>
      </pivotArea>
    </format>
    <format dxfId="246">
      <pivotArea dataOnly="0" labelOnly="1" outline="0" fieldPosition="0">
        <references count="2">
          <reference field="6" count="1" selected="0">
            <x v="46"/>
          </reference>
          <reference field="23" count="1">
            <x v="1"/>
          </reference>
        </references>
      </pivotArea>
    </format>
    <format dxfId="245">
      <pivotArea dataOnly="0" labelOnly="1" outline="0" fieldPosition="0">
        <references count="2">
          <reference field="6" count="1" selected="0">
            <x v="68"/>
          </reference>
          <reference field="23" count="1">
            <x v="1"/>
          </reference>
        </references>
      </pivotArea>
    </format>
    <format dxfId="244">
      <pivotArea dataOnly="0" labelOnly="1" outline="0" fieldPosition="0">
        <references count="2">
          <reference field="6" count="1" selected="0">
            <x v="101"/>
          </reference>
          <reference field="23" count="1">
            <x v="1"/>
          </reference>
        </references>
      </pivotArea>
    </format>
    <format dxfId="243">
      <pivotArea dataOnly="0" labelOnly="1" outline="0" fieldPosition="0">
        <references count="2">
          <reference field="6" count="1" selected="0">
            <x v="102"/>
          </reference>
          <reference field="23" count="1">
            <x v="1"/>
          </reference>
        </references>
      </pivotArea>
    </format>
    <format dxfId="242">
      <pivotArea dataOnly="0" labelOnly="1" outline="0" fieldPosition="0">
        <references count="2">
          <reference field="6" count="1" selected="0">
            <x v="103"/>
          </reference>
          <reference field="23" count="1">
            <x v="2"/>
          </reference>
        </references>
      </pivotArea>
    </format>
    <format dxfId="241">
      <pivotArea dataOnly="0" labelOnly="1" outline="0" fieldPosition="0">
        <references count="2">
          <reference field="6" count="1" selected="0">
            <x v="104"/>
          </reference>
          <reference field="23" count="1">
            <x v="1"/>
          </reference>
        </references>
      </pivotArea>
    </format>
    <format dxfId="240">
      <pivotArea dataOnly="0" labelOnly="1" outline="0" fieldPosition="0">
        <references count="2">
          <reference field="6" count="1" selected="0">
            <x v="105"/>
          </reference>
          <reference field="23" count="1">
            <x v="0"/>
          </reference>
        </references>
      </pivotArea>
    </format>
    <format dxfId="239">
      <pivotArea dataOnly="0" labelOnly="1" outline="0" fieldPosition="0">
        <references count="2">
          <reference field="6" count="1" selected="0">
            <x v="106"/>
          </reference>
          <reference field="23" count="1">
            <x v="1"/>
          </reference>
        </references>
      </pivotArea>
    </format>
    <format dxfId="238">
      <pivotArea dataOnly="0" labelOnly="1" outline="0" fieldPosition="0">
        <references count="2">
          <reference field="6" count="1" selected="0">
            <x v="107"/>
          </reference>
          <reference field="23" count="1">
            <x v="1"/>
          </reference>
        </references>
      </pivotArea>
    </format>
    <format dxfId="237">
      <pivotArea dataOnly="0" labelOnly="1" outline="0" fieldPosition="0">
        <references count="2">
          <reference field="6" count="1" selected="0">
            <x v="108"/>
          </reference>
          <reference field="23" count="1">
            <x v="5"/>
          </reference>
        </references>
      </pivotArea>
    </format>
    <format dxfId="236">
      <pivotArea dataOnly="0" labelOnly="1" outline="0" fieldPosition="0">
        <references count="2">
          <reference field="6" count="1" selected="0">
            <x v="109"/>
          </reference>
          <reference field="23" count="1">
            <x v="1"/>
          </reference>
        </references>
      </pivotArea>
    </format>
    <format dxfId="235">
      <pivotArea dataOnly="0" labelOnly="1" outline="0" fieldPosition="0">
        <references count="2">
          <reference field="6" count="1" selected="0">
            <x v="110"/>
          </reference>
          <reference field="23" count="1">
            <x v="1"/>
          </reference>
        </references>
      </pivotArea>
    </format>
    <format dxfId="234">
      <pivotArea dataOnly="0" labelOnly="1" outline="0" fieldPosition="0">
        <references count="2">
          <reference field="6" count="1" selected="0">
            <x v="111"/>
          </reference>
          <reference field="23" count="1">
            <x v="3"/>
          </reference>
        </references>
      </pivotArea>
    </format>
    <format dxfId="233">
      <pivotArea dataOnly="0" labelOnly="1" outline="0" fieldPosition="0">
        <references count="2">
          <reference field="6" count="1" selected="0">
            <x v="112"/>
          </reference>
          <reference field="23" count="1">
            <x v="1"/>
          </reference>
        </references>
      </pivotArea>
    </format>
    <format dxfId="232">
      <pivotArea dataOnly="0" labelOnly="1" outline="0" fieldPosition="0">
        <references count="2">
          <reference field="6" count="1" selected="0">
            <x v="113"/>
          </reference>
          <reference field="23" count="1">
            <x v="3"/>
          </reference>
        </references>
      </pivotArea>
    </format>
    <format dxfId="231">
      <pivotArea dataOnly="0" labelOnly="1" outline="0" fieldPosition="0">
        <references count="2">
          <reference field="6" count="1" selected="0">
            <x v="114"/>
          </reference>
          <reference field="23" count="1">
            <x v="1"/>
          </reference>
        </references>
      </pivotArea>
    </format>
    <format dxfId="230">
      <pivotArea dataOnly="0" labelOnly="1" outline="0" fieldPosition="0">
        <references count="1">
          <reference field="6" count="14">
            <x v="101"/>
            <x v="102"/>
            <x v="103"/>
            <x v="104"/>
            <x v="105"/>
            <x v="106"/>
            <x v="107"/>
            <x v="108"/>
            <x v="109"/>
            <x v="110"/>
            <x v="111"/>
            <x v="112"/>
            <x v="113"/>
            <x v="114"/>
          </reference>
        </references>
      </pivotArea>
    </format>
    <format dxfId="229">
      <pivotArea dataOnly="0" labelOnly="1" outline="0" fieldPosition="0">
        <references count="2">
          <reference field="6" count="1" selected="0">
            <x v="2"/>
          </reference>
          <reference field="23" count="1">
            <x v="1"/>
          </reference>
        </references>
      </pivotArea>
    </format>
    <format dxfId="228">
      <pivotArea dataOnly="0" labelOnly="1" outline="0" fieldPosition="0">
        <references count="2">
          <reference field="6" count="1" selected="0">
            <x v="16"/>
          </reference>
          <reference field="23" count="1">
            <x v="2"/>
          </reference>
        </references>
      </pivotArea>
    </format>
    <format dxfId="227">
      <pivotArea dataOnly="0" labelOnly="1" outline="0" fieldPosition="0">
        <references count="2">
          <reference field="6" count="1" selected="0">
            <x v="20"/>
          </reference>
          <reference field="23" count="1">
            <x v="1"/>
          </reference>
        </references>
      </pivotArea>
    </format>
    <format dxfId="226">
      <pivotArea dataOnly="0" labelOnly="1" outline="0" fieldPosition="0">
        <references count="2">
          <reference field="6" count="1" selected="0">
            <x v="27"/>
          </reference>
          <reference field="23" count="1">
            <x v="1"/>
          </reference>
        </references>
      </pivotArea>
    </format>
    <format dxfId="225">
      <pivotArea dataOnly="0" labelOnly="1" outline="0" fieldPosition="0">
        <references count="2">
          <reference field="6" count="1" selected="0">
            <x v="30"/>
          </reference>
          <reference field="23" count="1">
            <x v="1"/>
          </reference>
        </references>
      </pivotArea>
    </format>
    <format dxfId="224">
      <pivotArea dataOnly="0" labelOnly="1" outline="0" fieldPosition="0">
        <references count="2">
          <reference field="6" count="1" selected="0">
            <x v="36"/>
          </reference>
          <reference field="23" count="1">
            <x v="1"/>
          </reference>
        </references>
      </pivotArea>
    </format>
    <format dxfId="223">
      <pivotArea dataOnly="0" labelOnly="1" outline="0" fieldPosition="0">
        <references count="2">
          <reference field="6" count="1" selected="0">
            <x v="43"/>
          </reference>
          <reference field="23" count="1">
            <x v="2"/>
          </reference>
        </references>
      </pivotArea>
    </format>
    <format dxfId="222">
      <pivotArea dataOnly="0" labelOnly="1" outline="0" fieldPosition="0">
        <references count="2">
          <reference field="6" count="1" selected="0">
            <x v="44"/>
          </reference>
          <reference field="23" count="1">
            <x v="2"/>
          </reference>
        </references>
      </pivotArea>
    </format>
    <format dxfId="221">
      <pivotArea dataOnly="0" labelOnly="1" outline="0" fieldPosition="0">
        <references count="2">
          <reference field="6" count="1" selected="0">
            <x v="46"/>
          </reference>
          <reference field="23" count="1">
            <x v="1"/>
          </reference>
        </references>
      </pivotArea>
    </format>
    <format dxfId="220">
      <pivotArea dataOnly="0" labelOnly="1" outline="0" fieldPosition="0">
        <references count="2">
          <reference field="6" count="1" selected="0">
            <x v="47"/>
          </reference>
          <reference field="23" count="1">
            <x v="2"/>
          </reference>
        </references>
      </pivotArea>
    </format>
    <format dxfId="219">
      <pivotArea dataOnly="0" labelOnly="1" outline="0" fieldPosition="0">
        <references count="2">
          <reference field="6" count="1" selected="0">
            <x v="62"/>
          </reference>
          <reference field="23" count="1">
            <x v="1"/>
          </reference>
        </references>
      </pivotArea>
    </format>
    <format dxfId="218">
      <pivotArea dataOnly="0" labelOnly="1" outline="0" fieldPosition="0">
        <references count="2">
          <reference field="6" count="1" selected="0">
            <x v="68"/>
          </reference>
          <reference field="23" count="1">
            <x v="1"/>
          </reference>
        </references>
      </pivotArea>
    </format>
    <format dxfId="217">
      <pivotArea dataOnly="0" labelOnly="1" outline="0" fieldPosition="0">
        <references count="2">
          <reference field="6" count="1" selected="0">
            <x v="73"/>
          </reference>
          <reference field="23" count="1">
            <x v="2"/>
          </reference>
        </references>
      </pivotArea>
    </format>
    <format dxfId="216">
      <pivotArea dataOnly="0" labelOnly="1" outline="0" fieldPosition="0">
        <references count="2">
          <reference field="6" count="1" selected="0">
            <x v="75"/>
          </reference>
          <reference field="23" count="1">
            <x v="1"/>
          </reference>
        </references>
      </pivotArea>
    </format>
    <format dxfId="215">
      <pivotArea dataOnly="0" labelOnly="1" outline="0" fieldPosition="0">
        <references count="2">
          <reference field="6" count="1" selected="0">
            <x v="76"/>
          </reference>
          <reference field="23" count="1">
            <x v="1"/>
          </reference>
        </references>
      </pivotArea>
    </format>
    <format dxfId="214">
      <pivotArea dataOnly="0" labelOnly="1" outline="0" fieldPosition="0">
        <references count="2">
          <reference field="6" count="1" selected="0">
            <x v="77"/>
          </reference>
          <reference field="23" count="1">
            <x v="1"/>
          </reference>
        </references>
      </pivotArea>
    </format>
    <format dxfId="213">
      <pivotArea dataOnly="0" labelOnly="1" outline="0" fieldPosition="0">
        <references count="2">
          <reference field="6" count="1" selected="0">
            <x v="78"/>
          </reference>
          <reference field="23" count="1">
            <x v="1"/>
          </reference>
        </references>
      </pivotArea>
    </format>
    <format dxfId="212">
      <pivotArea dataOnly="0" labelOnly="1" outline="0" fieldPosition="0">
        <references count="2">
          <reference field="6" count="1" selected="0">
            <x v="79"/>
          </reference>
          <reference field="23" count="1">
            <x v="1"/>
          </reference>
        </references>
      </pivotArea>
    </format>
    <format dxfId="211">
      <pivotArea dataOnly="0" labelOnly="1" outline="0" fieldPosition="0">
        <references count="2">
          <reference field="6" count="1" selected="0">
            <x v="80"/>
          </reference>
          <reference field="23" count="1">
            <x v="0"/>
          </reference>
        </references>
      </pivotArea>
    </format>
    <format dxfId="210">
      <pivotArea dataOnly="0" labelOnly="1" outline="0" fieldPosition="0">
        <references count="2">
          <reference field="6" count="1" selected="0">
            <x v="81"/>
          </reference>
          <reference field="23" count="1">
            <x v="1"/>
          </reference>
        </references>
      </pivotArea>
    </format>
    <format dxfId="209">
      <pivotArea dataOnly="0" labelOnly="1" outline="0" fieldPosition="0">
        <references count="2">
          <reference field="6" count="1" selected="0">
            <x v="82"/>
          </reference>
          <reference field="23" count="1">
            <x v="1"/>
          </reference>
        </references>
      </pivotArea>
    </format>
    <format dxfId="208">
      <pivotArea dataOnly="0" labelOnly="1" outline="0" fieldPosition="0">
        <references count="2">
          <reference field="6" count="1" selected="0">
            <x v="83"/>
          </reference>
          <reference field="23" count="1">
            <x v="2"/>
          </reference>
        </references>
      </pivotArea>
    </format>
    <format dxfId="207">
      <pivotArea dataOnly="0" labelOnly="1" outline="0" fieldPosition="0">
        <references count="2">
          <reference field="6" count="1" selected="0">
            <x v="84"/>
          </reference>
          <reference field="23" count="1">
            <x v="1"/>
          </reference>
        </references>
      </pivotArea>
    </format>
    <format dxfId="206">
      <pivotArea dataOnly="0" labelOnly="1" outline="0" fieldPosition="0">
        <references count="2">
          <reference field="6" count="1" selected="0">
            <x v="85"/>
          </reference>
          <reference field="23" count="1">
            <x v="1"/>
          </reference>
        </references>
      </pivotArea>
    </format>
    <format dxfId="205">
      <pivotArea dataOnly="0" labelOnly="1" outline="0" fieldPosition="0">
        <references count="2">
          <reference field="6" count="1" selected="0">
            <x v="86"/>
          </reference>
          <reference field="23" count="1">
            <x v="1"/>
          </reference>
        </references>
      </pivotArea>
    </format>
    <format dxfId="204">
      <pivotArea dataOnly="0" labelOnly="1" outline="0" fieldPosition="0">
        <references count="2">
          <reference field="6" count="1" selected="0">
            <x v="87"/>
          </reference>
          <reference field="23" count="1">
            <x v="1"/>
          </reference>
        </references>
      </pivotArea>
    </format>
    <format dxfId="203">
      <pivotArea dataOnly="0" labelOnly="1" outline="0" fieldPosition="0">
        <references count="2">
          <reference field="6" count="1" selected="0">
            <x v="88"/>
          </reference>
          <reference field="23" count="1">
            <x v="5"/>
          </reference>
        </references>
      </pivotArea>
    </format>
    <format dxfId="202">
      <pivotArea dataOnly="0" labelOnly="1" outline="0" fieldPosition="0">
        <references count="2">
          <reference field="6" count="1" selected="0">
            <x v="89"/>
          </reference>
          <reference field="23" count="1">
            <x v="5"/>
          </reference>
        </references>
      </pivotArea>
    </format>
    <format dxfId="201">
      <pivotArea dataOnly="0" labelOnly="1" outline="0" fieldPosition="0">
        <references count="2">
          <reference field="6" count="1" selected="0">
            <x v="90"/>
          </reference>
          <reference field="23" count="1">
            <x v="1"/>
          </reference>
        </references>
      </pivotArea>
    </format>
    <format dxfId="200">
      <pivotArea dataOnly="0" labelOnly="1" outline="0" fieldPosition="0">
        <references count="2">
          <reference field="6" count="1" selected="0">
            <x v="91"/>
          </reference>
          <reference field="23" count="1">
            <x v="1"/>
          </reference>
        </references>
      </pivotArea>
    </format>
    <format dxfId="199">
      <pivotArea dataOnly="0" labelOnly="1" outline="0" fieldPosition="0">
        <references count="2">
          <reference field="6" count="1" selected="0">
            <x v="92"/>
          </reference>
          <reference field="23" count="1">
            <x v="1"/>
          </reference>
        </references>
      </pivotArea>
    </format>
    <format dxfId="198">
      <pivotArea dataOnly="0" labelOnly="1" outline="0" fieldPosition="0">
        <references count="2">
          <reference field="6" count="1" selected="0">
            <x v="93"/>
          </reference>
          <reference field="23" count="1">
            <x v="1"/>
          </reference>
        </references>
      </pivotArea>
    </format>
    <format dxfId="197">
      <pivotArea dataOnly="0" labelOnly="1" outline="0" fieldPosition="0">
        <references count="2">
          <reference field="6" count="1" selected="0">
            <x v="94"/>
          </reference>
          <reference field="23" count="1">
            <x v="1"/>
          </reference>
        </references>
      </pivotArea>
    </format>
    <format dxfId="196">
      <pivotArea dataOnly="0" labelOnly="1" outline="0" fieldPosition="0">
        <references count="2">
          <reference field="6" count="1" selected="0">
            <x v="95"/>
          </reference>
          <reference field="23" count="1">
            <x v="1"/>
          </reference>
        </references>
      </pivotArea>
    </format>
    <format dxfId="195">
      <pivotArea dataOnly="0" labelOnly="1" outline="0" fieldPosition="0">
        <references count="2">
          <reference field="6" count="1" selected="0">
            <x v="96"/>
          </reference>
          <reference field="23" count="1">
            <x v="1"/>
          </reference>
        </references>
      </pivotArea>
    </format>
    <format dxfId="194">
      <pivotArea dataOnly="0" labelOnly="1" outline="0" fieldPosition="0">
        <references count="2">
          <reference field="6" count="1" selected="0">
            <x v="97"/>
          </reference>
          <reference field="23" count="1">
            <x v="1"/>
          </reference>
        </references>
      </pivotArea>
    </format>
    <format dxfId="193">
      <pivotArea dataOnly="0" labelOnly="1" outline="0" fieldPosition="0">
        <references count="2">
          <reference field="6" count="1" selected="0">
            <x v="98"/>
          </reference>
          <reference field="23" count="1">
            <x v="4"/>
          </reference>
        </references>
      </pivotArea>
    </format>
    <format dxfId="192">
      <pivotArea dataOnly="0" labelOnly="1" outline="0" fieldPosition="0">
        <references count="2">
          <reference field="6" count="1" selected="0">
            <x v="99"/>
          </reference>
          <reference field="23" count="1">
            <x v="1"/>
          </reference>
        </references>
      </pivotArea>
    </format>
    <format dxfId="191">
      <pivotArea dataOnly="0" labelOnly="1" outline="0" fieldPosition="0">
        <references count="2">
          <reference field="6" count="1" selected="0">
            <x v="100"/>
          </reference>
          <reference field="23" count="1">
            <x v="2"/>
          </reference>
        </references>
      </pivotArea>
    </format>
    <format dxfId="190">
      <pivotArea dataOnly="0" labelOnly="1" outline="0" fieldPosition="0">
        <references count="2">
          <reference field="6" count="1" selected="0">
            <x v="101"/>
          </reference>
          <reference field="23" count="1">
            <x v="1"/>
          </reference>
        </references>
      </pivotArea>
    </format>
    <format dxfId="189">
      <pivotArea dataOnly="0" labelOnly="1" outline="0" fieldPosition="0">
        <references count="2">
          <reference field="6" count="1" selected="0">
            <x v="102"/>
          </reference>
          <reference field="23" count="1">
            <x v="1"/>
          </reference>
        </references>
      </pivotArea>
    </format>
    <format dxfId="188">
      <pivotArea dataOnly="0" labelOnly="1" outline="0" fieldPosition="0">
        <references count="2">
          <reference field="6" count="1" selected="0">
            <x v="103"/>
          </reference>
          <reference field="23" count="1">
            <x v="2"/>
          </reference>
        </references>
      </pivotArea>
    </format>
    <format dxfId="187">
      <pivotArea dataOnly="0" labelOnly="1" outline="0" fieldPosition="0">
        <references count="2">
          <reference field="6" count="1" selected="0">
            <x v="104"/>
          </reference>
          <reference field="23" count="1">
            <x v="1"/>
          </reference>
        </references>
      </pivotArea>
    </format>
    <format dxfId="186">
      <pivotArea dataOnly="0" labelOnly="1" outline="0" fieldPosition="0">
        <references count="2">
          <reference field="6" count="1" selected="0">
            <x v="105"/>
          </reference>
          <reference field="23" count="1">
            <x v="0"/>
          </reference>
        </references>
      </pivotArea>
    </format>
    <format dxfId="185">
      <pivotArea dataOnly="0" labelOnly="1" outline="0" fieldPosition="0">
        <references count="2">
          <reference field="6" count="1" selected="0">
            <x v="106"/>
          </reference>
          <reference field="23" count="1">
            <x v="1"/>
          </reference>
        </references>
      </pivotArea>
    </format>
    <format dxfId="184">
      <pivotArea dataOnly="0" labelOnly="1" outline="0" fieldPosition="0">
        <references count="2">
          <reference field="6" count="1" selected="0">
            <x v="107"/>
          </reference>
          <reference field="23" count="1">
            <x v="1"/>
          </reference>
        </references>
      </pivotArea>
    </format>
    <format dxfId="183">
      <pivotArea dataOnly="0" labelOnly="1" outline="0" fieldPosition="0">
        <references count="2">
          <reference field="6" count="1" selected="0">
            <x v="108"/>
          </reference>
          <reference field="23" count="1">
            <x v="5"/>
          </reference>
        </references>
      </pivotArea>
    </format>
    <format dxfId="182">
      <pivotArea dataOnly="0" labelOnly="1" outline="0" fieldPosition="0">
        <references count="2">
          <reference field="6" count="1" selected="0">
            <x v="109"/>
          </reference>
          <reference field="23" count="1">
            <x v="1"/>
          </reference>
        </references>
      </pivotArea>
    </format>
    <format dxfId="181">
      <pivotArea dataOnly="0" labelOnly="1" outline="0" fieldPosition="0">
        <references count="2">
          <reference field="6" count="1" selected="0">
            <x v="110"/>
          </reference>
          <reference field="23" count="1">
            <x v="1"/>
          </reference>
        </references>
      </pivotArea>
    </format>
    <format dxfId="180">
      <pivotArea dataOnly="0" labelOnly="1" outline="0" fieldPosition="0">
        <references count="2">
          <reference field="6" count="1" selected="0">
            <x v="111"/>
          </reference>
          <reference field="23" count="1">
            <x v="3"/>
          </reference>
        </references>
      </pivotArea>
    </format>
    <format dxfId="179">
      <pivotArea dataOnly="0" labelOnly="1" outline="0" fieldPosition="0">
        <references count="2">
          <reference field="6" count="1" selected="0">
            <x v="112"/>
          </reference>
          <reference field="23" count="1">
            <x v="1"/>
          </reference>
        </references>
      </pivotArea>
    </format>
    <format dxfId="178">
      <pivotArea dataOnly="0" labelOnly="1" outline="0" fieldPosition="0">
        <references count="2">
          <reference field="6" count="1" selected="0">
            <x v="113"/>
          </reference>
          <reference field="23" count="1">
            <x v="3"/>
          </reference>
        </references>
      </pivotArea>
    </format>
    <format dxfId="177">
      <pivotArea dataOnly="0" labelOnly="1" outline="0" fieldPosition="0">
        <references count="2">
          <reference field="6" count="1" selected="0">
            <x v="114"/>
          </reference>
          <reference field="23" count="1">
            <x v="1"/>
          </reference>
        </references>
      </pivotArea>
    </format>
    <format dxfId="176">
      <pivotArea dataOnly="0" labelOnly="1" outline="0" fieldPosition="0">
        <references count="2">
          <reference field="6" count="1" selected="0">
            <x v="115"/>
          </reference>
          <reference field="23" count="1">
            <x v="1"/>
          </reference>
        </references>
      </pivotArea>
    </format>
    <format dxfId="175">
      <pivotArea dataOnly="0" labelOnly="1" outline="0" fieldPosition="0">
        <references count="2">
          <reference field="6" count="1" selected="0">
            <x v="116"/>
          </reference>
          <reference field="23" count="1">
            <x v="2"/>
          </reference>
        </references>
      </pivotArea>
    </format>
    <format dxfId="174">
      <pivotArea dataOnly="0" labelOnly="1" outline="0" fieldPosition="0">
        <references count="2">
          <reference field="6" count="1" selected="0">
            <x v="117"/>
          </reference>
          <reference field="23" count="1">
            <x v="2"/>
          </reference>
        </references>
      </pivotArea>
    </format>
    <format dxfId="173">
      <pivotArea dataOnly="0" labelOnly="1" outline="0" fieldPosition="0">
        <references count="2">
          <reference field="6" count="1" selected="0">
            <x v="118"/>
          </reference>
          <reference field="23" count="1">
            <x v="2"/>
          </reference>
        </references>
      </pivotArea>
    </format>
    <format dxfId="172">
      <pivotArea dataOnly="0" labelOnly="1" outline="0" fieldPosition="0">
        <references count="2">
          <reference field="6" count="1" selected="0">
            <x v="119"/>
          </reference>
          <reference field="23" count="1">
            <x v="0"/>
          </reference>
        </references>
      </pivotArea>
    </format>
    <format dxfId="171">
      <pivotArea dataOnly="0" labelOnly="1" outline="0" fieldPosition="0">
        <references count="2">
          <reference field="6" count="1" selected="0">
            <x v="120"/>
          </reference>
          <reference field="23" count="1">
            <x v="1"/>
          </reference>
        </references>
      </pivotArea>
    </format>
    <format dxfId="170">
      <pivotArea dataOnly="0" labelOnly="1" outline="0" fieldPosition="0">
        <references count="2">
          <reference field="6" count="1" selected="0">
            <x v="121"/>
          </reference>
          <reference field="23" count="1">
            <x v="3"/>
          </reference>
        </references>
      </pivotArea>
    </format>
    <format dxfId="169">
      <pivotArea dataOnly="0" labelOnly="1" outline="0" fieldPosition="0">
        <references count="2">
          <reference field="6" count="1" selected="0">
            <x v="122"/>
          </reference>
          <reference field="23" count="1">
            <x v="2"/>
          </reference>
        </references>
      </pivotArea>
    </format>
    <format dxfId="168">
      <pivotArea dataOnly="0" labelOnly="1" outline="0" fieldPosition="0">
        <references count="2">
          <reference field="6" count="1" selected="0">
            <x v="123"/>
          </reference>
          <reference field="23" count="1">
            <x v="2"/>
          </reference>
        </references>
      </pivotArea>
    </format>
    <format dxfId="167">
      <pivotArea dataOnly="0" labelOnly="1" outline="0" fieldPosition="0">
        <references count="2">
          <reference field="6" count="1" selected="0">
            <x v="124"/>
          </reference>
          <reference field="23" count="1">
            <x v="1"/>
          </reference>
        </references>
      </pivotArea>
    </format>
    <format dxfId="166">
      <pivotArea dataOnly="0" labelOnly="1" outline="0" fieldPosition="0">
        <references count="2">
          <reference field="6" count="1" selected="0">
            <x v="125"/>
          </reference>
          <reference field="23" count="1">
            <x v="1"/>
          </reference>
        </references>
      </pivotArea>
    </format>
    <format dxfId="165">
      <pivotArea dataOnly="0" labelOnly="1" outline="0" fieldPosition="0">
        <references count="2">
          <reference field="6" count="1" selected="0">
            <x v="126"/>
          </reference>
          <reference field="23" count="1">
            <x v="5"/>
          </reference>
        </references>
      </pivotArea>
    </format>
    <format dxfId="164">
      <pivotArea dataOnly="0" labelOnly="1" outline="0" fieldPosition="0">
        <references count="2">
          <reference field="6" count="1" selected="0">
            <x v="127"/>
          </reference>
          <reference field="23" count="1">
            <x v="0"/>
          </reference>
        </references>
      </pivotArea>
    </format>
    <format dxfId="163">
      <pivotArea dataOnly="0" labelOnly="1" outline="0" fieldPosition="0">
        <references count="2">
          <reference field="6" count="1" selected="0">
            <x v="128"/>
          </reference>
          <reference field="23" count="1">
            <x v="2"/>
          </reference>
        </references>
      </pivotArea>
    </format>
    <format dxfId="162">
      <pivotArea dataOnly="0" labelOnly="1" outline="0" fieldPosition="0">
        <references count="2">
          <reference field="6" count="1" selected="0">
            <x v="129"/>
          </reference>
          <reference field="23" count="1">
            <x v="1"/>
          </reference>
        </references>
      </pivotArea>
    </format>
    <format dxfId="161">
      <pivotArea dataOnly="0" labelOnly="1" outline="0" fieldPosition="0">
        <references count="2">
          <reference field="6" count="1" selected="0">
            <x v="130"/>
          </reference>
          <reference field="23" count="1">
            <x v="2"/>
          </reference>
        </references>
      </pivotArea>
    </format>
    <format dxfId="160">
      <pivotArea dataOnly="0" labelOnly="1" outline="0" fieldPosition="0">
        <references count="2">
          <reference field="6" count="1" selected="0">
            <x v="131"/>
          </reference>
          <reference field="23" count="1">
            <x v="1"/>
          </reference>
        </references>
      </pivotArea>
    </format>
    <format dxfId="159">
      <pivotArea dataOnly="0" labelOnly="1" outline="0" fieldPosition="0">
        <references count="2">
          <reference field="6" count="1" selected="0">
            <x v="132"/>
          </reference>
          <reference field="23" count="1">
            <x v="1"/>
          </reference>
        </references>
      </pivotArea>
    </format>
    <format dxfId="158">
      <pivotArea dataOnly="0" labelOnly="1" outline="0" fieldPosition="0">
        <references count="2">
          <reference field="6" count="1" selected="0">
            <x v="133"/>
          </reference>
          <reference field="23" count="1">
            <x v="3"/>
          </reference>
        </references>
      </pivotArea>
    </format>
    <format dxfId="157">
      <pivotArea dataOnly="0" labelOnly="1" outline="0" fieldPosition="0">
        <references count="2">
          <reference field="6" count="1" selected="0">
            <x v="2"/>
          </reference>
          <reference field="23" count="1">
            <x v="1"/>
          </reference>
        </references>
      </pivotArea>
    </format>
    <format dxfId="156">
      <pivotArea dataOnly="0" labelOnly="1" outline="0" fieldPosition="0">
        <references count="2">
          <reference field="6" count="1" selected="0">
            <x v="16"/>
          </reference>
          <reference field="23" count="1">
            <x v="2"/>
          </reference>
        </references>
      </pivotArea>
    </format>
    <format dxfId="155">
      <pivotArea dataOnly="0" labelOnly="1" outline="0" fieldPosition="0">
        <references count="2">
          <reference field="6" count="1" selected="0">
            <x v="20"/>
          </reference>
          <reference field="23" count="1">
            <x v="1"/>
          </reference>
        </references>
      </pivotArea>
    </format>
    <format dxfId="154">
      <pivotArea dataOnly="0" labelOnly="1" outline="0" fieldPosition="0">
        <references count="2">
          <reference field="6" count="1" selected="0">
            <x v="27"/>
          </reference>
          <reference field="23" count="1">
            <x v="1"/>
          </reference>
        </references>
      </pivotArea>
    </format>
    <format dxfId="153">
      <pivotArea dataOnly="0" labelOnly="1" outline="0" fieldPosition="0">
        <references count="2">
          <reference field="6" count="1" selected="0">
            <x v="30"/>
          </reference>
          <reference field="23" count="1">
            <x v="1"/>
          </reference>
        </references>
      </pivotArea>
    </format>
    <format dxfId="152">
      <pivotArea dataOnly="0" labelOnly="1" outline="0" fieldPosition="0">
        <references count="2">
          <reference field="6" count="1" selected="0">
            <x v="36"/>
          </reference>
          <reference field="23" count="1">
            <x v="1"/>
          </reference>
        </references>
      </pivotArea>
    </format>
    <format dxfId="151">
      <pivotArea dataOnly="0" labelOnly="1" outline="0" fieldPosition="0">
        <references count="2">
          <reference field="6" count="1" selected="0">
            <x v="43"/>
          </reference>
          <reference field="23" count="1">
            <x v="2"/>
          </reference>
        </references>
      </pivotArea>
    </format>
    <format dxfId="150">
      <pivotArea dataOnly="0" labelOnly="1" outline="0" fieldPosition="0">
        <references count="2">
          <reference field="6" count="1" selected="0">
            <x v="44"/>
          </reference>
          <reference field="23" count="1">
            <x v="2"/>
          </reference>
        </references>
      </pivotArea>
    </format>
    <format dxfId="149">
      <pivotArea dataOnly="0" labelOnly="1" outline="0" fieldPosition="0">
        <references count="2">
          <reference field="6" count="1" selected="0">
            <x v="46"/>
          </reference>
          <reference field="23" count="1">
            <x v="1"/>
          </reference>
        </references>
      </pivotArea>
    </format>
    <format dxfId="148">
      <pivotArea dataOnly="0" labelOnly="1" outline="0" fieldPosition="0">
        <references count="2">
          <reference field="6" count="1" selected="0">
            <x v="47"/>
          </reference>
          <reference field="23" count="1">
            <x v="2"/>
          </reference>
        </references>
      </pivotArea>
    </format>
    <format dxfId="147">
      <pivotArea dataOnly="0" labelOnly="1" outline="0" fieldPosition="0">
        <references count="2">
          <reference field="6" count="1" selected="0">
            <x v="62"/>
          </reference>
          <reference field="23" count="1">
            <x v="1"/>
          </reference>
        </references>
      </pivotArea>
    </format>
    <format dxfId="146">
      <pivotArea dataOnly="0" labelOnly="1" outline="0" fieldPosition="0">
        <references count="2">
          <reference field="6" count="1" selected="0">
            <x v="68"/>
          </reference>
          <reference field="23" count="1">
            <x v="1"/>
          </reference>
        </references>
      </pivotArea>
    </format>
    <format dxfId="145">
      <pivotArea dataOnly="0" labelOnly="1" outline="0" fieldPosition="0">
        <references count="2">
          <reference field="6" count="1" selected="0">
            <x v="73"/>
          </reference>
          <reference field="23" count="1">
            <x v="2"/>
          </reference>
        </references>
      </pivotArea>
    </format>
    <format dxfId="144">
      <pivotArea dataOnly="0" labelOnly="1" outline="0" fieldPosition="0">
        <references count="2">
          <reference field="6" count="1" selected="0">
            <x v="75"/>
          </reference>
          <reference field="23" count="1">
            <x v="1"/>
          </reference>
        </references>
      </pivotArea>
    </format>
    <format dxfId="143">
      <pivotArea dataOnly="0" labelOnly="1" outline="0" fieldPosition="0">
        <references count="2">
          <reference field="6" count="1" selected="0">
            <x v="76"/>
          </reference>
          <reference field="23" count="1">
            <x v="1"/>
          </reference>
        </references>
      </pivotArea>
    </format>
    <format dxfId="142">
      <pivotArea dataOnly="0" labelOnly="1" outline="0" fieldPosition="0">
        <references count="2">
          <reference field="6" count="1" selected="0">
            <x v="77"/>
          </reference>
          <reference field="23" count="1">
            <x v="1"/>
          </reference>
        </references>
      </pivotArea>
    </format>
    <format dxfId="141">
      <pivotArea dataOnly="0" labelOnly="1" outline="0" fieldPosition="0">
        <references count="2">
          <reference field="6" count="1" selected="0">
            <x v="78"/>
          </reference>
          <reference field="23" count="1">
            <x v="1"/>
          </reference>
        </references>
      </pivotArea>
    </format>
    <format dxfId="140">
      <pivotArea dataOnly="0" labelOnly="1" outline="0" fieldPosition="0">
        <references count="2">
          <reference field="6" count="1" selected="0">
            <x v="79"/>
          </reference>
          <reference field="23" count="1">
            <x v="1"/>
          </reference>
        </references>
      </pivotArea>
    </format>
    <format dxfId="139">
      <pivotArea dataOnly="0" labelOnly="1" outline="0" fieldPosition="0">
        <references count="2">
          <reference field="6" count="1" selected="0">
            <x v="80"/>
          </reference>
          <reference field="23" count="1">
            <x v="0"/>
          </reference>
        </references>
      </pivotArea>
    </format>
    <format dxfId="138">
      <pivotArea dataOnly="0" labelOnly="1" outline="0" fieldPosition="0">
        <references count="2">
          <reference field="6" count="1" selected="0">
            <x v="81"/>
          </reference>
          <reference field="23" count="1">
            <x v="1"/>
          </reference>
        </references>
      </pivotArea>
    </format>
    <format dxfId="137">
      <pivotArea dataOnly="0" labelOnly="1" outline="0" fieldPosition="0">
        <references count="2">
          <reference field="6" count="1" selected="0">
            <x v="82"/>
          </reference>
          <reference field="23" count="1">
            <x v="1"/>
          </reference>
        </references>
      </pivotArea>
    </format>
    <format dxfId="136">
      <pivotArea dataOnly="0" labelOnly="1" outline="0" fieldPosition="0">
        <references count="2">
          <reference field="6" count="1" selected="0">
            <x v="83"/>
          </reference>
          <reference field="23" count="1">
            <x v="2"/>
          </reference>
        </references>
      </pivotArea>
    </format>
    <format dxfId="135">
      <pivotArea dataOnly="0" labelOnly="1" outline="0" fieldPosition="0">
        <references count="2">
          <reference field="6" count="1" selected="0">
            <x v="84"/>
          </reference>
          <reference field="23" count="1">
            <x v="1"/>
          </reference>
        </references>
      </pivotArea>
    </format>
    <format dxfId="134">
      <pivotArea dataOnly="0" labelOnly="1" outline="0" fieldPosition="0">
        <references count="2">
          <reference field="6" count="1" selected="0">
            <x v="85"/>
          </reference>
          <reference field="23" count="1">
            <x v="1"/>
          </reference>
        </references>
      </pivotArea>
    </format>
    <format dxfId="133">
      <pivotArea dataOnly="0" labelOnly="1" outline="0" fieldPosition="0">
        <references count="2">
          <reference field="6" count="1" selected="0">
            <x v="86"/>
          </reference>
          <reference field="23" count="1">
            <x v="1"/>
          </reference>
        </references>
      </pivotArea>
    </format>
    <format dxfId="132">
      <pivotArea dataOnly="0" labelOnly="1" outline="0" fieldPosition="0">
        <references count="2">
          <reference field="6" count="1" selected="0">
            <x v="87"/>
          </reference>
          <reference field="23" count="1">
            <x v="1"/>
          </reference>
        </references>
      </pivotArea>
    </format>
    <format dxfId="131">
      <pivotArea dataOnly="0" labelOnly="1" outline="0" fieldPosition="0">
        <references count="2">
          <reference field="6" count="1" selected="0">
            <x v="88"/>
          </reference>
          <reference field="23" count="1">
            <x v="5"/>
          </reference>
        </references>
      </pivotArea>
    </format>
    <format dxfId="130">
      <pivotArea dataOnly="0" labelOnly="1" outline="0" fieldPosition="0">
        <references count="2">
          <reference field="6" count="1" selected="0">
            <x v="89"/>
          </reference>
          <reference field="23" count="1">
            <x v="5"/>
          </reference>
        </references>
      </pivotArea>
    </format>
    <format dxfId="129">
      <pivotArea dataOnly="0" labelOnly="1" outline="0" fieldPosition="0">
        <references count="2">
          <reference field="6" count="1" selected="0">
            <x v="90"/>
          </reference>
          <reference field="23" count="1">
            <x v="1"/>
          </reference>
        </references>
      </pivotArea>
    </format>
    <format dxfId="128">
      <pivotArea dataOnly="0" labelOnly="1" outline="0" fieldPosition="0">
        <references count="2">
          <reference field="6" count="1" selected="0">
            <x v="91"/>
          </reference>
          <reference field="23" count="1">
            <x v="1"/>
          </reference>
        </references>
      </pivotArea>
    </format>
    <format dxfId="127">
      <pivotArea dataOnly="0" labelOnly="1" outline="0" fieldPosition="0">
        <references count="2">
          <reference field="6" count="1" selected="0">
            <x v="92"/>
          </reference>
          <reference field="23" count="1">
            <x v="1"/>
          </reference>
        </references>
      </pivotArea>
    </format>
    <format dxfId="126">
      <pivotArea dataOnly="0" labelOnly="1" outline="0" fieldPosition="0">
        <references count="2">
          <reference field="6" count="1" selected="0">
            <x v="93"/>
          </reference>
          <reference field="23" count="1">
            <x v="1"/>
          </reference>
        </references>
      </pivotArea>
    </format>
    <format dxfId="125">
      <pivotArea dataOnly="0" labelOnly="1" outline="0" fieldPosition="0">
        <references count="2">
          <reference field="6" count="1" selected="0">
            <x v="94"/>
          </reference>
          <reference field="23" count="1">
            <x v="1"/>
          </reference>
        </references>
      </pivotArea>
    </format>
    <format dxfId="124">
      <pivotArea dataOnly="0" labelOnly="1" outline="0" fieldPosition="0">
        <references count="2">
          <reference field="6" count="1" selected="0">
            <x v="95"/>
          </reference>
          <reference field="23" count="1">
            <x v="1"/>
          </reference>
        </references>
      </pivotArea>
    </format>
    <format dxfId="123">
      <pivotArea dataOnly="0" labelOnly="1" outline="0" fieldPosition="0">
        <references count="2">
          <reference field="6" count="1" selected="0">
            <x v="96"/>
          </reference>
          <reference field="23" count="1">
            <x v="1"/>
          </reference>
        </references>
      </pivotArea>
    </format>
    <format dxfId="122">
      <pivotArea dataOnly="0" labelOnly="1" outline="0" fieldPosition="0">
        <references count="2">
          <reference field="6" count="1" selected="0">
            <x v="97"/>
          </reference>
          <reference field="23" count="1">
            <x v="1"/>
          </reference>
        </references>
      </pivotArea>
    </format>
    <format dxfId="121">
      <pivotArea dataOnly="0" labelOnly="1" outline="0" fieldPosition="0">
        <references count="2">
          <reference field="6" count="1" selected="0">
            <x v="98"/>
          </reference>
          <reference field="23" count="1">
            <x v="4"/>
          </reference>
        </references>
      </pivotArea>
    </format>
    <format dxfId="120">
      <pivotArea dataOnly="0" labelOnly="1" outline="0" fieldPosition="0">
        <references count="2">
          <reference field="6" count="1" selected="0">
            <x v="99"/>
          </reference>
          <reference field="23" count="1">
            <x v="1"/>
          </reference>
        </references>
      </pivotArea>
    </format>
    <format dxfId="119">
      <pivotArea dataOnly="0" labelOnly="1" outline="0" fieldPosition="0">
        <references count="2">
          <reference field="6" count="1" selected="0">
            <x v="100"/>
          </reference>
          <reference field="23" count="1">
            <x v="2"/>
          </reference>
        </references>
      </pivotArea>
    </format>
    <format dxfId="118">
      <pivotArea dataOnly="0" labelOnly="1" outline="0" fieldPosition="0">
        <references count="2">
          <reference field="6" count="1" selected="0">
            <x v="101"/>
          </reference>
          <reference field="23" count="1">
            <x v="1"/>
          </reference>
        </references>
      </pivotArea>
    </format>
    <format dxfId="117">
      <pivotArea dataOnly="0" labelOnly="1" outline="0" fieldPosition="0">
        <references count="2">
          <reference field="6" count="1" selected="0">
            <x v="102"/>
          </reference>
          <reference field="23" count="1">
            <x v="1"/>
          </reference>
        </references>
      </pivotArea>
    </format>
    <format dxfId="116">
      <pivotArea dataOnly="0" labelOnly="1" outline="0" fieldPosition="0">
        <references count="2">
          <reference field="6" count="1" selected="0">
            <x v="103"/>
          </reference>
          <reference field="23" count="1">
            <x v="2"/>
          </reference>
        </references>
      </pivotArea>
    </format>
    <format dxfId="115">
      <pivotArea dataOnly="0" labelOnly="1" outline="0" fieldPosition="0">
        <references count="2">
          <reference field="6" count="1" selected="0">
            <x v="104"/>
          </reference>
          <reference field="23" count="1">
            <x v="1"/>
          </reference>
        </references>
      </pivotArea>
    </format>
    <format dxfId="114">
      <pivotArea dataOnly="0" labelOnly="1" outline="0" fieldPosition="0">
        <references count="2">
          <reference field="6" count="1" selected="0">
            <x v="105"/>
          </reference>
          <reference field="23" count="1">
            <x v="0"/>
          </reference>
        </references>
      </pivotArea>
    </format>
    <format dxfId="113">
      <pivotArea dataOnly="0" labelOnly="1" outline="0" fieldPosition="0">
        <references count="2">
          <reference field="6" count="1" selected="0">
            <x v="106"/>
          </reference>
          <reference field="23" count="1">
            <x v="1"/>
          </reference>
        </references>
      </pivotArea>
    </format>
    <format dxfId="112">
      <pivotArea dataOnly="0" labelOnly="1" outline="0" fieldPosition="0">
        <references count="2">
          <reference field="6" count="1" selected="0">
            <x v="107"/>
          </reference>
          <reference field="23" count="1">
            <x v="1"/>
          </reference>
        </references>
      </pivotArea>
    </format>
    <format dxfId="111">
      <pivotArea dataOnly="0" labelOnly="1" outline="0" fieldPosition="0">
        <references count="2">
          <reference field="6" count="1" selected="0">
            <x v="108"/>
          </reference>
          <reference field="23" count="1">
            <x v="5"/>
          </reference>
        </references>
      </pivotArea>
    </format>
    <format dxfId="110">
      <pivotArea dataOnly="0" labelOnly="1" outline="0" fieldPosition="0">
        <references count="2">
          <reference field="6" count="1" selected="0">
            <x v="109"/>
          </reference>
          <reference field="23" count="1">
            <x v="1"/>
          </reference>
        </references>
      </pivotArea>
    </format>
    <format dxfId="109">
      <pivotArea dataOnly="0" labelOnly="1" outline="0" fieldPosition="0">
        <references count="2">
          <reference field="6" count="1" selected="0">
            <x v="110"/>
          </reference>
          <reference field="23" count="1">
            <x v="1"/>
          </reference>
        </references>
      </pivotArea>
    </format>
    <format dxfId="108">
      <pivotArea dataOnly="0" labelOnly="1" outline="0" fieldPosition="0">
        <references count="2">
          <reference field="6" count="1" selected="0">
            <x v="111"/>
          </reference>
          <reference field="23" count="1">
            <x v="3"/>
          </reference>
        </references>
      </pivotArea>
    </format>
    <format dxfId="107">
      <pivotArea dataOnly="0" labelOnly="1" outline="0" fieldPosition="0">
        <references count="2">
          <reference field="6" count="1" selected="0">
            <x v="112"/>
          </reference>
          <reference field="23" count="1">
            <x v="1"/>
          </reference>
        </references>
      </pivotArea>
    </format>
    <format dxfId="106">
      <pivotArea dataOnly="0" labelOnly="1" outline="0" fieldPosition="0">
        <references count="2">
          <reference field="6" count="1" selected="0">
            <x v="113"/>
          </reference>
          <reference field="23" count="1">
            <x v="3"/>
          </reference>
        </references>
      </pivotArea>
    </format>
    <format dxfId="105">
      <pivotArea dataOnly="0" labelOnly="1" outline="0" fieldPosition="0">
        <references count="2">
          <reference field="6" count="1" selected="0">
            <x v="114"/>
          </reference>
          <reference field="23" count="1">
            <x v="1"/>
          </reference>
        </references>
      </pivotArea>
    </format>
    <format dxfId="104">
      <pivotArea dataOnly="0" labelOnly="1" outline="0" fieldPosition="0">
        <references count="2">
          <reference field="6" count="1" selected="0">
            <x v="115"/>
          </reference>
          <reference field="23" count="1">
            <x v="1"/>
          </reference>
        </references>
      </pivotArea>
    </format>
    <format dxfId="103">
      <pivotArea dataOnly="0" labelOnly="1" outline="0" fieldPosition="0">
        <references count="2">
          <reference field="6" count="1" selected="0">
            <x v="116"/>
          </reference>
          <reference field="23" count="1">
            <x v="2"/>
          </reference>
        </references>
      </pivotArea>
    </format>
    <format dxfId="102">
      <pivotArea dataOnly="0" labelOnly="1" outline="0" fieldPosition="0">
        <references count="2">
          <reference field="6" count="1" selected="0">
            <x v="117"/>
          </reference>
          <reference field="23" count="1">
            <x v="2"/>
          </reference>
        </references>
      </pivotArea>
    </format>
    <format dxfId="101">
      <pivotArea dataOnly="0" labelOnly="1" outline="0" fieldPosition="0">
        <references count="2">
          <reference field="6" count="1" selected="0">
            <x v="118"/>
          </reference>
          <reference field="23" count="1">
            <x v="2"/>
          </reference>
        </references>
      </pivotArea>
    </format>
    <format dxfId="100">
      <pivotArea dataOnly="0" labelOnly="1" outline="0" fieldPosition="0">
        <references count="2">
          <reference field="6" count="1" selected="0">
            <x v="119"/>
          </reference>
          <reference field="23" count="1">
            <x v="0"/>
          </reference>
        </references>
      </pivotArea>
    </format>
    <format dxfId="99">
      <pivotArea dataOnly="0" labelOnly="1" outline="0" fieldPosition="0">
        <references count="2">
          <reference field="6" count="1" selected="0">
            <x v="120"/>
          </reference>
          <reference field="23" count="1">
            <x v="1"/>
          </reference>
        </references>
      </pivotArea>
    </format>
    <format dxfId="98">
      <pivotArea dataOnly="0" labelOnly="1" outline="0" fieldPosition="0">
        <references count="2">
          <reference field="6" count="1" selected="0">
            <x v="121"/>
          </reference>
          <reference field="23" count="1">
            <x v="3"/>
          </reference>
        </references>
      </pivotArea>
    </format>
    <format dxfId="97">
      <pivotArea dataOnly="0" labelOnly="1" outline="0" fieldPosition="0">
        <references count="2">
          <reference field="6" count="1" selected="0">
            <x v="122"/>
          </reference>
          <reference field="23" count="1">
            <x v="2"/>
          </reference>
        </references>
      </pivotArea>
    </format>
    <format dxfId="96">
      <pivotArea dataOnly="0" labelOnly="1" outline="0" fieldPosition="0">
        <references count="2">
          <reference field="6" count="1" selected="0">
            <x v="123"/>
          </reference>
          <reference field="23" count="1">
            <x v="2"/>
          </reference>
        </references>
      </pivotArea>
    </format>
    <format dxfId="95">
      <pivotArea dataOnly="0" labelOnly="1" outline="0" fieldPosition="0">
        <references count="2">
          <reference field="6" count="1" selected="0">
            <x v="124"/>
          </reference>
          <reference field="23" count="1">
            <x v="1"/>
          </reference>
        </references>
      </pivotArea>
    </format>
    <format dxfId="94">
      <pivotArea dataOnly="0" labelOnly="1" outline="0" fieldPosition="0">
        <references count="2">
          <reference field="6" count="1" selected="0">
            <x v="125"/>
          </reference>
          <reference field="23" count="1">
            <x v="1"/>
          </reference>
        </references>
      </pivotArea>
    </format>
    <format dxfId="93">
      <pivotArea dataOnly="0" labelOnly="1" outline="0" fieldPosition="0">
        <references count="2">
          <reference field="6" count="1" selected="0">
            <x v="126"/>
          </reference>
          <reference field="23" count="1">
            <x v="5"/>
          </reference>
        </references>
      </pivotArea>
    </format>
    <format dxfId="92">
      <pivotArea dataOnly="0" labelOnly="1" outline="0" fieldPosition="0">
        <references count="2">
          <reference field="6" count="1" selected="0">
            <x v="127"/>
          </reference>
          <reference field="23" count="1">
            <x v="0"/>
          </reference>
        </references>
      </pivotArea>
    </format>
    <format dxfId="91">
      <pivotArea dataOnly="0" labelOnly="1" outline="0" fieldPosition="0">
        <references count="2">
          <reference field="6" count="1" selected="0">
            <x v="128"/>
          </reference>
          <reference field="23" count="1">
            <x v="2"/>
          </reference>
        </references>
      </pivotArea>
    </format>
    <format dxfId="90">
      <pivotArea dataOnly="0" labelOnly="1" outline="0" fieldPosition="0">
        <references count="2">
          <reference field="6" count="1" selected="0">
            <x v="129"/>
          </reference>
          <reference field="23" count="1">
            <x v="1"/>
          </reference>
        </references>
      </pivotArea>
    </format>
    <format dxfId="89">
      <pivotArea dataOnly="0" labelOnly="1" outline="0" fieldPosition="0">
        <references count="2">
          <reference field="6" count="1" selected="0">
            <x v="130"/>
          </reference>
          <reference field="23" count="1">
            <x v="2"/>
          </reference>
        </references>
      </pivotArea>
    </format>
    <format dxfId="88">
      <pivotArea dataOnly="0" labelOnly="1" outline="0" fieldPosition="0">
        <references count="2">
          <reference field="6" count="1" selected="0">
            <x v="131"/>
          </reference>
          <reference field="23" count="1">
            <x v="1"/>
          </reference>
        </references>
      </pivotArea>
    </format>
    <format dxfId="87">
      <pivotArea dataOnly="0" labelOnly="1" outline="0" fieldPosition="0">
        <references count="2">
          <reference field="6" count="1" selected="0">
            <x v="132"/>
          </reference>
          <reference field="23" count="1">
            <x v="1"/>
          </reference>
        </references>
      </pivotArea>
    </format>
    <format dxfId="86">
      <pivotArea dataOnly="0" labelOnly="1" outline="0" fieldPosition="0">
        <references count="2">
          <reference field="6" count="1" selected="0">
            <x v="133"/>
          </reference>
          <reference field="23" count="1">
            <x v="3"/>
          </reference>
        </references>
      </pivotArea>
    </format>
    <format dxfId="85">
      <pivotArea dataOnly="0" labelOnly="1" outline="0" fieldPosition="0">
        <references count="1">
          <reference field="6" count="26">
            <x v="75"/>
            <x v="76"/>
            <x v="77"/>
            <x v="78"/>
            <x v="79"/>
            <x v="80"/>
            <x v="81"/>
            <x v="82"/>
            <x v="83"/>
            <x v="84"/>
            <x v="85"/>
            <x v="86"/>
            <x v="87"/>
            <x v="88"/>
            <x v="89"/>
            <x v="90"/>
            <x v="91"/>
            <x v="92"/>
            <x v="93"/>
            <x v="94"/>
            <x v="95"/>
            <x v="96"/>
            <x v="97"/>
            <x v="98"/>
            <x v="99"/>
            <x v="100"/>
          </reference>
        </references>
      </pivotArea>
    </format>
    <format dxfId="84">
      <pivotArea dataOnly="0" labelOnly="1" outline="0" fieldPosition="0">
        <references count="1">
          <reference field="6" count="19">
            <x v="115"/>
            <x v="116"/>
            <x v="117"/>
            <x v="118"/>
            <x v="119"/>
            <x v="120"/>
            <x v="121"/>
            <x v="122"/>
            <x v="123"/>
            <x v="124"/>
            <x v="125"/>
            <x v="126"/>
            <x v="127"/>
            <x v="128"/>
            <x v="129"/>
            <x v="130"/>
            <x v="131"/>
            <x v="132"/>
            <x v="133"/>
          </reference>
        </references>
      </pivotArea>
    </format>
    <format dxfId="83">
      <pivotArea outline="0" collapsedLevelsAreSubtotals="1" fieldPosition="0"/>
    </format>
    <format dxfId="82">
      <pivotArea outline="0" collapsedLevelsAreSubtotals="1" fieldPosition="0"/>
    </format>
    <format dxfId="81">
      <pivotArea outline="0" collapsedLevelsAreSubtotals="1" fieldPosition="0">
        <references count="1">
          <reference field="4294967294" count="1" selected="0">
            <x v="1"/>
          </reference>
        </references>
      </pivotArea>
    </format>
    <format dxfId="80">
      <pivotArea outline="0" collapsedLevelsAreSubtotals="1" fieldPosition="0">
        <references count="1">
          <reference field="4294967294" count="1" selected="0">
            <x v="0"/>
          </reference>
        </references>
      </pivotArea>
    </format>
    <format dxfId="79">
      <pivotArea outline="0" collapsedLevelsAreSubtotals="1" fieldPosition="0">
        <references count="2">
          <reference field="6" count="1" selected="0">
            <x v="82"/>
          </reference>
          <reference field="23" count="1" selected="0">
            <x v="1"/>
          </reference>
        </references>
      </pivotArea>
    </format>
    <format dxfId="78">
      <pivotArea outline="0" collapsedLevelsAreSubtotals="1" fieldPosition="0">
        <references count="2">
          <reference field="6" count="1" selected="0">
            <x v="83"/>
          </reference>
          <reference field="23" count="1" selected="0">
            <x v="2"/>
          </reference>
        </references>
      </pivotArea>
    </format>
    <format dxfId="77">
      <pivotArea outline="0" collapsedLevelsAreSubtotals="1" fieldPosition="0">
        <references count="2">
          <reference field="6" count="1" selected="0">
            <x v="94"/>
          </reference>
          <reference field="23" count="1" selected="0">
            <x v="1"/>
          </reference>
        </references>
      </pivotArea>
    </format>
    <format dxfId="76">
      <pivotArea dataOnly="0" labelOnly="1" outline="0" fieldPosition="0">
        <references count="2">
          <reference field="6" count="1" selected="0">
            <x v="100"/>
          </reference>
          <reference field="23" count="1">
            <x v="2"/>
          </reference>
        </references>
      </pivotArea>
    </format>
    <format dxfId="75">
      <pivotArea dataOnly="0" labelOnly="1" outline="0" fieldPosition="0">
        <references count="2">
          <reference field="6" count="1" selected="0">
            <x v="100"/>
          </reference>
          <reference field="23" count="1">
            <x v="2"/>
          </reference>
        </references>
      </pivotArea>
    </format>
    <format dxfId="74">
      <pivotArea dataOnly="0" labelOnly="1" outline="0" fieldPosition="0">
        <references count="2">
          <reference field="6" count="1" selected="0">
            <x v="98"/>
          </reference>
          <reference field="23" count="1">
            <x v="1"/>
          </reference>
        </references>
      </pivotArea>
    </format>
    <format dxfId="73">
      <pivotArea outline="0" collapsedLevelsAreSubtotals="1" fieldPosition="0">
        <references count="3">
          <reference field="4294967294" count="1" selected="0">
            <x v="1"/>
          </reference>
          <reference field="6" count="1" selected="0">
            <x v="68"/>
          </reference>
          <reference field="23" count="1" selected="0">
            <x v="1"/>
          </reference>
        </references>
      </pivotArea>
    </format>
    <format dxfId="72">
      <pivotArea outline="0" collapsedLevelsAreSubtotals="1" fieldPosition="0">
        <references count="3">
          <reference field="4294967294" count="1" selected="0">
            <x v="0"/>
          </reference>
          <reference field="6" count="1" selected="0">
            <x v="68"/>
          </reference>
          <reference field="23" count="1" selected="0">
            <x v="1"/>
          </reference>
        </references>
      </pivotArea>
    </format>
    <format dxfId="71">
      <pivotArea outline="0" collapsedLevelsAreSubtotals="1" fieldPosition="0">
        <references count="2">
          <reference field="6" count="1" selected="0">
            <x v="117"/>
          </reference>
          <reference field="23" count="1" selected="0">
            <x v="2"/>
          </reference>
        </references>
      </pivotArea>
    </format>
    <format dxfId="70">
      <pivotArea outline="0" collapsedLevelsAreSubtotals="1" fieldPosition="0">
        <references count="3">
          <reference field="4294967294" count="1" selected="0">
            <x v="1"/>
          </reference>
          <reference field="6" count="1" selected="0">
            <x v="117"/>
          </reference>
          <reference field="23" count="1" selected="0">
            <x v="2"/>
          </reference>
        </references>
      </pivotArea>
    </format>
    <format dxfId="69">
      <pivotArea outline="0" collapsedLevelsAreSubtotals="1" fieldPosition="0">
        <references count="3">
          <reference field="4294967294" count="1" selected="0">
            <x v="1"/>
          </reference>
          <reference field="6" count="1" selected="0">
            <x v="117"/>
          </reference>
          <reference field="23" count="1" selected="0">
            <x v="2"/>
          </reference>
        </references>
      </pivotArea>
    </format>
    <format dxfId="68">
      <pivotArea outline="0" collapsedLevelsAreSubtotals="1" fieldPosition="0">
        <references count="2">
          <reference field="6" count="2" selected="0">
            <x v="120"/>
            <x v="121"/>
          </reference>
          <reference field="23" count="2" selected="0">
            <x v="1"/>
            <x v="3"/>
          </reference>
        </references>
      </pivotArea>
    </format>
    <format dxfId="67">
      <pivotArea outline="0" collapsedLevelsAreSubtotals="1" fieldPosition="0">
        <references count="1">
          <reference field="6" count="1" selected="0">
            <x v="122"/>
          </reference>
        </references>
      </pivotArea>
    </format>
    <format dxfId="66">
      <pivotArea outline="0" collapsedLevelsAreSubtotals="1" fieldPosition="0">
        <references count="2">
          <reference field="6" count="1" selected="0">
            <x v="2"/>
          </reference>
          <reference field="23" count="1" selected="0">
            <x v="1"/>
          </reference>
        </references>
      </pivotArea>
    </format>
    <format dxfId="65">
      <pivotArea outline="0" collapsedLevelsAreSubtotals="1" fieldPosition="0">
        <references count="2">
          <reference field="6" count="1" selected="0">
            <x v="16"/>
          </reference>
          <reference field="23" count="1" selected="0">
            <x v="2"/>
          </reference>
        </references>
      </pivotArea>
    </format>
    <format dxfId="64">
      <pivotArea outline="0" collapsedLevelsAreSubtotals="1" fieldPosition="0">
        <references count="2">
          <reference field="6" count="1" selected="0">
            <x v="20"/>
          </reference>
          <reference field="23" count="1" selected="0">
            <x v="1"/>
          </reference>
        </references>
      </pivotArea>
    </format>
    <format dxfId="63">
      <pivotArea outline="0" collapsedLevelsAreSubtotals="1" fieldPosition="0">
        <references count="2">
          <reference field="6" count="1" selected="0">
            <x v="30"/>
          </reference>
          <reference field="23" count="1" selected="0">
            <x v="1"/>
          </reference>
        </references>
      </pivotArea>
    </format>
    <format dxfId="62">
      <pivotArea outline="0" collapsedLevelsAreSubtotals="1" fieldPosition="0">
        <references count="2">
          <reference field="6" count="2" selected="0">
            <x v="36"/>
            <x v="43"/>
          </reference>
          <reference field="23" count="2" selected="0">
            <x v="1"/>
            <x v="2"/>
          </reference>
        </references>
      </pivotArea>
    </format>
    <format dxfId="61">
      <pivotArea outline="0" collapsedLevelsAreSubtotals="1" fieldPosition="0">
        <references count="2">
          <reference field="6" count="1" selected="0">
            <x v="44"/>
          </reference>
          <reference field="23" count="1" selected="0">
            <x v="2"/>
          </reference>
        </references>
      </pivotArea>
    </format>
    <format dxfId="60">
      <pivotArea outline="0" collapsedLevelsAreSubtotals="1" fieldPosition="0">
        <references count="2">
          <reference field="6" count="1" selected="0">
            <x v="47"/>
          </reference>
          <reference field="23" count="1" selected="0">
            <x v="2"/>
          </reference>
        </references>
      </pivotArea>
    </format>
    <format dxfId="59">
      <pivotArea outline="0" collapsedLevelsAreSubtotals="1" fieldPosition="0">
        <references count="2">
          <reference field="6" count="1" selected="0">
            <x v="123"/>
          </reference>
          <reference field="23" count="1" selected="0">
            <x v="2"/>
          </reference>
        </references>
      </pivotArea>
    </format>
    <format dxfId="58">
      <pivotArea outline="0" collapsedLevelsAreSubtotals="1" fieldPosition="0">
        <references count="2">
          <reference field="6" count="1" selected="0">
            <x v="124"/>
          </reference>
          <reference field="23" count="1" selected="0">
            <x v="1"/>
          </reference>
        </references>
      </pivotArea>
    </format>
    <format dxfId="57">
      <pivotArea outline="0" collapsedLevelsAreSubtotals="1" fieldPosition="0">
        <references count="2">
          <reference field="6" count="1" selected="0">
            <x v="125"/>
          </reference>
          <reference field="23" count="1" selected="0">
            <x v="1"/>
          </reference>
        </references>
      </pivotArea>
    </format>
    <format dxfId="56">
      <pivotArea outline="0" collapsedLevelsAreSubtotals="1" fieldPosition="0">
        <references count="1">
          <reference field="6" count="2" selected="0">
            <x v="127"/>
            <x v="128"/>
          </reference>
        </references>
      </pivotArea>
    </format>
    <format dxfId="55">
      <pivotArea outline="0" collapsedLevelsAreSubtotals="1" fieldPosition="0">
        <references count="1">
          <reference field="6" count="1" selected="0">
            <x v="128"/>
          </reference>
        </references>
      </pivotArea>
    </format>
    <format dxfId="54">
      <pivotArea outline="0" collapsedLevelsAreSubtotals="1" fieldPosition="0">
        <references count="1">
          <reference field="6" count="2" selected="0">
            <x v="127"/>
            <x v="128"/>
          </reference>
        </references>
      </pivotArea>
    </format>
    <format dxfId="53">
      <pivotArea dataOnly="0" labelOnly="1" outline="0" fieldPosition="0">
        <references count="2">
          <reference field="6" count="1" selected="0">
            <x v="115"/>
          </reference>
          <reference field="23" count="1">
            <x v="1"/>
          </reference>
        </references>
      </pivotArea>
    </format>
    <format dxfId="52">
      <pivotArea dataOnly="0" labelOnly="1" outline="0" fieldPosition="0">
        <references count="2">
          <reference field="6" count="1" selected="0">
            <x v="116"/>
          </reference>
          <reference field="23" count="1">
            <x v="2"/>
          </reference>
        </references>
      </pivotArea>
    </format>
    <format dxfId="51">
      <pivotArea dataOnly="0" labelOnly="1" outline="0" fieldPosition="0">
        <references count="2">
          <reference field="6" count="1" selected="0">
            <x v="117"/>
          </reference>
          <reference field="23" count="1">
            <x v="1"/>
          </reference>
        </references>
      </pivotArea>
    </format>
    <format dxfId="50">
      <pivotArea dataOnly="0" labelOnly="1" outline="0" fieldPosition="0">
        <references count="2">
          <reference field="6" count="1" selected="0">
            <x v="118"/>
          </reference>
          <reference field="23" count="1">
            <x v="2"/>
          </reference>
        </references>
      </pivotArea>
    </format>
    <format dxfId="49">
      <pivotArea dataOnly="0" labelOnly="1" outline="0" fieldPosition="0">
        <references count="2">
          <reference field="6" count="1" selected="0">
            <x v="119"/>
          </reference>
          <reference field="23" count="1">
            <x v="0"/>
          </reference>
        </references>
      </pivotArea>
    </format>
    <format dxfId="48">
      <pivotArea dataOnly="0" labelOnly="1" outline="0" fieldPosition="0">
        <references count="2">
          <reference field="6" count="1" selected="0">
            <x v="115"/>
          </reference>
          <reference field="23" count="1">
            <x v="1"/>
          </reference>
        </references>
      </pivotArea>
    </format>
    <format dxfId="47">
      <pivotArea dataOnly="0" labelOnly="1" outline="0" fieldPosition="0">
        <references count="2">
          <reference field="6" count="1" selected="0">
            <x v="116"/>
          </reference>
          <reference field="23" count="1">
            <x v="2"/>
          </reference>
        </references>
      </pivotArea>
    </format>
    <format dxfId="46">
      <pivotArea dataOnly="0" labelOnly="1" outline="0" fieldPosition="0">
        <references count="2">
          <reference field="6" count="1" selected="0">
            <x v="117"/>
          </reference>
          <reference field="23" count="1">
            <x v="1"/>
          </reference>
        </references>
      </pivotArea>
    </format>
    <format dxfId="45">
      <pivotArea dataOnly="0" labelOnly="1" outline="0" fieldPosition="0">
        <references count="2">
          <reference field="6" count="1" selected="0">
            <x v="118"/>
          </reference>
          <reference field="23" count="1">
            <x v="2"/>
          </reference>
        </references>
      </pivotArea>
    </format>
    <format dxfId="44">
      <pivotArea dataOnly="0" labelOnly="1" outline="0" fieldPosition="0">
        <references count="2">
          <reference field="6" count="1" selected="0">
            <x v="119"/>
          </reference>
          <reference field="23" count="1">
            <x v="0"/>
          </reference>
        </references>
      </pivotArea>
    </format>
    <format dxfId="43">
      <pivotArea outline="0" collapsedLevelsAreSubtotals="1" fieldPosition="0">
        <references count="2">
          <reference field="6" count="1" selected="0">
            <x v="117"/>
          </reference>
          <reference field="23" count="1" selected="0">
            <x v="1"/>
          </reference>
        </references>
      </pivotArea>
    </format>
    <format dxfId="42">
      <pivotArea outline="0" collapsedLevelsAreSubtotals="1" fieldPosition="0">
        <references count="2">
          <reference field="6" count="1" selected="0">
            <x v="62"/>
          </reference>
          <reference field="23" count="1" selected="0">
            <x v="1"/>
          </reference>
        </references>
      </pivotArea>
    </format>
    <format dxfId="41">
      <pivotArea outline="0" collapsedLevelsAreSubtotals="1" fieldPosition="0">
        <references count="2">
          <reference field="6" count="5" selected="0">
            <x v="75"/>
            <x v="76"/>
            <x v="77"/>
            <x v="78"/>
            <x v="79"/>
          </reference>
          <reference field="23" count="1" selected="0">
            <x v="1"/>
          </reference>
        </references>
      </pivotArea>
    </format>
    <format dxfId="40">
      <pivotArea outline="0" collapsedLevelsAreSubtotals="1" fieldPosition="0">
        <references count="2">
          <reference field="6" count="1" selected="0">
            <x v="122"/>
          </reference>
          <reference field="23" count="1" selected="0">
            <x v="2"/>
          </reference>
        </references>
      </pivotArea>
    </format>
    <format dxfId="39">
      <pivotArea outline="0" collapsedLevelsAreSubtotals="1" fieldPosition="0">
        <references count="2">
          <reference field="6" count="2" selected="0">
            <x v="127"/>
            <x v="128"/>
          </reference>
          <reference field="23" count="2" selected="0">
            <x v="0"/>
            <x v="2"/>
          </reference>
        </references>
      </pivotArea>
    </format>
    <format dxfId="38">
      <pivotArea dataOnly="0" labelOnly="1" outline="0" fieldPosition="0">
        <references count="2">
          <reference field="6" count="1" selected="0">
            <x v="88"/>
          </reference>
          <reference field="23" count="1">
            <x v="7"/>
          </reference>
        </references>
      </pivotArea>
    </format>
    <format dxfId="37">
      <pivotArea dataOnly="0" labelOnly="1" outline="0" fieldPosition="0">
        <references count="2">
          <reference field="6" count="1" selected="0">
            <x v="89"/>
          </reference>
          <reference field="23" count="1">
            <x v="7"/>
          </reference>
        </references>
      </pivotArea>
    </format>
    <format dxfId="36">
      <pivotArea dataOnly="0" labelOnly="1" outline="0" fieldPosition="0">
        <references count="2">
          <reference field="6" count="1" selected="0">
            <x v="108"/>
          </reference>
          <reference field="23" count="1">
            <x v="2"/>
          </reference>
        </references>
      </pivotArea>
    </format>
    <format dxfId="35">
      <pivotArea dataOnly="0" labelOnly="1" outline="0" fieldPosition="0">
        <references count="2">
          <reference field="6" count="1" selected="0">
            <x v="126"/>
          </reference>
          <reference field="23" count="1">
            <x v="2"/>
          </reference>
        </references>
      </pivotArea>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name="Tabla Ejecución" cacheId="1" applyNumberFormats="0" applyBorderFormats="0" applyFontFormats="0" applyPatternFormats="0" applyAlignmentFormats="0" applyWidthHeightFormats="1" dataCaption="Valores" updatedVersion="6" minRefreshableVersion="3" itemPrintTitles="1" createdVersion="6" indent="0" outline="1" outlineData="1" multipleFieldFilters="0" chartFormat="28" rowHeaderCaption="ESTADO">
  <location ref="A30:B34" firstHeaderRow="1" firstDataRow="1" firstDataCol="1"/>
  <pivotFields count="27">
    <pivotField showAll="0"/>
    <pivotField showAll="0"/>
    <pivotField showAll="0"/>
    <pivotField showAll="0"/>
    <pivotField showAll="0">
      <items count="10">
        <item x="0"/>
        <item x="1"/>
        <item x="2"/>
        <item x="3"/>
        <item x="4"/>
        <item x="5"/>
        <item x="6"/>
        <item x="7"/>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defaultSubtotal="0"/>
    <pivotField showAll="0" defaultSubtotal="0"/>
    <pivotField showAll="0"/>
    <pivotField showAll="0"/>
    <pivotField showAll="0"/>
    <pivotField showAll="0" defaultSubtotal="0"/>
    <pivotField showAll="0">
      <items count="9">
        <item x="1"/>
        <item x="3"/>
        <item x="0"/>
        <item x="2"/>
        <item m="1" x="7"/>
        <item m="1" x="6"/>
        <item x="5"/>
        <item x="4"/>
        <item t="default"/>
      </items>
    </pivotField>
    <pivotField axis="axisRow" dataField="1" showAll="0">
      <items count="6">
        <item x="0"/>
        <item x="2"/>
        <item m="1" x="3"/>
        <item m="1" x="4"/>
        <item x="1"/>
        <item t="default"/>
      </items>
    </pivotField>
    <pivotField numFmtId="9" showAll="0"/>
    <pivotField dragToRow="0" dragToCol="0" dragToPage="0" showAll="0" defaultSubtotal="0"/>
  </pivotFields>
  <rowFields count="1">
    <field x="24"/>
  </rowFields>
  <rowItems count="4">
    <i>
      <x/>
    </i>
    <i>
      <x v="1"/>
    </i>
    <i>
      <x v="4"/>
    </i>
    <i t="grand">
      <x/>
    </i>
  </rowItems>
  <colItems count="1">
    <i/>
  </colItems>
  <dataFields count="1">
    <dataField name="No. De Producto" fld="24" subtotal="count" baseField="0" baseItem="0"/>
  </dataFields>
  <formats count="14">
    <format dxfId="728">
      <pivotArea type="all" dataOnly="0" outline="0" fieldPosition="0"/>
    </format>
    <format dxfId="727">
      <pivotArea outline="0" collapsedLevelsAreSubtotals="1" fieldPosition="0"/>
    </format>
    <format dxfId="726">
      <pivotArea field="24" type="button" dataOnly="0" labelOnly="1" outline="0" axis="axisRow" fieldPosition="0"/>
    </format>
    <format dxfId="725">
      <pivotArea dataOnly="0" labelOnly="1" outline="0" axis="axisValues" fieldPosition="0"/>
    </format>
    <format dxfId="724">
      <pivotArea dataOnly="0" labelOnly="1" fieldPosition="0">
        <references count="1">
          <reference field="24" count="0"/>
        </references>
      </pivotArea>
    </format>
    <format dxfId="723">
      <pivotArea dataOnly="0" labelOnly="1" grandRow="1" outline="0" fieldPosition="0"/>
    </format>
    <format dxfId="722">
      <pivotArea dataOnly="0" labelOnly="1" outline="0" axis="axisValues" fieldPosition="0"/>
    </format>
    <format dxfId="721">
      <pivotArea type="all" dataOnly="0" outline="0" fieldPosition="0"/>
    </format>
    <format dxfId="720">
      <pivotArea outline="0" collapsedLevelsAreSubtotals="1" fieldPosition="0"/>
    </format>
    <format dxfId="719">
      <pivotArea field="24" type="button" dataOnly="0" labelOnly="1" outline="0" axis="axisRow" fieldPosition="0"/>
    </format>
    <format dxfId="718">
      <pivotArea dataOnly="0" labelOnly="1" outline="0" axis="axisValues" fieldPosition="0"/>
    </format>
    <format dxfId="717">
      <pivotArea dataOnly="0" labelOnly="1" fieldPosition="0">
        <references count="1">
          <reference field="24" count="0"/>
        </references>
      </pivotArea>
    </format>
    <format dxfId="716">
      <pivotArea dataOnly="0" labelOnly="1" grandRow="1" outline="0" fieldPosition="0"/>
    </format>
    <format dxfId="715">
      <pivotArea dataOnly="0" labelOnly="1" outline="0" axis="axisValues" fieldPosition="0"/>
    </format>
  </formats>
  <chartFormats count="4">
    <chartFormat chart="7" format="0" series="1">
      <pivotArea type="data" outline="0" fieldPosition="0">
        <references count="1">
          <reference field="4294967294" count="1" selected="0">
            <x v="0"/>
          </reference>
        </references>
      </pivotArea>
    </chartFormat>
    <chartFormat chart="10" format="0" series="1">
      <pivotArea type="data" outline="0" fieldPosition="0">
        <references count="1">
          <reference field="4294967294" count="1" selected="0">
            <x v="0"/>
          </reference>
        </references>
      </pivotArea>
    </chartFormat>
    <chartFormat chart="12" format="0" series="1">
      <pivotArea type="data" outline="0" fieldPosition="0">
        <references count="1">
          <reference field="4294967294" count="1" selected="0">
            <x v="0"/>
          </reference>
        </references>
      </pivotArea>
    </chartFormat>
    <chartFormat chart="16" format="6" series="1">
      <pivotArea type="data" outline="0" fieldPosition="0">
        <references count="1">
          <reference field="4294967294" count="1" selected="0">
            <x v="0"/>
          </reference>
        </references>
      </pivotArea>
    </chartFormat>
  </chart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name="TablaDinámica7" cacheId="1" applyNumberFormats="0" applyBorderFormats="0" applyFontFormats="0" applyPatternFormats="0" applyAlignmentFormats="0" applyWidthHeightFormats="1" dataCaption="Valores" updatedVersion="6" minRefreshableVersion="3" rowGrandTotals="0" colGrandTotals="0" itemPrintTitles="1" createdVersion="6" indent="0" outline="1" outlineData="1" multipleFieldFilters="0" rowHeaderCaption="Dependencia">
  <location ref="A67:B69" firstHeaderRow="1" firstDataRow="1" firstDataCol="1"/>
  <pivotFields count="27">
    <pivotField axis="axisRow" showAll="0">
      <items count="3">
        <item x="1"/>
        <item x="0"/>
        <item t="default"/>
      </items>
    </pivotField>
    <pivotField showAll="0"/>
    <pivotField showAll="0"/>
    <pivotField showAll="0"/>
    <pivotField showAll="0">
      <items count="10">
        <item x="0"/>
        <item x="1"/>
        <item x="2"/>
        <item x="3"/>
        <item x="4"/>
        <item x="5"/>
        <item x="6"/>
        <item x="7"/>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defaultSubtotal="0"/>
    <pivotField showAll="0" defaultSubtotal="0"/>
    <pivotField showAll="0"/>
    <pivotField showAll="0"/>
    <pivotField showAll="0"/>
    <pivotField showAll="0" defaultSubtotal="0"/>
    <pivotField showAll="0"/>
    <pivotField showAll="0"/>
    <pivotField dataField="1" numFmtId="9" showAll="0"/>
    <pivotField dragToRow="0" dragToCol="0" dragToPage="0" showAll="0" defaultSubtotal="0"/>
  </pivotFields>
  <rowFields count="1">
    <field x="0"/>
  </rowFields>
  <rowItems count="2">
    <i>
      <x/>
    </i>
    <i>
      <x v="1"/>
    </i>
  </rowItems>
  <colItems count="1">
    <i/>
  </colItems>
  <dataFields count="1">
    <dataField name="Promedio de AVENCE PONDERADO" fld="25" subtotal="average" baseField="4" baseItem="0" numFmtId="9"/>
  </dataFields>
  <formats count="16">
    <format dxfId="744">
      <pivotArea outline="0" collapsedLevelsAreSubtotals="1" fieldPosition="0">
        <references count="1">
          <reference field="4294967294" count="1" selected="0">
            <x v="0"/>
          </reference>
        </references>
      </pivotArea>
    </format>
    <format dxfId="743">
      <pivotArea field="4" type="button" dataOnly="0" labelOnly="1" outline="0"/>
    </format>
    <format dxfId="742">
      <pivotArea type="all" dataOnly="0" outline="0" fieldPosition="0"/>
    </format>
    <format dxfId="741">
      <pivotArea outline="0" collapsedLevelsAreSubtotals="1" fieldPosition="0"/>
    </format>
    <format dxfId="740">
      <pivotArea field="4" type="button" dataOnly="0" labelOnly="1" outline="0"/>
    </format>
    <format dxfId="739">
      <pivotArea dataOnly="0" labelOnly="1" grandRow="1" outline="0" fieldPosition="0"/>
    </format>
    <format dxfId="738">
      <pivotArea dataOnly="0" labelOnly="1" outline="0" fieldPosition="0">
        <references count="1">
          <reference field="4294967294" count="1">
            <x v="0"/>
          </reference>
        </references>
      </pivotArea>
    </format>
    <format dxfId="737">
      <pivotArea type="all" dataOnly="0" outline="0" fieldPosition="0"/>
    </format>
    <format dxfId="736">
      <pivotArea outline="0" collapsedLevelsAreSubtotals="1" fieldPosition="0"/>
    </format>
    <format dxfId="735">
      <pivotArea field="4" type="button" dataOnly="0" labelOnly="1" outline="0"/>
    </format>
    <format dxfId="734">
      <pivotArea dataOnly="0" labelOnly="1" outline="0" fieldPosition="0">
        <references count="1">
          <reference field="4294967294" count="1">
            <x v="0"/>
          </reference>
        </references>
      </pivotArea>
    </format>
    <format dxfId="733">
      <pivotArea type="all" dataOnly="0" outline="0" fieldPosition="0"/>
    </format>
    <format dxfId="732">
      <pivotArea outline="0" collapsedLevelsAreSubtotals="1" fieldPosition="0"/>
    </format>
    <format dxfId="731">
      <pivotArea field="4" type="button" dataOnly="0" labelOnly="1" outline="0"/>
    </format>
    <format dxfId="730">
      <pivotArea dataOnly="0" labelOnly="1" outline="0" fieldPosition="0">
        <references count="1">
          <reference field="4294967294" count="1">
            <x v="0"/>
          </reference>
        </references>
      </pivotArea>
    </format>
    <format dxfId="729">
      <pivotArea dataOnly="0" labelOnly="1" outline="0" fieldPosition="0">
        <references count="1">
          <reference field="4294967294" count="1">
            <x v="0"/>
          </reference>
        </references>
      </pivotArea>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name="TablaDinámica5" cacheId="1" applyNumberFormats="0" applyBorderFormats="0" applyFontFormats="0" applyPatternFormats="0" applyAlignmentFormats="0" applyWidthHeightFormats="1" dataCaption="Valores" updatedVersion="6" minRefreshableVersion="3" itemPrintTitles="1" createdVersion="6" indent="0" outline="1" outlineData="1" multipleFieldFilters="0" chartFormat="3" rowHeaderCaption="Dependencia">
  <location ref="A38:E49" firstHeaderRow="1" firstDataRow="2" firstDataCol="1"/>
  <pivotFields count="27">
    <pivotField showAll="0"/>
    <pivotField showAll="0"/>
    <pivotField showAll="0"/>
    <pivotField showAll="0"/>
    <pivotField axis="axisRow" showAll="0">
      <items count="10">
        <item x="0"/>
        <item x="1"/>
        <item x="2"/>
        <item x="3"/>
        <item x="4"/>
        <item x="5"/>
        <item x="6"/>
        <item x="7"/>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defaultSubtotal="0"/>
    <pivotField showAll="0" defaultSubtotal="0"/>
    <pivotField showAll="0"/>
    <pivotField showAll="0"/>
    <pivotField showAll="0"/>
    <pivotField showAll="0" defaultSubtotal="0"/>
    <pivotField showAll="0"/>
    <pivotField axis="axisCol" dataField="1" showAll="0">
      <items count="6">
        <item x="0"/>
        <item x="2"/>
        <item m="1" x="3"/>
        <item m="1" x="4"/>
        <item x="1"/>
        <item t="default"/>
      </items>
    </pivotField>
    <pivotField numFmtId="9" showAll="0"/>
    <pivotField dragToRow="0" dragToCol="0" dragToPage="0" showAll="0" defaultSubtotal="0"/>
  </pivotFields>
  <rowFields count="1">
    <field x="4"/>
  </rowFields>
  <rowItems count="10">
    <i>
      <x/>
    </i>
    <i>
      <x v="1"/>
    </i>
    <i>
      <x v="2"/>
    </i>
    <i>
      <x v="3"/>
    </i>
    <i>
      <x v="4"/>
    </i>
    <i>
      <x v="5"/>
    </i>
    <i>
      <x v="6"/>
    </i>
    <i>
      <x v="7"/>
    </i>
    <i>
      <x v="8"/>
    </i>
    <i t="grand">
      <x/>
    </i>
  </rowItems>
  <colFields count="1">
    <field x="24"/>
  </colFields>
  <colItems count="4">
    <i>
      <x/>
    </i>
    <i>
      <x v="1"/>
    </i>
    <i>
      <x v="4"/>
    </i>
    <i t="grand">
      <x/>
    </i>
  </colItems>
  <dataFields count="1">
    <dataField name="Cuenta de Estado del Producto" fld="24" subtotal="count" baseField="0" baseItem="0"/>
  </dataFields>
  <formats count="13">
    <format dxfId="757">
      <pivotArea outline="0" collapsedLevelsAreSubtotals="1" fieldPosition="0"/>
    </format>
    <format dxfId="756">
      <pivotArea field="4" type="button" dataOnly="0" labelOnly="1" outline="0" axis="axisRow" fieldPosition="0"/>
    </format>
    <format dxfId="755">
      <pivotArea dataOnly="0" labelOnly="1" fieldPosition="0">
        <references count="1">
          <reference field="4" count="0"/>
        </references>
      </pivotArea>
    </format>
    <format dxfId="754">
      <pivotArea dataOnly="0" labelOnly="1" grandRow="1" outline="0" fieldPosition="0"/>
    </format>
    <format dxfId="753">
      <pivotArea dataOnly="0" labelOnly="1" fieldPosition="0">
        <references count="1">
          <reference field="24" count="0"/>
        </references>
      </pivotArea>
    </format>
    <format dxfId="752">
      <pivotArea dataOnly="0" labelOnly="1" grandCol="1" outline="0" fieldPosition="0"/>
    </format>
    <format dxfId="751">
      <pivotArea dataOnly="0" labelOnly="1" fieldPosition="0">
        <references count="1">
          <reference field="4" count="0"/>
        </references>
      </pivotArea>
    </format>
    <format dxfId="750">
      <pivotArea outline="0" collapsedLevelsAreSubtotals="1" fieldPosition="0"/>
    </format>
    <format dxfId="749">
      <pivotArea field="4" type="button" dataOnly="0" labelOnly="1" outline="0" axis="axisRow" fieldPosition="0"/>
    </format>
    <format dxfId="748">
      <pivotArea dataOnly="0" labelOnly="1" fieldPosition="0">
        <references count="1">
          <reference field="4" count="0"/>
        </references>
      </pivotArea>
    </format>
    <format dxfId="747">
      <pivotArea dataOnly="0" labelOnly="1" grandRow="1" outline="0" fieldPosition="0"/>
    </format>
    <format dxfId="746">
      <pivotArea dataOnly="0" labelOnly="1" fieldPosition="0">
        <references count="1">
          <reference field="24" count="0"/>
        </references>
      </pivotArea>
    </format>
    <format dxfId="745">
      <pivotArea dataOnly="0" labelOnly="1" grandCol="1" outline="0" fieldPosition="0"/>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name="TablaDinámica1" cacheId="1" applyNumberFormats="0" applyBorderFormats="0" applyFontFormats="0" applyPatternFormats="0" applyAlignmentFormats="0" applyWidthHeightFormats="1" dataCaption="Valores" updatedVersion="6" minRefreshableVersion="3" rowGrandTotals="0" itemPrintTitles="1" createdVersion="6" indent="0" outline="1" outlineData="1" multipleFieldFilters="0">
  <location ref="A3:B12" firstHeaderRow="1" firstDataRow="1" firstDataCol="1"/>
  <pivotFields count="27">
    <pivotField showAll="0"/>
    <pivotField showAll="0"/>
    <pivotField showAll="0"/>
    <pivotField showAll="0"/>
    <pivotField axis="axisRow" showAll="0">
      <items count="10">
        <item x="0"/>
        <item x="1"/>
        <item x="2"/>
        <item x="3"/>
        <item x="4"/>
        <item x="5"/>
        <item x="6"/>
        <item x="7"/>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defaultSubtotal="0"/>
    <pivotField numFmtId="9" showAll="0" defaultSubtotal="0"/>
    <pivotField showAll="0" defaultSubtotal="0"/>
    <pivotField showAll="0"/>
    <pivotField showAll="0"/>
    <pivotField showAll="0"/>
    <pivotField showAll="0" defaultSubtotal="0"/>
    <pivotField showAll="0"/>
    <pivotField showAll="0"/>
    <pivotField dataField="1" showAll="0"/>
    <pivotField dragToRow="0" dragToCol="0" dragToPage="0" showAll="0" defaultSubtotal="0"/>
  </pivotFields>
  <rowFields count="1">
    <field x="4"/>
  </rowFields>
  <rowItems count="9">
    <i>
      <x/>
    </i>
    <i>
      <x v="1"/>
    </i>
    <i>
      <x v="2"/>
    </i>
    <i>
      <x v="3"/>
    </i>
    <i>
      <x v="4"/>
    </i>
    <i>
      <x v="5"/>
    </i>
    <i>
      <x v="6"/>
    </i>
    <i>
      <x v="7"/>
    </i>
    <i>
      <x v="8"/>
    </i>
  </rowItems>
  <colItems count="1">
    <i/>
  </colItems>
  <dataFields count="1">
    <dataField name="Suma de AVENCE PONDERADO" fld="25" baseField="4" baseItem="0" numFmtId="9"/>
  </dataFields>
  <formats count="14">
    <format dxfId="771">
      <pivotArea outline="0" collapsedLevelsAreSubtotals="1" fieldPosition="0"/>
    </format>
    <format dxfId="770">
      <pivotArea type="all" dataOnly="0" outline="0" fieldPosition="0"/>
    </format>
    <format dxfId="769">
      <pivotArea outline="0" collapsedLevelsAreSubtotals="1" fieldPosition="0"/>
    </format>
    <format dxfId="768">
      <pivotArea field="4" type="button" dataOnly="0" labelOnly="1" outline="0" axis="axisRow" fieldPosition="0"/>
    </format>
    <format dxfId="767">
      <pivotArea dataOnly="0" labelOnly="1" outline="0" axis="axisValues" fieldPosition="0"/>
    </format>
    <format dxfId="766">
      <pivotArea dataOnly="0" labelOnly="1" fieldPosition="0">
        <references count="1">
          <reference field="4" count="0"/>
        </references>
      </pivotArea>
    </format>
    <format dxfId="765">
      <pivotArea dataOnly="0" labelOnly="1" outline="0" axis="axisValues" fieldPosition="0"/>
    </format>
    <format dxfId="764">
      <pivotArea field="4" type="button" dataOnly="0" labelOnly="1" outline="0" axis="axisRow" fieldPosition="0"/>
    </format>
    <format dxfId="763">
      <pivotArea field="4" type="button" dataOnly="0" labelOnly="1" outline="0" axis="axisRow" fieldPosition="0"/>
    </format>
    <format dxfId="762">
      <pivotArea dataOnly="0" labelOnly="1" outline="0" axis="axisValues" fieldPosition="0"/>
    </format>
    <format dxfId="761">
      <pivotArea dataOnly="0" labelOnly="1" outline="0" axis="axisValues" fieldPosition="0"/>
    </format>
    <format dxfId="760">
      <pivotArea field="4" type="button" dataOnly="0" labelOnly="1" outline="0" axis="axisRow" fieldPosition="0"/>
    </format>
    <format dxfId="759">
      <pivotArea dataOnly="0" labelOnly="1" outline="0" axis="axisValues" fieldPosition="0"/>
    </format>
    <format dxfId="758">
      <pivotArea dataOnly="0" labelOnly="1" outline="0" axis="axisValues" fieldPosition="0"/>
    </format>
  </formats>
  <pivotTableStyleInfo name="PivotStyleMedium4"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Tipo_de_resultado" sourceName="Tipo de resultado">
  <pivotTables>
    <pivotTable tabId="8" name="Productos Periodo"/>
    <pivotTable tabId="8" name="Tabla Ejecución"/>
    <pivotTable tabId="15" name="TablaDinámica1"/>
    <pivotTable tabId="8" name="TablaDinámica11"/>
  </pivotTables>
  <data>
    <tabular pivotCacheId="1">
      <items count="8">
        <i x="1" s="1"/>
        <i x="3" s="1"/>
        <i x="0" s="1"/>
        <i x="2" s="1"/>
        <i x="5" s="1"/>
        <i x="4" s="1"/>
        <i x="7" s="1" nd="1"/>
        <i x="6"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Estado_del_Producto" sourceName="Estado del Producto">
  <pivotTables>
    <pivotTable tabId="8" name="Productos Periodo"/>
    <pivotTable tabId="8" name="Tabla Ejecución"/>
    <pivotTable tabId="15" name="TablaDinámica1"/>
    <pivotTable tabId="8" name="TablaDinámica11"/>
  </pivotTables>
  <data>
    <tabular pivotCacheId="1">
      <items count="5">
        <i x="1" s="1"/>
        <i x="0" s="1"/>
        <i x="2" s="1"/>
        <i x="4" s="1" nd="1"/>
        <i x="3" s="1" nd="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egmentaciónDeDatos_DEPENDENCIA" sourceName="DEPENDENCIA">
  <pivotTables>
    <pivotTable tabId="8" name="Productos Periodo"/>
    <pivotTable tabId="8" name="Tabla Ejecución"/>
    <pivotTable tabId="15" name="TablaDinámica1"/>
    <pivotTable tabId="8" name="TablaDinámica1"/>
    <pivotTable tabId="8" name="TablaDinámica11"/>
  </pivotTables>
  <data>
    <tabular pivotCacheId="1">
      <items count="9">
        <i x="0" s="1"/>
        <i x="1" s="1"/>
        <i x="2" s="1"/>
        <i x="3" s="1"/>
        <i x="4" s="1"/>
        <i x="5" s="1"/>
        <i x="6" s="1"/>
        <i x="7" s="1"/>
        <i x="8"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Tipo de resultado" cache="SegmentaciónDeDatos_Tipo_de_resultado" caption="Tipo de resultado" columnCount="2" style="SlicerStyleDark2" rowHeight="241300"/>
  <slicer name="Estado del Producto" cache="SegmentaciónDeDatos_Estado_del_Producto" caption="Estado del Producto" style="SlicerStyleDark3" rowHeight="241300"/>
  <slicer name="DEPENDENCIA" cache="SegmentaciónDeDatos_DEPENDENCIA" caption="DEPENDENCIA" startItem="2" style="SlicerStyleDark1" rowHeight="241300"/>
</slicer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theme/themeOverride3.xml><?xml version="1.0" encoding="utf-8"?>
<a:themeOverride xmlns:a="http://schemas.openxmlformats.org/drawingml/2006/main">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Overrid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7" Type="http://schemas.microsoft.com/office/2007/relationships/slicer" Target="../slicers/slicer1.xml"/><Relationship Id="rId2" Type="http://schemas.openxmlformats.org/officeDocument/2006/relationships/printerSettings" Target="../printerSettings/printerSettings2.bin"/><Relationship Id="rId1" Type="http://schemas.openxmlformats.org/officeDocument/2006/relationships/pivotTable" Target="../pivotTables/pivotTable1.xml"/><Relationship Id="rId6" Type="http://schemas.openxmlformats.org/officeDocument/2006/relationships/ctrlProp" Target="../ctrlProps/ctrlProp2.xml"/><Relationship Id="rId5" Type="http://schemas.openxmlformats.org/officeDocument/2006/relationships/ctrlProp" Target="../ctrlProps/ctrlProp1.xml"/><Relationship Id="rId4" Type="http://schemas.openxmlformats.org/officeDocument/2006/relationships/vmlDrawing" Target="../drawings/vmlDrawing2.v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4.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8" Type="http://schemas.openxmlformats.org/officeDocument/2006/relationships/printerSettings" Target="../printerSettings/printerSettings5.bin"/><Relationship Id="rId3" Type="http://schemas.openxmlformats.org/officeDocument/2006/relationships/pivotTable" Target="../pivotTables/pivotTable4.xml"/><Relationship Id="rId7" Type="http://schemas.openxmlformats.org/officeDocument/2006/relationships/pivotTable" Target="../pivotTables/pivotTable8.xml"/><Relationship Id="rId2" Type="http://schemas.openxmlformats.org/officeDocument/2006/relationships/pivotTable" Target="../pivotTables/pivotTable3.xml"/><Relationship Id="rId1" Type="http://schemas.openxmlformats.org/officeDocument/2006/relationships/pivotTable" Target="../pivotTables/pivotTable2.xml"/><Relationship Id="rId6" Type="http://schemas.openxmlformats.org/officeDocument/2006/relationships/pivotTable" Target="../pivotTables/pivotTable7.xml"/><Relationship Id="rId5" Type="http://schemas.openxmlformats.org/officeDocument/2006/relationships/pivotTable" Target="../pivotTables/pivotTable6.xml"/><Relationship Id="rId4" Type="http://schemas.openxmlformats.org/officeDocument/2006/relationships/pivotTable" Target="../pivotTables/pivotTable5.xml"/><Relationship Id="rId9" Type="http://schemas.openxmlformats.org/officeDocument/2006/relationships/drawing" Target="../drawings/drawing6.xml"/></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9.xml"/><Relationship Id="rId1" Type="http://schemas.openxmlformats.org/officeDocument/2006/relationships/printerSettings" Target="../printerSettings/printerSettings7.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tabColor theme="3"/>
  </sheetPr>
  <dimension ref="B2:AQ233"/>
  <sheetViews>
    <sheetView showGridLines="0" zoomScale="85" zoomScaleNormal="85" workbookViewId="0">
      <selection activeCell="H167" sqref="H167:H169"/>
    </sheetView>
  </sheetViews>
  <sheetFormatPr baseColWidth="10" defaultRowHeight="15" x14ac:dyDescent="0.25"/>
  <cols>
    <col min="2" max="3" width="29.75" customWidth="1"/>
    <col min="4" max="4" width="38.625" customWidth="1"/>
    <col min="5" max="5" width="26.375" customWidth="1"/>
    <col min="6" max="6" width="30.75" customWidth="1"/>
    <col min="7" max="7" width="7.625" customWidth="1"/>
    <col min="8" max="13" width="31.625" customWidth="1"/>
    <col min="18" max="18" width="6.625" hidden="1" customWidth="1"/>
    <col min="19" max="19" width="18.75" customWidth="1"/>
    <col min="20" max="20" width="23" customWidth="1"/>
    <col min="21" max="21" width="37.375" customWidth="1"/>
    <col min="22" max="22" width="27.875" customWidth="1"/>
    <col min="23" max="23" width="35" customWidth="1"/>
    <col min="24" max="25" width="24.25" hidden="1" customWidth="1"/>
    <col min="26" max="26" width="20" hidden="1" customWidth="1"/>
    <col min="27" max="27" width="27.75" hidden="1" customWidth="1"/>
    <col min="29" max="30" width="30.75" customWidth="1"/>
    <col min="31" max="31" width="26.875" customWidth="1"/>
    <col min="32" max="32" width="25.75" customWidth="1"/>
    <col min="33" max="33" width="30.75" customWidth="1"/>
    <col min="34" max="34" width="4.625" customWidth="1"/>
    <col min="35" max="35" width="37.375" customWidth="1"/>
    <col min="36" max="36" width="47.625" customWidth="1"/>
    <col min="37" max="37" width="25.75" hidden="1" customWidth="1"/>
    <col min="38" max="38" width="22.375" hidden="1" customWidth="1"/>
    <col min="40" max="40" width="13.375" bestFit="1" customWidth="1"/>
  </cols>
  <sheetData>
    <row r="2" spans="2:43" ht="15.75" thickBot="1" x14ac:dyDescent="0.3"/>
    <row r="3" spans="2:43" ht="16.5" thickBot="1" x14ac:dyDescent="0.3">
      <c r="N3" s="252"/>
      <c r="O3" s="253" t="s">
        <v>576</v>
      </c>
    </row>
    <row r="6" spans="2:43" ht="16.5" thickBot="1" x14ac:dyDescent="0.3">
      <c r="AM6" s="1"/>
      <c r="AN6" s="1"/>
      <c r="AO6" s="1"/>
      <c r="AP6" s="1"/>
      <c r="AQ6" s="1"/>
    </row>
    <row r="7" spans="2:43" ht="59.25" customHeight="1" thickTop="1" thickBot="1" x14ac:dyDescent="0.3">
      <c r="B7" s="752" t="s">
        <v>0</v>
      </c>
      <c r="C7" s="753"/>
      <c r="D7" s="753"/>
      <c r="E7" s="753"/>
      <c r="F7" s="754"/>
      <c r="G7" s="990" t="s">
        <v>1</v>
      </c>
      <c r="H7" s="991"/>
      <c r="I7" s="991"/>
      <c r="J7" s="991"/>
      <c r="K7" s="991"/>
      <c r="L7" s="991"/>
      <c r="M7" s="992"/>
      <c r="N7" s="993" t="s">
        <v>2</v>
      </c>
      <c r="O7" s="994"/>
      <c r="P7" s="994"/>
      <c r="Q7" s="995"/>
      <c r="R7" s="77"/>
      <c r="S7" s="749" t="s">
        <v>469</v>
      </c>
      <c r="T7" s="750"/>
      <c r="U7" s="750"/>
      <c r="V7" s="750"/>
      <c r="W7" s="750"/>
      <c r="X7" s="750"/>
      <c r="Y7" s="750"/>
      <c r="Z7" s="750"/>
      <c r="AA7" s="751"/>
      <c r="AB7" s="996" t="s">
        <v>3</v>
      </c>
      <c r="AC7" s="996"/>
      <c r="AD7" s="996"/>
      <c r="AE7" s="996"/>
      <c r="AF7" s="996"/>
      <c r="AG7" s="997"/>
      <c r="AI7" s="745" t="s">
        <v>467</v>
      </c>
      <c r="AJ7" s="745"/>
      <c r="AK7" s="746"/>
      <c r="AL7" s="161"/>
      <c r="AM7" s="162"/>
      <c r="AN7" s="162"/>
      <c r="AO7" s="162"/>
      <c r="AP7" s="162"/>
      <c r="AQ7" s="162"/>
    </row>
    <row r="8" spans="2:43" ht="66.75" customHeight="1" thickTop="1" thickBot="1" x14ac:dyDescent="0.3">
      <c r="B8" s="2" t="s">
        <v>386</v>
      </c>
      <c r="C8" s="2" t="s">
        <v>387</v>
      </c>
      <c r="D8" s="2" t="s">
        <v>4</v>
      </c>
      <c r="E8" s="3" t="s">
        <v>5</v>
      </c>
      <c r="F8" s="4" t="s">
        <v>6</v>
      </c>
      <c r="G8" s="5" t="s">
        <v>7</v>
      </c>
      <c r="H8" s="5" t="s">
        <v>8</v>
      </c>
      <c r="I8" s="6" t="s">
        <v>9</v>
      </c>
      <c r="J8" s="7" t="s">
        <v>10</v>
      </c>
      <c r="K8" s="7" t="s">
        <v>11</v>
      </c>
      <c r="L8" s="7" t="s">
        <v>12</v>
      </c>
      <c r="M8" s="6" t="s">
        <v>13</v>
      </c>
      <c r="N8" s="8" t="s">
        <v>14</v>
      </c>
      <c r="O8" s="8" t="s">
        <v>15</v>
      </c>
      <c r="P8" s="8" t="s">
        <v>16</v>
      </c>
      <c r="Q8" s="8" t="s">
        <v>17</v>
      </c>
      <c r="R8" s="78"/>
      <c r="S8" s="235" t="s">
        <v>549</v>
      </c>
      <c r="T8" s="235" t="s">
        <v>466</v>
      </c>
      <c r="U8" s="235" t="s">
        <v>464</v>
      </c>
      <c r="V8" s="235" t="s">
        <v>399</v>
      </c>
      <c r="W8" s="235" t="s">
        <v>465</v>
      </c>
      <c r="X8" s="96" t="s">
        <v>397</v>
      </c>
      <c r="Y8" s="96" t="s">
        <v>401</v>
      </c>
      <c r="Z8" s="96" t="s">
        <v>398</v>
      </c>
      <c r="AA8" s="8" t="s">
        <v>405</v>
      </c>
      <c r="AB8" s="9" t="s">
        <v>7</v>
      </c>
      <c r="AC8" s="10" t="s">
        <v>18</v>
      </c>
      <c r="AD8" s="11" t="s">
        <v>19</v>
      </c>
      <c r="AE8" s="11" t="s">
        <v>20</v>
      </c>
      <c r="AF8" s="11" t="s">
        <v>21</v>
      </c>
      <c r="AG8" s="11" t="s">
        <v>22</v>
      </c>
      <c r="AI8" s="80" t="s">
        <v>468</v>
      </c>
      <c r="AJ8" s="80" t="s">
        <v>470</v>
      </c>
      <c r="AK8" s="80" t="s">
        <v>403</v>
      </c>
      <c r="AL8" s="97" t="s">
        <v>404</v>
      </c>
      <c r="AM8" s="1"/>
      <c r="AN8" s="1"/>
      <c r="AO8" s="1"/>
      <c r="AP8" s="1"/>
      <c r="AQ8" s="1"/>
    </row>
    <row r="9" spans="2:43" ht="76.5" hidden="1" customHeight="1" thickBot="1" x14ac:dyDescent="0.3">
      <c r="B9" s="57" t="s">
        <v>388</v>
      </c>
      <c r="C9" s="58" t="s">
        <v>389</v>
      </c>
      <c r="D9" s="52" t="s">
        <v>23</v>
      </c>
      <c r="E9" s="229" t="s">
        <v>532</v>
      </c>
      <c r="F9" s="53" t="s">
        <v>24</v>
      </c>
      <c r="G9" s="785">
        <v>1</v>
      </c>
      <c r="H9" s="788" t="s">
        <v>25</v>
      </c>
      <c r="I9" s="755">
        <v>0.2</v>
      </c>
      <c r="J9" s="768">
        <v>12</v>
      </c>
      <c r="K9" s="755" t="s">
        <v>26</v>
      </c>
      <c r="L9" s="755" t="s">
        <v>27</v>
      </c>
      <c r="M9" s="783" t="s">
        <v>28</v>
      </c>
      <c r="N9" s="845">
        <v>3</v>
      </c>
      <c r="O9" s="845">
        <v>6</v>
      </c>
      <c r="P9" s="845">
        <v>9</v>
      </c>
      <c r="Q9" s="845">
        <v>12</v>
      </c>
      <c r="R9" s="165"/>
      <c r="S9" s="747">
        <f>N9</f>
        <v>3</v>
      </c>
      <c r="T9" s="747">
        <v>3</v>
      </c>
      <c r="U9" s="747" t="s">
        <v>597</v>
      </c>
      <c r="V9" s="747" t="s">
        <v>598</v>
      </c>
      <c r="W9" s="747" t="s">
        <v>607</v>
      </c>
      <c r="X9" s="1002">
        <f>T9/S9</f>
        <v>1</v>
      </c>
      <c r="Y9" s="775" t="s">
        <v>402</v>
      </c>
      <c r="Z9" s="845" t="s">
        <v>400</v>
      </c>
      <c r="AA9" s="795">
        <f>X9*I9</f>
        <v>0.2</v>
      </c>
      <c r="AB9" s="12">
        <v>1</v>
      </c>
      <c r="AC9" s="13" t="s">
        <v>29</v>
      </c>
      <c r="AD9" s="14">
        <v>0.5</v>
      </c>
      <c r="AE9" s="998">
        <v>43101</v>
      </c>
      <c r="AF9" s="1001">
        <v>43465</v>
      </c>
      <c r="AG9" s="980" t="s">
        <v>28</v>
      </c>
      <c r="AI9" s="275">
        <v>1</v>
      </c>
      <c r="AJ9" s="243" t="s">
        <v>608</v>
      </c>
      <c r="AK9" s="81">
        <f t="shared" ref="AK9:AK14" si="0">AI9*AD9</f>
        <v>0.5</v>
      </c>
      <c r="AL9" s="84">
        <f>AK9*I9</f>
        <v>0.1</v>
      </c>
      <c r="AM9" s="1"/>
      <c r="AN9" s="1"/>
      <c r="AO9" s="1"/>
      <c r="AP9" s="1"/>
      <c r="AQ9" s="1"/>
    </row>
    <row r="10" spans="2:43" ht="76.5" hidden="1" customHeight="1" thickBot="1" x14ac:dyDescent="0.3">
      <c r="B10" s="57" t="s">
        <v>388</v>
      </c>
      <c r="C10" s="58" t="s">
        <v>389</v>
      </c>
      <c r="D10" s="52" t="s">
        <v>23</v>
      </c>
      <c r="E10" s="229" t="s">
        <v>532</v>
      </c>
      <c r="F10" s="53" t="s">
        <v>24</v>
      </c>
      <c r="G10" s="786"/>
      <c r="H10" s="789"/>
      <c r="I10" s="771"/>
      <c r="J10" s="770"/>
      <c r="K10" s="771"/>
      <c r="L10" s="771"/>
      <c r="M10" s="784"/>
      <c r="N10" s="762"/>
      <c r="O10" s="762"/>
      <c r="P10" s="762"/>
      <c r="Q10" s="762"/>
      <c r="R10" s="165"/>
      <c r="S10" s="747"/>
      <c r="T10" s="747"/>
      <c r="U10" s="747"/>
      <c r="V10" s="747"/>
      <c r="W10" s="747"/>
      <c r="X10" s="1003"/>
      <c r="Y10" s="776"/>
      <c r="Z10" s="762"/>
      <c r="AA10" s="762"/>
      <c r="AB10" s="12">
        <v>2</v>
      </c>
      <c r="AC10" s="13" t="s">
        <v>30</v>
      </c>
      <c r="AD10" s="14">
        <v>0.3</v>
      </c>
      <c r="AE10" s="999"/>
      <c r="AF10" s="975"/>
      <c r="AG10" s="981"/>
      <c r="AI10" s="275">
        <v>1</v>
      </c>
      <c r="AJ10" s="244" t="s">
        <v>608</v>
      </c>
      <c r="AK10" s="81">
        <f t="shared" si="0"/>
        <v>0.3</v>
      </c>
      <c r="AL10" s="84">
        <f>AK10*I9</f>
        <v>0.06</v>
      </c>
      <c r="AM10" s="1"/>
      <c r="AN10" s="1"/>
      <c r="AO10" s="1"/>
      <c r="AP10" s="1"/>
      <c r="AQ10" s="1"/>
    </row>
    <row r="11" spans="2:43" ht="76.5" hidden="1" customHeight="1" thickBot="1" x14ac:dyDescent="0.3">
      <c r="B11" s="57" t="s">
        <v>388</v>
      </c>
      <c r="C11" s="58" t="s">
        <v>389</v>
      </c>
      <c r="D11" s="52" t="s">
        <v>23</v>
      </c>
      <c r="E11" s="229" t="s">
        <v>532</v>
      </c>
      <c r="F11" s="53" t="s">
        <v>24</v>
      </c>
      <c r="G11" s="787"/>
      <c r="H11" s="790"/>
      <c r="I11" s="756"/>
      <c r="J11" s="769"/>
      <c r="K11" s="756"/>
      <c r="L11" s="756"/>
      <c r="M11" s="791"/>
      <c r="N11" s="813"/>
      <c r="O11" s="813"/>
      <c r="P11" s="813"/>
      <c r="Q11" s="813"/>
      <c r="R11" s="166"/>
      <c r="S11" s="747"/>
      <c r="T11" s="747"/>
      <c r="U11" s="747"/>
      <c r="V11" s="747"/>
      <c r="W11" s="747"/>
      <c r="X11" s="1004"/>
      <c r="Y11" s="861"/>
      <c r="Z11" s="813"/>
      <c r="AA11" s="813"/>
      <c r="AB11" s="12">
        <v>3</v>
      </c>
      <c r="AC11" s="13" t="s">
        <v>31</v>
      </c>
      <c r="AD11" s="14">
        <v>0.2</v>
      </c>
      <c r="AE11" s="1000"/>
      <c r="AF11" s="976"/>
      <c r="AG11" s="982"/>
      <c r="AI11" s="275">
        <v>1</v>
      </c>
      <c r="AJ11" s="243" t="s">
        <v>608</v>
      </c>
      <c r="AK11" s="81">
        <f t="shared" si="0"/>
        <v>0.2</v>
      </c>
      <c r="AL11" s="84">
        <f>AK11*I9</f>
        <v>4.0000000000000008E-2</v>
      </c>
      <c r="AM11" s="1"/>
      <c r="AN11" s="83"/>
      <c r="AO11" s="1"/>
      <c r="AP11" s="1"/>
      <c r="AQ11" s="1"/>
    </row>
    <row r="12" spans="2:43" ht="76.5" hidden="1" customHeight="1" thickBot="1" x14ac:dyDescent="0.3">
      <c r="B12" s="57" t="s">
        <v>388</v>
      </c>
      <c r="C12" s="58" t="s">
        <v>389</v>
      </c>
      <c r="D12" s="52" t="s">
        <v>23</v>
      </c>
      <c r="E12" s="229" t="s">
        <v>532</v>
      </c>
      <c r="F12" s="53" t="s">
        <v>24</v>
      </c>
      <c r="G12" s="785">
        <v>2</v>
      </c>
      <c r="H12" s="788" t="s">
        <v>32</v>
      </c>
      <c r="I12" s="755">
        <v>0.2</v>
      </c>
      <c r="J12" s="768">
        <v>44</v>
      </c>
      <c r="K12" s="755" t="s">
        <v>33</v>
      </c>
      <c r="L12" s="755" t="s">
        <v>34</v>
      </c>
      <c r="M12" s="783" t="s">
        <v>28</v>
      </c>
      <c r="N12" s="845">
        <v>11</v>
      </c>
      <c r="O12" s="845">
        <v>22</v>
      </c>
      <c r="P12" s="845">
        <v>33</v>
      </c>
      <c r="Q12" s="845">
        <v>44</v>
      </c>
      <c r="R12" s="165"/>
      <c r="S12" s="747">
        <v>11</v>
      </c>
      <c r="T12" s="747">
        <v>11</v>
      </c>
      <c r="U12" s="747" t="s">
        <v>599</v>
      </c>
      <c r="V12" s="747" t="s">
        <v>600</v>
      </c>
      <c r="W12" s="747" t="s">
        <v>607</v>
      </c>
      <c r="X12" s="168"/>
      <c r="Y12" s="61"/>
      <c r="Z12" s="61"/>
      <c r="AA12" s="61"/>
      <c r="AB12" s="12">
        <v>1</v>
      </c>
      <c r="AC12" s="13" t="s">
        <v>35</v>
      </c>
      <c r="AD12" s="14">
        <v>0.5</v>
      </c>
      <c r="AE12" s="971">
        <v>43101</v>
      </c>
      <c r="AF12" s="974">
        <v>43465</v>
      </c>
      <c r="AG12" s="980" t="s">
        <v>28</v>
      </c>
      <c r="AI12" s="275">
        <v>1</v>
      </c>
      <c r="AJ12" s="244" t="s">
        <v>608</v>
      </c>
      <c r="AK12" s="81">
        <f t="shared" si="0"/>
        <v>0.5</v>
      </c>
      <c r="AL12" s="84">
        <f>AK12*I12</f>
        <v>0.1</v>
      </c>
      <c r="AM12" s="1"/>
      <c r="AN12" s="1"/>
      <c r="AO12" s="1"/>
      <c r="AP12" s="1"/>
      <c r="AQ12" s="1"/>
    </row>
    <row r="13" spans="2:43" ht="76.5" hidden="1" customHeight="1" thickBot="1" x14ac:dyDescent="0.3">
      <c r="B13" s="57" t="s">
        <v>388</v>
      </c>
      <c r="C13" s="58" t="s">
        <v>389</v>
      </c>
      <c r="D13" s="52" t="s">
        <v>23</v>
      </c>
      <c r="E13" s="229" t="s">
        <v>532</v>
      </c>
      <c r="F13" s="53" t="s">
        <v>24</v>
      </c>
      <c r="G13" s="786"/>
      <c r="H13" s="789"/>
      <c r="I13" s="771"/>
      <c r="J13" s="770"/>
      <c r="K13" s="771"/>
      <c r="L13" s="771"/>
      <c r="M13" s="784"/>
      <c r="N13" s="762"/>
      <c r="O13" s="762"/>
      <c r="P13" s="762"/>
      <c r="Q13" s="762"/>
      <c r="R13" s="165"/>
      <c r="S13" s="747"/>
      <c r="T13" s="747"/>
      <c r="U13" s="747"/>
      <c r="V13" s="747"/>
      <c r="W13" s="747"/>
      <c r="X13" s="168"/>
      <c r="Y13" s="61"/>
      <c r="Z13" s="61"/>
      <c r="AA13" s="61"/>
      <c r="AB13" s="12">
        <v>2</v>
      </c>
      <c r="AC13" s="13" t="s">
        <v>36</v>
      </c>
      <c r="AD13" s="14">
        <v>0.3</v>
      </c>
      <c r="AE13" s="972"/>
      <c r="AF13" s="975"/>
      <c r="AG13" s="981"/>
      <c r="AI13" s="275">
        <v>1</v>
      </c>
      <c r="AJ13" s="244" t="s">
        <v>608</v>
      </c>
      <c r="AK13" s="81">
        <f t="shared" si="0"/>
        <v>0.3</v>
      </c>
      <c r="AL13" s="84">
        <f>AK13*I12</f>
        <v>0.06</v>
      </c>
      <c r="AM13" s="1"/>
      <c r="AN13" s="1"/>
      <c r="AO13" s="1"/>
      <c r="AP13" s="1"/>
      <c r="AQ13" s="1"/>
    </row>
    <row r="14" spans="2:43" ht="76.5" hidden="1" customHeight="1" thickBot="1" x14ac:dyDescent="0.3">
      <c r="B14" s="57" t="s">
        <v>388</v>
      </c>
      <c r="C14" s="58" t="s">
        <v>389</v>
      </c>
      <c r="D14" s="52" t="s">
        <v>23</v>
      </c>
      <c r="E14" s="229" t="s">
        <v>532</v>
      </c>
      <c r="F14" s="53" t="s">
        <v>24</v>
      </c>
      <c r="G14" s="787"/>
      <c r="H14" s="790"/>
      <c r="I14" s="756"/>
      <c r="J14" s="769"/>
      <c r="K14" s="756"/>
      <c r="L14" s="756"/>
      <c r="M14" s="791"/>
      <c r="N14" s="813"/>
      <c r="O14" s="813"/>
      <c r="P14" s="813"/>
      <c r="Q14" s="813"/>
      <c r="R14" s="166"/>
      <c r="S14" s="747"/>
      <c r="T14" s="747"/>
      <c r="U14" s="747"/>
      <c r="V14" s="747"/>
      <c r="W14" s="747"/>
      <c r="X14" s="169"/>
      <c r="Y14" s="62"/>
      <c r="Z14" s="62"/>
      <c r="AA14" s="62"/>
      <c r="AB14" s="12">
        <v>3</v>
      </c>
      <c r="AC14" s="13" t="s">
        <v>37</v>
      </c>
      <c r="AD14" s="14">
        <v>0.2</v>
      </c>
      <c r="AE14" s="973"/>
      <c r="AF14" s="976"/>
      <c r="AG14" s="982"/>
      <c r="AI14" s="275">
        <v>1</v>
      </c>
      <c r="AJ14" s="244" t="s">
        <v>608</v>
      </c>
      <c r="AK14" s="81">
        <f t="shared" si="0"/>
        <v>0.2</v>
      </c>
      <c r="AL14" s="84">
        <f>AK14*I12</f>
        <v>4.0000000000000008E-2</v>
      </c>
      <c r="AM14" s="1"/>
      <c r="AN14" s="1"/>
      <c r="AO14" s="1"/>
      <c r="AP14" s="1"/>
      <c r="AQ14" s="1"/>
    </row>
    <row r="15" spans="2:43" ht="76.5" hidden="1" customHeight="1" thickBot="1" x14ac:dyDescent="0.3">
      <c r="B15" s="57" t="s">
        <v>388</v>
      </c>
      <c r="C15" s="58" t="s">
        <v>389</v>
      </c>
      <c r="D15" s="52" t="s">
        <v>23</v>
      </c>
      <c r="E15" s="229" t="s">
        <v>532</v>
      </c>
      <c r="F15" s="53" t="s">
        <v>24</v>
      </c>
      <c r="G15" s="785">
        <v>3</v>
      </c>
      <c r="H15" s="788" t="s">
        <v>38</v>
      </c>
      <c r="I15" s="755">
        <v>0.2</v>
      </c>
      <c r="J15" s="768">
        <v>24</v>
      </c>
      <c r="K15" s="755" t="s">
        <v>33</v>
      </c>
      <c r="L15" s="755" t="s">
        <v>39</v>
      </c>
      <c r="M15" s="783" t="s">
        <v>28</v>
      </c>
      <c r="N15" s="845">
        <v>6</v>
      </c>
      <c r="O15" s="845">
        <v>12</v>
      </c>
      <c r="P15" s="845">
        <v>18</v>
      </c>
      <c r="Q15" s="845">
        <v>24</v>
      </c>
      <c r="R15" s="165"/>
      <c r="S15" s="977">
        <v>6</v>
      </c>
      <c r="T15" s="977">
        <v>6</v>
      </c>
      <c r="U15" s="977" t="s">
        <v>601</v>
      </c>
      <c r="V15" s="977" t="s">
        <v>602</v>
      </c>
      <c r="W15" s="977" t="s">
        <v>607</v>
      </c>
      <c r="X15" s="168"/>
      <c r="Y15" s="61"/>
      <c r="Z15" s="61"/>
      <c r="AA15" s="61"/>
      <c r="AB15" s="12">
        <v>1</v>
      </c>
      <c r="AC15" s="13" t="s">
        <v>40</v>
      </c>
      <c r="AD15" s="14">
        <v>0.4</v>
      </c>
      <c r="AE15" s="971">
        <v>43101</v>
      </c>
      <c r="AF15" s="974">
        <v>43465</v>
      </c>
      <c r="AG15" s="980" t="s">
        <v>28</v>
      </c>
      <c r="AI15" s="275">
        <v>1</v>
      </c>
      <c r="AJ15" s="274" t="s">
        <v>608</v>
      </c>
      <c r="AM15" s="1"/>
      <c r="AN15" s="1"/>
      <c r="AO15" s="1"/>
      <c r="AP15" s="1"/>
      <c r="AQ15" s="1"/>
    </row>
    <row r="16" spans="2:43" ht="76.5" hidden="1" customHeight="1" thickBot="1" x14ac:dyDescent="0.3">
      <c r="B16" s="57" t="s">
        <v>388</v>
      </c>
      <c r="C16" s="58" t="s">
        <v>389</v>
      </c>
      <c r="D16" s="52" t="s">
        <v>23</v>
      </c>
      <c r="E16" s="229" t="s">
        <v>532</v>
      </c>
      <c r="F16" s="53" t="s">
        <v>24</v>
      </c>
      <c r="G16" s="786"/>
      <c r="H16" s="789"/>
      <c r="I16" s="771"/>
      <c r="J16" s="770"/>
      <c r="K16" s="771"/>
      <c r="L16" s="771"/>
      <c r="M16" s="784"/>
      <c r="N16" s="762"/>
      <c r="O16" s="762"/>
      <c r="P16" s="762"/>
      <c r="Q16" s="762"/>
      <c r="R16" s="165"/>
      <c r="S16" s="978"/>
      <c r="T16" s="978"/>
      <c r="U16" s="978"/>
      <c r="V16" s="978"/>
      <c r="W16" s="978"/>
      <c r="X16" s="168"/>
      <c r="Y16" s="61"/>
      <c r="Z16" s="61"/>
      <c r="AA16" s="61"/>
      <c r="AB16" s="12">
        <v>2</v>
      </c>
      <c r="AC16" s="13" t="s">
        <v>41</v>
      </c>
      <c r="AD16" s="14">
        <v>0.3</v>
      </c>
      <c r="AE16" s="972"/>
      <c r="AF16" s="975"/>
      <c r="AG16" s="981"/>
      <c r="AI16" s="275">
        <v>1</v>
      </c>
      <c r="AJ16" s="274" t="s">
        <v>608</v>
      </c>
      <c r="AM16" s="1"/>
      <c r="AN16" s="1"/>
      <c r="AO16" s="1"/>
      <c r="AP16" s="1"/>
      <c r="AQ16" s="1"/>
    </row>
    <row r="17" spans="2:43" ht="76.5" hidden="1" customHeight="1" thickBot="1" x14ac:dyDescent="0.3">
      <c r="B17" s="57" t="s">
        <v>388</v>
      </c>
      <c r="C17" s="58" t="s">
        <v>389</v>
      </c>
      <c r="D17" s="52" t="s">
        <v>23</v>
      </c>
      <c r="E17" s="229" t="s">
        <v>532</v>
      </c>
      <c r="F17" s="53" t="s">
        <v>24</v>
      </c>
      <c r="G17" s="786"/>
      <c r="H17" s="789"/>
      <c r="I17" s="771"/>
      <c r="J17" s="770"/>
      <c r="K17" s="771"/>
      <c r="L17" s="771"/>
      <c r="M17" s="784"/>
      <c r="N17" s="762"/>
      <c r="O17" s="762"/>
      <c r="P17" s="762"/>
      <c r="Q17" s="762"/>
      <c r="R17" s="165"/>
      <c r="S17" s="978"/>
      <c r="T17" s="978"/>
      <c r="U17" s="978"/>
      <c r="V17" s="978"/>
      <c r="W17" s="978"/>
      <c r="X17" s="168"/>
      <c r="Y17" s="61"/>
      <c r="Z17" s="61"/>
      <c r="AA17" s="61"/>
      <c r="AB17" s="12">
        <v>3</v>
      </c>
      <c r="AC17" s="13" t="s">
        <v>36</v>
      </c>
      <c r="AD17" s="14">
        <v>0.2</v>
      </c>
      <c r="AE17" s="972"/>
      <c r="AF17" s="975"/>
      <c r="AG17" s="982"/>
      <c r="AI17" s="275">
        <v>1</v>
      </c>
      <c r="AJ17" s="274" t="s">
        <v>608</v>
      </c>
      <c r="AM17" s="1"/>
      <c r="AN17" s="1"/>
      <c r="AO17" s="1"/>
      <c r="AP17" s="1"/>
      <c r="AQ17" s="1"/>
    </row>
    <row r="18" spans="2:43" ht="76.5" hidden="1" customHeight="1" thickBot="1" x14ac:dyDescent="0.3">
      <c r="B18" s="57" t="s">
        <v>388</v>
      </c>
      <c r="C18" s="58" t="s">
        <v>389</v>
      </c>
      <c r="D18" s="52" t="s">
        <v>23</v>
      </c>
      <c r="E18" s="229" t="s">
        <v>532</v>
      </c>
      <c r="F18" s="53" t="s">
        <v>24</v>
      </c>
      <c r="G18" s="787"/>
      <c r="H18" s="790"/>
      <c r="I18" s="756"/>
      <c r="J18" s="769"/>
      <c r="K18" s="756"/>
      <c r="L18" s="756"/>
      <c r="M18" s="791"/>
      <c r="N18" s="813"/>
      <c r="O18" s="813"/>
      <c r="P18" s="813"/>
      <c r="Q18" s="813"/>
      <c r="R18" s="166"/>
      <c r="S18" s="979"/>
      <c r="T18" s="979"/>
      <c r="U18" s="979"/>
      <c r="V18" s="979"/>
      <c r="W18" s="979"/>
      <c r="X18" s="169"/>
      <c r="Y18" s="62"/>
      <c r="Z18" s="62"/>
      <c r="AA18" s="62"/>
      <c r="AB18" s="12">
        <v>4</v>
      </c>
      <c r="AC18" s="13" t="s">
        <v>42</v>
      </c>
      <c r="AD18" s="14">
        <v>0.1</v>
      </c>
      <c r="AE18" s="973"/>
      <c r="AF18" s="976"/>
      <c r="AG18" s="15"/>
      <c r="AI18" s="275">
        <v>1</v>
      </c>
      <c r="AJ18" s="274" t="s">
        <v>608</v>
      </c>
      <c r="AM18" s="1"/>
      <c r="AN18" s="1"/>
      <c r="AO18" s="1"/>
      <c r="AP18" s="1"/>
      <c r="AQ18" s="1"/>
    </row>
    <row r="19" spans="2:43" ht="76.5" hidden="1" customHeight="1" thickBot="1" x14ac:dyDescent="0.3">
      <c r="B19" s="57" t="s">
        <v>388</v>
      </c>
      <c r="C19" s="58" t="s">
        <v>389</v>
      </c>
      <c r="D19" s="52" t="s">
        <v>23</v>
      </c>
      <c r="E19" s="229" t="s">
        <v>532</v>
      </c>
      <c r="F19" s="53" t="s">
        <v>24</v>
      </c>
      <c r="G19" s="785">
        <v>4</v>
      </c>
      <c r="H19" s="788" t="s">
        <v>43</v>
      </c>
      <c r="I19" s="755">
        <v>0.2</v>
      </c>
      <c r="J19" s="768">
        <v>24</v>
      </c>
      <c r="K19" s="755" t="s">
        <v>33</v>
      </c>
      <c r="L19" s="755" t="s">
        <v>44</v>
      </c>
      <c r="M19" s="783" t="s">
        <v>28</v>
      </c>
      <c r="N19" s="845">
        <v>6</v>
      </c>
      <c r="O19" s="845">
        <v>12</v>
      </c>
      <c r="P19" s="845">
        <v>18</v>
      </c>
      <c r="Q19" s="845">
        <v>24</v>
      </c>
      <c r="R19" s="165"/>
      <c r="S19" s="977">
        <v>6</v>
      </c>
      <c r="T19" s="977">
        <v>6</v>
      </c>
      <c r="U19" s="977" t="s">
        <v>603</v>
      </c>
      <c r="V19" s="977" t="s">
        <v>604</v>
      </c>
      <c r="W19" s="747" t="s">
        <v>607</v>
      </c>
      <c r="X19" s="168"/>
      <c r="Y19" s="61"/>
      <c r="Z19" s="61"/>
      <c r="AA19" s="61"/>
      <c r="AB19" s="12">
        <v>1</v>
      </c>
      <c r="AC19" s="13" t="s">
        <v>45</v>
      </c>
      <c r="AD19" s="14">
        <v>0.5</v>
      </c>
      <c r="AE19" s="971">
        <v>43101</v>
      </c>
      <c r="AF19" s="974">
        <v>43465</v>
      </c>
      <c r="AG19" s="980" t="s">
        <v>28</v>
      </c>
      <c r="AI19" s="275">
        <v>1</v>
      </c>
      <c r="AJ19" s="274" t="s">
        <v>608</v>
      </c>
      <c r="AM19" s="1"/>
      <c r="AN19" s="1"/>
      <c r="AO19" s="1"/>
      <c r="AP19" s="1"/>
      <c r="AQ19" s="1"/>
    </row>
    <row r="20" spans="2:43" ht="76.5" hidden="1" customHeight="1" thickBot="1" x14ac:dyDescent="0.3">
      <c r="B20" s="57" t="s">
        <v>388</v>
      </c>
      <c r="C20" s="58" t="s">
        <v>389</v>
      </c>
      <c r="D20" s="52" t="s">
        <v>23</v>
      </c>
      <c r="E20" s="229" t="s">
        <v>532</v>
      </c>
      <c r="F20" s="53" t="s">
        <v>24</v>
      </c>
      <c r="G20" s="786"/>
      <c r="H20" s="789"/>
      <c r="I20" s="771"/>
      <c r="J20" s="770"/>
      <c r="K20" s="771"/>
      <c r="L20" s="771"/>
      <c r="M20" s="784"/>
      <c r="N20" s="762"/>
      <c r="O20" s="762"/>
      <c r="P20" s="762"/>
      <c r="Q20" s="762"/>
      <c r="R20" s="165"/>
      <c r="S20" s="978"/>
      <c r="T20" s="978"/>
      <c r="U20" s="978"/>
      <c r="V20" s="978"/>
      <c r="W20" s="747"/>
      <c r="X20" s="168"/>
      <c r="Y20" s="61"/>
      <c r="Z20" s="61"/>
      <c r="AA20" s="61"/>
      <c r="AB20" s="12">
        <v>2</v>
      </c>
      <c r="AC20" s="13" t="s">
        <v>36</v>
      </c>
      <c r="AD20" s="14">
        <v>0.3</v>
      </c>
      <c r="AE20" s="972"/>
      <c r="AF20" s="975"/>
      <c r="AG20" s="981"/>
      <c r="AI20" s="275">
        <v>1</v>
      </c>
      <c r="AJ20" s="274" t="s">
        <v>608</v>
      </c>
      <c r="AM20" s="1"/>
      <c r="AN20" s="1"/>
      <c r="AO20" s="1"/>
      <c r="AP20" s="1"/>
      <c r="AQ20" s="1"/>
    </row>
    <row r="21" spans="2:43" ht="76.5" hidden="1" customHeight="1" thickBot="1" x14ac:dyDescent="0.3">
      <c r="B21" s="57" t="s">
        <v>388</v>
      </c>
      <c r="C21" s="58" t="s">
        <v>389</v>
      </c>
      <c r="D21" s="52" t="s">
        <v>23</v>
      </c>
      <c r="E21" s="229" t="s">
        <v>532</v>
      </c>
      <c r="F21" s="53" t="s">
        <v>24</v>
      </c>
      <c r="G21" s="787"/>
      <c r="H21" s="790"/>
      <c r="I21" s="756"/>
      <c r="J21" s="769"/>
      <c r="K21" s="756"/>
      <c r="L21" s="756"/>
      <c r="M21" s="791"/>
      <c r="N21" s="813"/>
      <c r="O21" s="813"/>
      <c r="P21" s="813"/>
      <c r="Q21" s="813"/>
      <c r="R21" s="166"/>
      <c r="S21" s="979"/>
      <c r="T21" s="979"/>
      <c r="U21" s="979"/>
      <c r="V21" s="979"/>
      <c r="W21" s="747"/>
      <c r="X21" s="169"/>
      <c r="Y21" s="62"/>
      <c r="Z21" s="62"/>
      <c r="AA21" s="62"/>
      <c r="AB21" s="12">
        <v>3</v>
      </c>
      <c r="AC21" s="13" t="s">
        <v>42</v>
      </c>
      <c r="AD21" s="14">
        <v>0.2</v>
      </c>
      <c r="AE21" s="973"/>
      <c r="AF21" s="976"/>
      <c r="AG21" s="982"/>
      <c r="AI21" s="275">
        <v>1</v>
      </c>
      <c r="AJ21" s="274" t="s">
        <v>608</v>
      </c>
      <c r="AM21" s="1"/>
      <c r="AN21" s="1"/>
      <c r="AO21" s="1"/>
      <c r="AP21" s="1"/>
      <c r="AQ21" s="1"/>
    </row>
    <row r="22" spans="2:43" ht="76.5" hidden="1" customHeight="1" thickBot="1" x14ac:dyDescent="0.3">
      <c r="B22" s="57" t="s">
        <v>388</v>
      </c>
      <c r="C22" s="58" t="s">
        <v>389</v>
      </c>
      <c r="D22" s="52" t="s">
        <v>23</v>
      </c>
      <c r="E22" s="229" t="s">
        <v>532</v>
      </c>
      <c r="F22" s="53" t="s">
        <v>24</v>
      </c>
      <c r="G22" s="785">
        <v>5</v>
      </c>
      <c r="H22" s="788" t="s">
        <v>46</v>
      </c>
      <c r="I22" s="755">
        <v>0.2</v>
      </c>
      <c r="J22" s="768">
        <v>44</v>
      </c>
      <c r="K22" s="755" t="s">
        <v>47</v>
      </c>
      <c r="L22" s="755" t="s">
        <v>48</v>
      </c>
      <c r="M22" s="783" t="s">
        <v>28</v>
      </c>
      <c r="N22" s="845">
        <v>11</v>
      </c>
      <c r="O22" s="845">
        <v>22</v>
      </c>
      <c r="P22" s="845">
        <v>33</v>
      </c>
      <c r="Q22" s="845">
        <v>44</v>
      </c>
      <c r="R22" s="165"/>
      <c r="S22" s="977">
        <v>11</v>
      </c>
      <c r="T22" s="977">
        <v>11</v>
      </c>
      <c r="U22" s="977" t="s">
        <v>605</v>
      </c>
      <c r="V22" s="977" t="s">
        <v>606</v>
      </c>
      <c r="W22" s="747" t="s">
        <v>607</v>
      </c>
      <c r="X22" s="168"/>
      <c r="Y22" s="61"/>
      <c r="Z22" s="61"/>
      <c r="AA22" s="61"/>
      <c r="AB22" s="12">
        <v>1</v>
      </c>
      <c r="AC22" s="13" t="s">
        <v>49</v>
      </c>
      <c r="AD22" s="14">
        <v>0.5</v>
      </c>
      <c r="AE22" s="971">
        <v>43101</v>
      </c>
      <c r="AF22" s="974">
        <v>43465</v>
      </c>
      <c r="AG22" s="980" t="s">
        <v>28</v>
      </c>
      <c r="AI22" s="275">
        <v>1</v>
      </c>
      <c r="AJ22" s="274" t="s">
        <v>608</v>
      </c>
      <c r="AM22" s="1"/>
      <c r="AN22" s="1"/>
      <c r="AO22" s="1"/>
      <c r="AP22" s="1"/>
      <c r="AQ22" s="1"/>
    </row>
    <row r="23" spans="2:43" ht="76.5" hidden="1" customHeight="1" thickBot="1" x14ac:dyDescent="0.3">
      <c r="B23" s="57" t="s">
        <v>388</v>
      </c>
      <c r="C23" s="58" t="s">
        <v>389</v>
      </c>
      <c r="D23" s="52" t="s">
        <v>23</v>
      </c>
      <c r="E23" s="229" t="s">
        <v>532</v>
      </c>
      <c r="F23" s="53" t="s">
        <v>24</v>
      </c>
      <c r="G23" s="786"/>
      <c r="H23" s="789"/>
      <c r="I23" s="771"/>
      <c r="J23" s="770"/>
      <c r="K23" s="771"/>
      <c r="L23" s="771"/>
      <c r="M23" s="784"/>
      <c r="N23" s="762"/>
      <c r="O23" s="762"/>
      <c r="P23" s="762"/>
      <c r="Q23" s="762"/>
      <c r="R23" s="165"/>
      <c r="S23" s="978"/>
      <c r="T23" s="978"/>
      <c r="U23" s="978"/>
      <c r="V23" s="978"/>
      <c r="W23" s="747"/>
      <c r="X23" s="168"/>
      <c r="Y23" s="61"/>
      <c r="Z23" s="61"/>
      <c r="AA23" s="61"/>
      <c r="AB23" s="12">
        <v>2</v>
      </c>
      <c r="AC23" s="13" t="s">
        <v>50</v>
      </c>
      <c r="AD23" s="14">
        <v>0.3</v>
      </c>
      <c r="AE23" s="972"/>
      <c r="AF23" s="975"/>
      <c r="AG23" s="981"/>
      <c r="AI23" s="275">
        <v>1</v>
      </c>
      <c r="AJ23" s="274" t="s">
        <v>608</v>
      </c>
      <c r="AM23" s="1"/>
      <c r="AN23" s="1"/>
      <c r="AO23" s="1"/>
      <c r="AP23" s="1"/>
      <c r="AQ23" s="1"/>
    </row>
    <row r="24" spans="2:43" ht="76.5" hidden="1" customHeight="1" thickBot="1" x14ac:dyDescent="0.3">
      <c r="B24" s="57" t="s">
        <v>388</v>
      </c>
      <c r="C24" s="58" t="s">
        <v>389</v>
      </c>
      <c r="D24" s="52" t="s">
        <v>23</v>
      </c>
      <c r="E24" s="229" t="s">
        <v>532</v>
      </c>
      <c r="F24" s="53" t="s">
        <v>24</v>
      </c>
      <c r="G24" s="787"/>
      <c r="H24" s="790"/>
      <c r="I24" s="756"/>
      <c r="J24" s="769"/>
      <c r="K24" s="756"/>
      <c r="L24" s="756"/>
      <c r="M24" s="791"/>
      <c r="N24" s="813"/>
      <c r="O24" s="813"/>
      <c r="P24" s="813"/>
      <c r="Q24" s="813"/>
      <c r="R24" s="166"/>
      <c r="S24" s="979"/>
      <c r="T24" s="979"/>
      <c r="U24" s="979"/>
      <c r="V24" s="979"/>
      <c r="W24" s="747"/>
      <c r="X24" s="169"/>
      <c r="Y24" s="62"/>
      <c r="Z24" s="62"/>
      <c r="AA24" s="62"/>
      <c r="AB24" s="12">
        <v>3</v>
      </c>
      <c r="AC24" s="13" t="s">
        <v>51</v>
      </c>
      <c r="AD24" s="14">
        <v>0.2</v>
      </c>
      <c r="AE24" s="973"/>
      <c r="AF24" s="976"/>
      <c r="AG24" s="982"/>
      <c r="AI24" s="275">
        <v>1</v>
      </c>
      <c r="AJ24" s="274" t="s">
        <v>608</v>
      </c>
      <c r="AM24" s="1"/>
      <c r="AN24" s="1"/>
      <c r="AO24" s="1"/>
      <c r="AP24" s="1"/>
      <c r="AQ24" s="1"/>
    </row>
    <row r="25" spans="2:43" ht="76.5" hidden="1" customHeight="1" thickBot="1" x14ac:dyDescent="0.3">
      <c r="B25" s="57" t="s">
        <v>388</v>
      </c>
      <c r="C25" s="58" t="s">
        <v>389</v>
      </c>
      <c r="D25" s="16" t="s">
        <v>52</v>
      </c>
      <c r="E25" s="229" t="s">
        <v>533</v>
      </c>
      <c r="F25" s="17" t="s">
        <v>53</v>
      </c>
      <c r="G25" s="18">
        <v>1</v>
      </c>
      <c r="H25" s="17" t="s">
        <v>54</v>
      </c>
      <c r="I25" s="19">
        <v>1</v>
      </c>
      <c r="J25" s="20">
        <v>100</v>
      </c>
      <c r="K25" s="19" t="s">
        <v>184</v>
      </c>
      <c r="L25" s="17" t="s">
        <v>55</v>
      </c>
      <c r="M25" s="19" t="s">
        <v>56</v>
      </c>
      <c r="N25" s="21">
        <v>0.25</v>
      </c>
      <c r="O25" s="21">
        <v>0.5</v>
      </c>
      <c r="P25" s="21">
        <v>0.75</v>
      </c>
      <c r="Q25" s="21">
        <v>1</v>
      </c>
      <c r="R25" s="167"/>
      <c r="S25" s="237"/>
      <c r="T25" s="237"/>
      <c r="U25" s="237"/>
      <c r="V25" s="237"/>
      <c r="W25" s="237"/>
      <c r="X25" s="171"/>
      <c r="Y25" s="64"/>
      <c r="Z25" s="64"/>
      <c r="AA25" s="64"/>
      <c r="AB25" s="12">
        <v>1</v>
      </c>
      <c r="AC25" s="13" t="s">
        <v>57</v>
      </c>
      <c r="AD25" s="14">
        <v>1</v>
      </c>
      <c r="AE25" s="22">
        <v>43101</v>
      </c>
      <c r="AF25" s="22">
        <v>43465</v>
      </c>
      <c r="AG25" s="15" t="s">
        <v>58</v>
      </c>
      <c r="AI25" s="245"/>
      <c r="AJ25" s="245"/>
      <c r="AM25" s="1"/>
      <c r="AN25" s="1"/>
      <c r="AO25" s="1"/>
      <c r="AP25" s="1"/>
      <c r="AQ25" s="1"/>
    </row>
    <row r="26" spans="2:43" ht="79.5" hidden="1" customHeight="1" thickBot="1" x14ac:dyDescent="0.3">
      <c r="B26" s="57" t="s">
        <v>388</v>
      </c>
      <c r="C26" s="58" t="s">
        <v>389</v>
      </c>
      <c r="D26" s="53" t="s">
        <v>23</v>
      </c>
      <c r="E26" s="229" t="s">
        <v>533</v>
      </c>
      <c r="F26" s="53" t="s">
        <v>59</v>
      </c>
      <c r="G26" s="785">
        <v>1</v>
      </c>
      <c r="H26" s="962" t="s">
        <v>586</v>
      </c>
      <c r="I26" s="969">
        <v>7.1400000000000005E-2</v>
      </c>
      <c r="J26" s="959">
        <v>6</v>
      </c>
      <c r="K26" s="960" t="s">
        <v>91</v>
      </c>
      <c r="L26" s="960" t="s">
        <v>588</v>
      </c>
      <c r="M26" s="961" t="s">
        <v>60</v>
      </c>
      <c r="N26" s="984">
        <v>2</v>
      </c>
      <c r="O26" s="984">
        <v>2</v>
      </c>
      <c r="P26" s="984">
        <v>2</v>
      </c>
      <c r="Q26" s="846">
        <v>0</v>
      </c>
      <c r="R26" s="987"/>
      <c r="S26" s="748"/>
      <c r="T26" s="748"/>
      <c r="U26" s="748"/>
      <c r="V26" s="748"/>
      <c r="W26" s="748"/>
      <c r="X26" s="988" t="e">
        <f>T26/S26</f>
        <v>#DIV/0!</v>
      </c>
      <c r="Y26" s="79"/>
      <c r="Z26" s="61"/>
      <c r="AA26" s="61"/>
      <c r="AB26" s="12">
        <v>1</v>
      </c>
      <c r="AC26" s="271" t="s">
        <v>589</v>
      </c>
      <c r="AD26" s="269">
        <v>0.9</v>
      </c>
      <c r="AE26" s="270">
        <v>43132</v>
      </c>
      <c r="AF26" s="270">
        <v>43373</v>
      </c>
      <c r="AG26" s="265" t="s">
        <v>60</v>
      </c>
      <c r="AI26" s="245"/>
      <c r="AJ26" s="245"/>
    </row>
    <row r="27" spans="2:43" ht="63.75" hidden="1" thickBot="1" x14ac:dyDescent="0.3">
      <c r="B27" s="57" t="s">
        <v>388</v>
      </c>
      <c r="C27" s="58" t="s">
        <v>389</v>
      </c>
      <c r="D27" s="53" t="s">
        <v>23</v>
      </c>
      <c r="E27" s="229" t="s">
        <v>533</v>
      </c>
      <c r="F27" s="53" t="s">
        <v>59</v>
      </c>
      <c r="G27" s="787"/>
      <c r="H27" s="790"/>
      <c r="I27" s="970"/>
      <c r="J27" s="769"/>
      <c r="K27" s="756"/>
      <c r="L27" s="756"/>
      <c r="M27" s="791"/>
      <c r="N27" s="986"/>
      <c r="O27" s="986"/>
      <c r="P27" s="985"/>
      <c r="Q27" s="967"/>
      <c r="R27" s="987"/>
      <c r="S27" s="747"/>
      <c r="T27" s="747"/>
      <c r="U27" s="748"/>
      <c r="V27" s="748"/>
      <c r="W27" s="748"/>
      <c r="X27" s="989"/>
      <c r="Y27" s="73"/>
      <c r="Z27" s="73"/>
      <c r="AA27" s="73"/>
      <c r="AB27" s="12">
        <v>2</v>
      </c>
      <c r="AC27" s="271" t="s">
        <v>590</v>
      </c>
      <c r="AD27" s="269">
        <v>0.1</v>
      </c>
      <c r="AE27" s="270">
        <v>43040</v>
      </c>
      <c r="AF27" s="270">
        <v>43446</v>
      </c>
      <c r="AG27" s="265" t="s">
        <v>60</v>
      </c>
      <c r="AI27" s="245"/>
      <c r="AJ27" s="245"/>
    </row>
    <row r="28" spans="2:43" ht="79.5" hidden="1" customHeight="1" thickBot="1" x14ac:dyDescent="0.3">
      <c r="B28" s="57" t="s">
        <v>388</v>
      </c>
      <c r="C28" s="58" t="s">
        <v>389</v>
      </c>
      <c r="D28" s="53" t="s">
        <v>23</v>
      </c>
      <c r="E28" s="229" t="s">
        <v>533</v>
      </c>
      <c r="F28" s="53" t="s">
        <v>59</v>
      </c>
      <c r="G28" s="965">
        <v>2</v>
      </c>
      <c r="H28" s="968" t="s">
        <v>587</v>
      </c>
      <c r="I28" s="771">
        <v>7.1400000000000005E-2</v>
      </c>
      <c r="J28" s="948">
        <v>17</v>
      </c>
      <c r="K28" s="772" t="s">
        <v>91</v>
      </c>
      <c r="L28" s="772" t="s">
        <v>591</v>
      </c>
      <c r="M28" s="772" t="s">
        <v>60</v>
      </c>
      <c r="N28" s="983">
        <v>5</v>
      </c>
      <c r="O28" s="983">
        <v>5</v>
      </c>
      <c r="P28" s="983">
        <v>7</v>
      </c>
      <c r="Q28" s="983">
        <v>0</v>
      </c>
      <c r="R28" s="230"/>
      <c r="S28" s="237"/>
      <c r="T28" s="237"/>
      <c r="U28" s="237"/>
      <c r="V28" s="237"/>
      <c r="W28" s="237"/>
      <c r="X28" s="74"/>
      <c r="Y28" s="74"/>
      <c r="Z28" s="74"/>
      <c r="AA28" s="74"/>
      <c r="AB28" s="12">
        <v>1</v>
      </c>
      <c r="AC28" s="268" t="s">
        <v>592</v>
      </c>
      <c r="AD28" s="269">
        <v>0.5</v>
      </c>
      <c r="AE28" s="270">
        <v>43160</v>
      </c>
      <c r="AF28" s="270">
        <v>43281</v>
      </c>
      <c r="AG28" s="265" t="s">
        <v>60</v>
      </c>
      <c r="AI28" s="245"/>
      <c r="AJ28" s="245"/>
    </row>
    <row r="29" spans="2:43" ht="63.75" hidden="1" thickBot="1" x14ac:dyDescent="0.3">
      <c r="B29" s="57" t="s">
        <v>388</v>
      </c>
      <c r="C29" s="58" t="s">
        <v>389</v>
      </c>
      <c r="D29" s="53" t="s">
        <v>23</v>
      </c>
      <c r="E29" s="229" t="s">
        <v>533</v>
      </c>
      <c r="F29" s="53" t="s">
        <v>59</v>
      </c>
      <c r="G29" s="965"/>
      <c r="H29" s="968"/>
      <c r="I29" s="772"/>
      <c r="J29" s="948"/>
      <c r="K29" s="772"/>
      <c r="L29" s="772"/>
      <c r="M29" s="772"/>
      <c r="N29" s="983"/>
      <c r="O29" s="983"/>
      <c r="P29" s="983"/>
      <c r="Q29" s="983"/>
      <c r="R29" s="231"/>
      <c r="S29" s="236"/>
      <c r="T29" s="236"/>
      <c r="U29" s="236"/>
      <c r="V29" s="236"/>
      <c r="W29" s="236"/>
      <c r="X29" s="73"/>
      <c r="Y29" s="73"/>
      <c r="Z29" s="73"/>
      <c r="AA29" s="73"/>
      <c r="AB29" s="12">
        <v>2</v>
      </c>
      <c r="AC29" s="268" t="s">
        <v>593</v>
      </c>
      <c r="AD29" s="269">
        <v>0.5</v>
      </c>
      <c r="AE29" s="270">
        <v>43282</v>
      </c>
      <c r="AF29" s="270">
        <v>43465</v>
      </c>
      <c r="AG29" s="265" t="s">
        <v>60</v>
      </c>
      <c r="AI29" s="245"/>
      <c r="AJ29" s="245"/>
    </row>
    <row r="30" spans="2:43" ht="79.5" hidden="1" customHeight="1" thickBot="1" x14ac:dyDescent="0.3">
      <c r="B30" s="57" t="s">
        <v>388</v>
      </c>
      <c r="C30" s="58" t="s">
        <v>390</v>
      </c>
      <c r="D30" s="52" t="s">
        <v>23</v>
      </c>
      <c r="E30" s="229" t="s">
        <v>534</v>
      </c>
      <c r="F30" s="53" t="s">
        <v>59</v>
      </c>
      <c r="G30" s="785">
        <v>3</v>
      </c>
      <c r="H30" s="962" t="s">
        <v>61</v>
      </c>
      <c r="I30" s="771">
        <v>7.1400000000000005E-2</v>
      </c>
      <c r="J30" s="770">
        <v>100</v>
      </c>
      <c r="K30" s="771" t="s">
        <v>184</v>
      </c>
      <c r="L30" s="771" t="s">
        <v>62</v>
      </c>
      <c r="M30" s="784" t="s">
        <v>293</v>
      </c>
      <c r="N30" s="761">
        <v>0.5</v>
      </c>
      <c r="O30" s="761">
        <v>1</v>
      </c>
      <c r="P30" s="761"/>
      <c r="Q30" s="763"/>
      <c r="R30" s="231"/>
      <c r="S30" s="747"/>
      <c r="T30" s="747"/>
      <c r="U30" s="747"/>
      <c r="V30" s="747"/>
      <c r="W30" s="747"/>
      <c r="X30" s="168"/>
      <c r="Y30" s="61"/>
      <c r="Z30" s="61"/>
      <c r="AA30" s="61"/>
      <c r="AB30" s="12">
        <v>1</v>
      </c>
      <c r="AC30" s="156" t="s">
        <v>63</v>
      </c>
      <c r="AD30" s="14">
        <v>0.4</v>
      </c>
      <c r="AE30" s="22">
        <v>43132</v>
      </c>
      <c r="AF30" s="22">
        <v>43189</v>
      </c>
      <c r="AG30" s="15" t="s">
        <v>64</v>
      </c>
      <c r="AI30" s="245"/>
      <c r="AJ30" s="245"/>
    </row>
    <row r="31" spans="2:43" ht="63.75" hidden="1" thickBot="1" x14ac:dyDescent="0.3">
      <c r="B31" s="57" t="s">
        <v>388</v>
      </c>
      <c r="C31" s="58" t="s">
        <v>390</v>
      </c>
      <c r="D31" s="52" t="s">
        <v>23</v>
      </c>
      <c r="E31" s="229" t="s">
        <v>534</v>
      </c>
      <c r="F31" s="53" t="s">
        <v>59</v>
      </c>
      <c r="G31" s="786"/>
      <c r="H31" s="789"/>
      <c r="I31" s="771"/>
      <c r="J31" s="770"/>
      <c r="K31" s="771"/>
      <c r="L31" s="771"/>
      <c r="M31" s="784"/>
      <c r="N31" s="761"/>
      <c r="O31" s="761"/>
      <c r="P31" s="761"/>
      <c r="Q31" s="763"/>
      <c r="R31" s="231"/>
      <c r="S31" s="747"/>
      <c r="T31" s="747"/>
      <c r="U31" s="747"/>
      <c r="V31" s="747"/>
      <c r="W31" s="747"/>
      <c r="X31" s="168"/>
      <c r="Y31" s="61"/>
      <c r="Z31" s="61"/>
      <c r="AA31" s="61"/>
      <c r="AB31" s="12">
        <v>2</v>
      </c>
      <c r="AC31" s="13" t="s">
        <v>65</v>
      </c>
      <c r="AD31" s="14">
        <v>0.4</v>
      </c>
      <c r="AE31" s="22">
        <v>43191</v>
      </c>
      <c r="AF31" s="22">
        <v>43250</v>
      </c>
      <c r="AG31" s="15" t="s">
        <v>64</v>
      </c>
      <c r="AI31" s="245"/>
      <c r="AJ31" s="245"/>
    </row>
    <row r="32" spans="2:43" ht="63.75" hidden="1" thickBot="1" x14ac:dyDescent="0.3">
      <c r="B32" s="57" t="s">
        <v>388</v>
      </c>
      <c r="C32" s="58" t="s">
        <v>390</v>
      </c>
      <c r="D32" s="52" t="s">
        <v>23</v>
      </c>
      <c r="E32" s="229" t="s">
        <v>534</v>
      </c>
      <c r="F32" s="53" t="s">
        <v>59</v>
      </c>
      <c r="G32" s="786"/>
      <c r="H32" s="789"/>
      <c r="I32" s="771"/>
      <c r="J32" s="770"/>
      <c r="K32" s="771"/>
      <c r="L32" s="771"/>
      <c r="M32" s="784"/>
      <c r="N32" s="762"/>
      <c r="O32" s="762"/>
      <c r="P32" s="762"/>
      <c r="Q32" s="763"/>
      <c r="R32" s="231"/>
      <c r="S32" s="747"/>
      <c r="T32" s="747"/>
      <c r="U32" s="747"/>
      <c r="V32" s="747"/>
      <c r="W32" s="747"/>
      <c r="X32" s="168"/>
      <c r="Y32" s="61"/>
      <c r="Z32" s="61"/>
      <c r="AA32" s="61"/>
      <c r="AB32" s="12">
        <v>3</v>
      </c>
      <c r="AC32" s="13" t="s">
        <v>66</v>
      </c>
      <c r="AD32" s="14">
        <v>0.2</v>
      </c>
      <c r="AE32" s="22">
        <v>42887</v>
      </c>
      <c r="AF32" s="22">
        <v>43311</v>
      </c>
      <c r="AG32" s="15" t="s">
        <v>64</v>
      </c>
      <c r="AI32" s="245"/>
      <c r="AJ32" s="245"/>
    </row>
    <row r="33" spans="2:36" ht="79.5" hidden="1" customHeight="1" thickBot="1" x14ac:dyDescent="0.3">
      <c r="B33" s="57" t="s">
        <v>388</v>
      </c>
      <c r="C33" s="58" t="s">
        <v>390</v>
      </c>
      <c r="D33" s="52" t="s">
        <v>23</v>
      </c>
      <c r="E33" s="229" t="s">
        <v>534</v>
      </c>
      <c r="F33" s="53" t="s">
        <v>59</v>
      </c>
      <c r="G33" s="764">
        <v>4</v>
      </c>
      <c r="H33" s="766" t="s">
        <v>67</v>
      </c>
      <c r="I33" s="755">
        <v>7.1400000000000005E-2</v>
      </c>
      <c r="J33" s="768">
        <v>100</v>
      </c>
      <c r="K33" s="755" t="s">
        <v>184</v>
      </c>
      <c r="L33" s="755" t="s">
        <v>294</v>
      </c>
      <c r="M33" s="755" t="s">
        <v>293</v>
      </c>
      <c r="N33" s="757">
        <v>0.5</v>
      </c>
      <c r="O33" s="757">
        <v>1</v>
      </c>
      <c r="P33" s="757"/>
      <c r="Q33" s="759"/>
      <c r="R33" s="230"/>
      <c r="S33" s="748"/>
      <c r="T33" s="748"/>
      <c r="U33" s="748"/>
      <c r="V33" s="748"/>
      <c r="W33" s="748"/>
      <c r="X33" s="74"/>
      <c r="Y33" s="74"/>
      <c r="Z33" s="74"/>
      <c r="AA33" s="74"/>
      <c r="AB33" s="12">
        <v>1</v>
      </c>
      <c r="AC33" s="13" t="s">
        <v>295</v>
      </c>
      <c r="AD33" s="14">
        <v>0.2</v>
      </c>
      <c r="AE33" s="22">
        <v>43132</v>
      </c>
      <c r="AF33" s="22">
        <v>43189</v>
      </c>
      <c r="AG33" s="15" t="s">
        <v>68</v>
      </c>
      <c r="AI33" s="245"/>
      <c r="AJ33" s="245"/>
    </row>
    <row r="34" spans="2:36" ht="63.75" hidden="1" thickBot="1" x14ac:dyDescent="0.3">
      <c r="B34" s="57" t="s">
        <v>388</v>
      </c>
      <c r="C34" s="58" t="s">
        <v>390</v>
      </c>
      <c r="D34" s="52" t="s">
        <v>23</v>
      </c>
      <c r="E34" s="229" t="s">
        <v>534</v>
      </c>
      <c r="F34" s="53" t="s">
        <v>59</v>
      </c>
      <c r="G34" s="765"/>
      <c r="H34" s="767"/>
      <c r="I34" s="756"/>
      <c r="J34" s="769"/>
      <c r="K34" s="756"/>
      <c r="L34" s="756"/>
      <c r="M34" s="756"/>
      <c r="N34" s="758"/>
      <c r="O34" s="758"/>
      <c r="P34" s="758"/>
      <c r="Q34" s="760"/>
      <c r="R34" s="230"/>
      <c r="S34" s="748"/>
      <c r="T34" s="748"/>
      <c r="U34" s="748"/>
      <c r="V34" s="748"/>
      <c r="W34" s="748"/>
      <c r="X34" s="74"/>
      <c r="Y34" s="74"/>
      <c r="Z34" s="74"/>
      <c r="AA34" s="74"/>
      <c r="AB34" s="12">
        <v>2</v>
      </c>
      <c r="AC34" s="13" t="s">
        <v>69</v>
      </c>
      <c r="AD34" s="14">
        <v>0.8</v>
      </c>
      <c r="AE34" s="22">
        <v>43191</v>
      </c>
      <c r="AF34" s="22">
        <v>43281</v>
      </c>
      <c r="AG34" s="15" t="s">
        <v>70</v>
      </c>
      <c r="AI34" s="245"/>
      <c r="AJ34" s="245"/>
    </row>
    <row r="35" spans="2:36" ht="79.5" hidden="1" customHeight="1" thickBot="1" x14ac:dyDescent="0.3">
      <c r="B35" s="57" t="s">
        <v>388</v>
      </c>
      <c r="C35" s="58" t="s">
        <v>390</v>
      </c>
      <c r="D35" s="52" t="s">
        <v>23</v>
      </c>
      <c r="E35" s="229" t="s">
        <v>534</v>
      </c>
      <c r="F35" s="53" t="s">
        <v>59</v>
      </c>
      <c r="G35" s="965">
        <v>5</v>
      </c>
      <c r="H35" s="966" t="s">
        <v>71</v>
      </c>
      <c r="I35" s="772">
        <v>7.1400000000000005E-2</v>
      </c>
      <c r="J35" s="948">
        <v>100</v>
      </c>
      <c r="K35" s="772" t="s">
        <v>184</v>
      </c>
      <c r="L35" s="772" t="s">
        <v>72</v>
      </c>
      <c r="M35" s="772" t="s">
        <v>293</v>
      </c>
      <c r="N35" s="963">
        <v>0.5</v>
      </c>
      <c r="O35" s="963">
        <v>1</v>
      </c>
      <c r="P35" s="963"/>
      <c r="Q35" s="964"/>
      <c r="R35" s="230"/>
      <c r="S35" s="748"/>
      <c r="T35" s="748"/>
      <c r="U35" s="748"/>
      <c r="V35" s="748"/>
      <c r="W35" s="748"/>
      <c r="X35" s="74"/>
      <c r="Y35" s="74"/>
      <c r="Z35" s="74"/>
      <c r="AA35" s="74"/>
      <c r="AB35" s="12">
        <v>1</v>
      </c>
      <c r="AC35" s="13" t="s">
        <v>73</v>
      </c>
      <c r="AD35" s="14">
        <v>0.5</v>
      </c>
      <c r="AE35" s="22">
        <v>43132</v>
      </c>
      <c r="AF35" s="22">
        <v>43189</v>
      </c>
      <c r="AG35" s="15" t="s">
        <v>74</v>
      </c>
      <c r="AI35" s="245"/>
      <c r="AJ35" s="245"/>
    </row>
    <row r="36" spans="2:36" ht="63.75" hidden="1" thickBot="1" x14ac:dyDescent="0.3">
      <c r="B36" s="57" t="s">
        <v>388</v>
      </c>
      <c r="C36" s="58" t="s">
        <v>390</v>
      </c>
      <c r="D36" s="52" t="s">
        <v>23</v>
      </c>
      <c r="E36" s="229" t="s">
        <v>534</v>
      </c>
      <c r="F36" s="53" t="s">
        <v>59</v>
      </c>
      <c r="G36" s="965"/>
      <c r="H36" s="966"/>
      <c r="I36" s="772"/>
      <c r="J36" s="948"/>
      <c r="K36" s="772"/>
      <c r="L36" s="772"/>
      <c r="M36" s="772"/>
      <c r="N36" s="942"/>
      <c r="O36" s="942"/>
      <c r="P36" s="942"/>
      <c r="Q36" s="967"/>
      <c r="R36" s="231"/>
      <c r="S36" s="748"/>
      <c r="T36" s="748"/>
      <c r="U36" s="748"/>
      <c r="V36" s="748"/>
      <c r="W36" s="748"/>
      <c r="X36" s="73"/>
      <c r="Y36" s="73"/>
      <c r="Z36" s="73"/>
      <c r="AA36" s="73"/>
      <c r="AB36" s="12">
        <v>2</v>
      </c>
      <c r="AC36" s="13" t="s">
        <v>75</v>
      </c>
      <c r="AD36" s="14">
        <v>0.5</v>
      </c>
      <c r="AE36" s="22">
        <v>43191</v>
      </c>
      <c r="AF36" s="22">
        <v>43281</v>
      </c>
      <c r="AG36" s="15" t="s">
        <v>74</v>
      </c>
      <c r="AI36" s="245"/>
      <c r="AJ36" s="245"/>
    </row>
    <row r="37" spans="2:36" ht="79.5" hidden="1" customHeight="1" thickBot="1" x14ac:dyDescent="0.3">
      <c r="B37" s="57" t="s">
        <v>388</v>
      </c>
      <c r="C37" s="58" t="s">
        <v>390</v>
      </c>
      <c r="D37" s="52" t="s">
        <v>23</v>
      </c>
      <c r="E37" s="229" t="s">
        <v>534</v>
      </c>
      <c r="F37" s="53" t="s">
        <v>59</v>
      </c>
      <c r="G37" s="965">
        <v>6</v>
      </c>
      <c r="H37" s="966" t="s">
        <v>76</v>
      </c>
      <c r="I37" s="772">
        <v>7.1400000000000005E-2</v>
      </c>
      <c r="J37" s="948">
        <v>100</v>
      </c>
      <c r="K37" s="772" t="s">
        <v>184</v>
      </c>
      <c r="L37" s="772" t="s">
        <v>72</v>
      </c>
      <c r="M37" s="772" t="s">
        <v>293</v>
      </c>
      <c r="N37" s="963">
        <v>0.2</v>
      </c>
      <c r="O37" s="963">
        <v>1</v>
      </c>
      <c r="P37" s="963"/>
      <c r="Q37" s="964"/>
      <c r="R37" s="230"/>
      <c r="S37" s="748"/>
      <c r="T37" s="748"/>
      <c r="U37" s="748"/>
      <c r="V37" s="748"/>
      <c r="W37" s="748"/>
      <c r="X37" s="74"/>
      <c r="Y37" s="74"/>
      <c r="Z37" s="74"/>
      <c r="AA37" s="74"/>
      <c r="AB37" s="12">
        <v>1</v>
      </c>
      <c r="AC37" s="13" t="s">
        <v>77</v>
      </c>
      <c r="AD37" s="14">
        <v>0.2</v>
      </c>
      <c r="AE37" s="22">
        <v>43132</v>
      </c>
      <c r="AF37" s="22">
        <v>43189</v>
      </c>
      <c r="AG37" s="15" t="s">
        <v>78</v>
      </c>
      <c r="AI37" s="245"/>
      <c r="AJ37" s="245"/>
    </row>
    <row r="38" spans="2:36" ht="63.75" hidden="1" thickBot="1" x14ac:dyDescent="0.3">
      <c r="B38" s="57" t="s">
        <v>388</v>
      </c>
      <c r="C38" s="58" t="s">
        <v>390</v>
      </c>
      <c r="D38" s="52" t="s">
        <v>23</v>
      </c>
      <c r="E38" s="229" t="s">
        <v>534</v>
      </c>
      <c r="F38" s="53" t="s">
        <v>59</v>
      </c>
      <c r="G38" s="965"/>
      <c r="H38" s="966"/>
      <c r="I38" s="772"/>
      <c r="J38" s="948"/>
      <c r="K38" s="772"/>
      <c r="L38" s="772"/>
      <c r="M38" s="772"/>
      <c r="N38" s="942"/>
      <c r="O38" s="942"/>
      <c r="P38" s="942"/>
      <c r="Q38" s="967"/>
      <c r="R38" s="231"/>
      <c r="S38" s="748"/>
      <c r="T38" s="748"/>
      <c r="U38" s="748"/>
      <c r="V38" s="748"/>
      <c r="W38" s="748"/>
      <c r="X38" s="73"/>
      <c r="Y38" s="73"/>
      <c r="Z38" s="73"/>
      <c r="AA38" s="73"/>
      <c r="AB38" s="12">
        <v>2</v>
      </c>
      <c r="AC38" s="156" t="s">
        <v>79</v>
      </c>
      <c r="AD38" s="14">
        <v>0.8</v>
      </c>
      <c r="AE38" s="22">
        <v>43191</v>
      </c>
      <c r="AF38" s="22">
        <v>43281</v>
      </c>
      <c r="AG38" s="15" t="s">
        <v>78</v>
      </c>
      <c r="AI38" s="245"/>
      <c r="AJ38" s="245"/>
    </row>
    <row r="39" spans="2:36" ht="79.5" hidden="1" customHeight="1" thickBot="1" x14ac:dyDescent="0.3">
      <c r="B39" s="57" t="s">
        <v>388</v>
      </c>
      <c r="C39" s="58" t="s">
        <v>390</v>
      </c>
      <c r="D39" s="52" t="s">
        <v>23</v>
      </c>
      <c r="E39" s="229" t="s">
        <v>534</v>
      </c>
      <c r="F39" s="53" t="s">
        <v>59</v>
      </c>
      <c r="G39" s="965">
        <v>7</v>
      </c>
      <c r="H39" s="966" t="s">
        <v>80</v>
      </c>
      <c r="I39" s="772">
        <v>7.1400000000000005E-2</v>
      </c>
      <c r="J39" s="948">
        <v>100</v>
      </c>
      <c r="K39" s="772" t="s">
        <v>184</v>
      </c>
      <c r="L39" s="772" t="s">
        <v>81</v>
      </c>
      <c r="M39" s="772" t="s">
        <v>293</v>
      </c>
      <c r="N39" s="963">
        <v>0.5</v>
      </c>
      <c r="O39" s="963">
        <v>0.5</v>
      </c>
      <c r="P39" s="963"/>
      <c r="Q39" s="964"/>
      <c r="R39" s="230"/>
      <c r="S39" s="748"/>
      <c r="T39" s="748"/>
      <c r="U39" s="748"/>
      <c r="V39" s="748"/>
      <c r="W39" s="748"/>
      <c r="X39" s="74"/>
      <c r="Y39" s="74"/>
      <c r="Z39" s="74"/>
      <c r="AA39" s="74"/>
      <c r="AB39" s="12">
        <v>1</v>
      </c>
      <c r="AC39" s="222" t="s">
        <v>526</v>
      </c>
      <c r="AD39" s="14">
        <v>0.8</v>
      </c>
      <c r="AE39" s="22">
        <v>43132</v>
      </c>
      <c r="AF39" s="22">
        <v>43250</v>
      </c>
      <c r="AG39" s="15" t="s">
        <v>74</v>
      </c>
      <c r="AI39" s="245"/>
      <c r="AJ39" s="245"/>
    </row>
    <row r="40" spans="2:36" ht="63.75" hidden="1" thickBot="1" x14ac:dyDescent="0.3">
      <c r="B40" s="57" t="s">
        <v>388</v>
      </c>
      <c r="C40" s="58" t="s">
        <v>390</v>
      </c>
      <c r="D40" s="52" t="s">
        <v>23</v>
      </c>
      <c r="E40" s="229" t="s">
        <v>534</v>
      </c>
      <c r="F40" s="53" t="s">
        <v>59</v>
      </c>
      <c r="G40" s="965"/>
      <c r="H40" s="966"/>
      <c r="I40" s="772"/>
      <c r="J40" s="948"/>
      <c r="K40" s="772"/>
      <c r="L40" s="772"/>
      <c r="M40" s="772"/>
      <c r="N40" s="942"/>
      <c r="O40" s="942"/>
      <c r="P40" s="942"/>
      <c r="Q40" s="967"/>
      <c r="R40" s="231"/>
      <c r="S40" s="748"/>
      <c r="T40" s="748"/>
      <c r="U40" s="748"/>
      <c r="V40" s="748"/>
      <c r="W40" s="748"/>
      <c r="X40" s="73"/>
      <c r="Y40" s="73"/>
      <c r="Z40" s="73"/>
      <c r="AA40" s="73"/>
      <c r="AB40" s="12">
        <v>2</v>
      </c>
      <c r="AC40" s="13" t="s">
        <v>82</v>
      </c>
      <c r="AD40" s="14">
        <v>0.2</v>
      </c>
      <c r="AE40" s="22">
        <v>43252</v>
      </c>
      <c r="AF40" s="22">
        <v>43281</v>
      </c>
      <c r="AG40" s="15" t="s">
        <v>74</v>
      </c>
      <c r="AI40" s="245"/>
      <c r="AJ40" s="245"/>
    </row>
    <row r="41" spans="2:36" ht="79.5" hidden="1" customHeight="1" thickBot="1" x14ac:dyDescent="0.3">
      <c r="B41" s="57" t="s">
        <v>388</v>
      </c>
      <c r="C41" s="58" t="s">
        <v>390</v>
      </c>
      <c r="D41" s="52" t="s">
        <v>23</v>
      </c>
      <c r="E41" s="229" t="s">
        <v>534</v>
      </c>
      <c r="F41" s="53" t="s">
        <v>59</v>
      </c>
      <c r="G41" s="965">
        <v>8</v>
      </c>
      <c r="H41" s="966" t="s">
        <v>83</v>
      </c>
      <c r="I41" s="772">
        <v>7.1400000000000005E-2</v>
      </c>
      <c r="J41" s="948">
        <v>100</v>
      </c>
      <c r="K41" s="772" t="s">
        <v>184</v>
      </c>
      <c r="L41" s="772" t="s">
        <v>296</v>
      </c>
      <c r="M41" s="772" t="s">
        <v>293</v>
      </c>
      <c r="N41" s="963">
        <v>0.3</v>
      </c>
      <c r="O41" s="963">
        <v>1</v>
      </c>
      <c r="P41" s="963"/>
      <c r="Q41" s="964"/>
      <c r="R41" s="230"/>
      <c r="S41" s="748"/>
      <c r="T41" s="748"/>
      <c r="U41" s="748"/>
      <c r="V41" s="748"/>
      <c r="W41" s="748"/>
      <c r="X41" s="74"/>
      <c r="Y41" s="74"/>
      <c r="Z41" s="74"/>
      <c r="AA41" s="74"/>
      <c r="AB41" s="12">
        <v>1</v>
      </c>
      <c r="AC41" s="13" t="s">
        <v>84</v>
      </c>
      <c r="AD41" s="14">
        <v>0.3</v>
      </c>
      <c r="AE41" s="22">
        <v>43132</v>
      </c>
      <c r="AF41" s="22">
        <v>43190</v>
      </c>
      <c r="AG41" s="15" t="s">
        <v>85</v>
      </c>
      <c r="AI41" s="245"/>
      <c r="AJ41" s="245"/>
    </row>
    <row r="42" spans="2:36" ht="63.75" hidden="1" thickBot="1" x14ac:dyDescent="0.3">
      <c r="B42" s="57" t="s">
        <v>388</v>
      </c>
      <c r="C42" s="58" t="s">
        <v>390</v>
      </c>
      <c r="D42" s="52" t="s">
        <v>23</v>
      </c>
      <c r="E42" s="229" t="s">
        <v>534</v>
      </c>
      <c r="F42" s="53" t="s">
        <v>59</v>
      </c>
      <c r="G42" s="965"/>
      <c r="H42" s="966"/>
      <c r="I42" s="772"/>
      <c r="J42" s="948"/>
      <c r="K42" s="772"/>
      <c r="L42" s="772"/>
      <c r="M42" s="772"/>
      <c r="N42" s="942"/>
      <c r="O42" s="942"/>
      <c r="P42" s="942"/>
      <c r="Q42" s="967"/>
      <c r="R42" s="231"/>
      <c r="S42" s="748"/>
      <c r="T42" s="748"/>
      <c r="U42" s="748"/>
      <c r="V42" s="748"/>
      <c r="W42" s="748"/>
      <c r="X42" s="73"/>
      <c r="Y42" s="73"/>
      <c r="Z42" s="73"/>
      <c r="AA42" s="73"/>
      <c r="AB42" s="12">
        <v>2</v>
      </c>
      <c r="AC42" s="13" t="s">
        <v>86</v>
      </c>
      <c r="AD42" s="14">
        <v>0.7</v>
      </c>
      <c r="AE42" s="22">
        <v>43191</v>
      </c>
      <c r="AF42" s="22">
        <v>43281</v>
      </c>
      <c r="AG42" s="15" t="s">
        <v>85</v>
      </c>
      <c r="AI42" s="245"/>
      <c r="AJ42" s="245"/>
    </row>
    <row r="43" spans="2:36" ht="79.5" hidden="1" customHeight="1" thickBot="1" x14ac:dyDescent="0.3">
      <c r="B43" s="57" t="s">
        <v>388</v>
      </c>
      <c r="C43" s="58" t="s">
        <v>390</v>
      </c>
      <c r="D43" s="52" t="s">
        <v>23</v>
      </c>
      <c r="E43" s="229" t="s">
        <v>534</v>
      </c>
      <c r="F43" s="53" t="s">
        <v>59</v>
      </c>
      <c r="G43" s="965">
        <v>9</v>
      </c>
      <c r="H43" s="966" t="s">
        <v>87</v>
      </c>
      <c r="I43" s="772">
        <v>7.1400000000000005E-2</v>
      </c>
      <c r="J43" s="948">
        <v>100</v>
      </c>
      <c r="K43" s="772" t="s">
        <v>184</v>
      </c>
      <c r="L43" s="772" t="s">
        <v>88</v>
      </c>
      <c r="M43" s="772" t="s">
        <v>293</v>
      </c>
      <c r="N43" s="963">
        <v>0.5</v>
      </c>
      <c r="O43" s="963">
        <v>1</v>
      </c>
      <c r="P43" s="963"/>
      <c r="Q43" s="964"/>
      <c r="R43" s="230"/>
      <c r="S43" s="748"/>
      <c r="T43" s="748"/>
      <c r="U43" s="748"/>
      <c r="V43" s="748"/>
      <c r="W43" s="748"/>
      <c r="X43" s="74"/>
      <c r="Y43" s="74"/>
      <c r="Z43" s="74"/>
      <c r="AA43" s="74"/>
      <c r="AB43" s="12">
        <v>1</v>
      </c>
      <c r="AC43" s="13" t="s">
        <v>89</v>
      </c>
      <c r="AD43" s="14">
        <v>0.3</v>
      </c>
      <c r="AE43" s="22">
        <v>43132</v>
      </c>
      <c r="AF43" s="22">
        <v>43281</v>
      </c>
      <c r="AG43" s="15" t="s">
        <v>68</v>
      </c>
      <c r="AI43" s="245"/>
      <c r="AJ43" s="245"/>
    </row>
    <row r="44" spans="2:36" ht="63.75" hidden="1" thickBot="1" x14ac:dyDescent="0.3">
      <c r="B44" s="57" t="s">
        <v>388</v>
      </c>
      <c r="C44" s="58" t="s">
        <v>390</v>
      </c>
      <c r="D44" s="52" t="s">
        <v>23</v>
      </c>
      <c r="E44" s="229" t="s">
        <v>534</v>
      </c>
      <c r="F44" s="53" t="s">
        <v>59</v>
      </c>
      <c r="G44" s="965"/>
      <c r="H44" s="966"/>
      <c r="I44" s="772"/>
      <c r="J44" s="948"/>
      <c r="K44" s="772"/>
      <c r="L44" s="772"/>
      <c r="M44" s="772"/>
      <c r="N44" s="963"/>
      <c r="O44" s="963"/>
      <c r="P44" s="963"/>
      <c r="Q44" s="964"/>
      <c r="R44" s="230"/>
      <c r="S44" s="748"/>
      <c r="T44" s="748"/>
      <c r="U44" s="748"/>
      <c r="V44" s="748"/>
      <c r="W44" s="748"/>
      <c r="X44" s="74"/>
      <c r="Y44" s="74"/>
      <c r="Z44" s="74"/>
      <c r="AA44" s="74"/>
      <c r="AB44" s="12">
        <v>2</v>
      </c>
      <c r="AC44" s="224" t="s">
        <v>527</v>
      </c>
      <c r="AD44" s="14">
        <v>0.3</v>
      </c>
      <c r="AE44" s="22">
        <v>43132</v>
      </c>
      <c r="AF44" s="22">
        <v>43281</v>
      </c>
      <c r="AG44" s="15" t="s">
        <v>297</v>
      </c>
      <c r="AI44" s="245"/>
      <c r="AJ44" s="245"/>
    </row>
    <row r="45" spans="2:36" ht="120.75" hidden="1" thickBot="1" x14ac:dyDescent="0.3">
      <c r="B45" s="57" t="s">
        <v>388</v>
      </c>
      <c r="C45" s="58" t="s">
        <v>390</v>
      </c>
      <c r="D45" s="52" t="s">
        <v>23</v>
      </c>
      <c r="E45" s="229" t="s">
        <v>534</v>
      </c>
      <c r="F45" s="53" t="s">
        <v>59</v>
      </c>
      <c r="G45" s="965"/>
      <c r="H45" s="966"/>
      <c r="I45" s="772"/>
      <c r="J45" s="948"/>
      <c r="K45" s="772"/>
      <c r="L45" s="772"/>
      <c r="M45" s="772"/>
      <c r="N45" s="963"/>
      <c r="O45" s="963"/>
      <c r="P45" s="963"/>
      <c r="Q45" s="964"/>
      <c r="R45" s="230"/>
      <c r="S45" s="748"/>
      <c r="T45" s="748"/>
      <c r="U45" s="748"/>
      <c r="V45" s="748"/>
      <c r="W45" s="748"/>
      <c r="X45" s="74"/>
      <c r="Y45" s="74"/>
      <c r="Z45" s="74"/>
      <c r="AA45" s="74"/>
      <c r="AB45" s="12">
        <v>3</v>
      </c>
      <c r="AC45" s="13" t="s">
        <v>90</v>
      </c>
      <c r="AD45" s="14">
        <v>0.4</v>
      </c>
      <c r="AE45" s="22">
        <v>43132</v>
      </c>
      <c r="AF45" s="22">
        <v>43281</v>
      </c>
      <c r="AG45" s="15" t="s">
        <v>297</v>
      </c>
      <c r="AI45" s="245"/>
      <c r="AJ45" s="245"/>
    </row>
    <row r="46" spans="2:36" ht="79.5" hidden="1" customHeight="1" thickBot="1" x14ac:dyDescent="0.3">
      <c r="B46" s="57" t="s">
        <v>388</v>
      </c>
      <c r="C46" s="58" t="s">
        <v>389</v>
      </c>
      <c r="D46" s="52" t="s">
        <v>23</v>
      </c>
      <c r="E46" s="229" t="s">
        <v>535</v>
      </c>
      <c r="F46" s="53" t="s">
        <v>59</v>
      </c>
      <c r="G46" s="785">
        <v>10</v>
      </c>
      <c r="H46" s="962" t="s">
        <v>298</v>
      </c>
      <c r="I46" s="960">
        <v>7.1400000000000005E-2</v>
      </c>
      <c r="J46" s="959">
        <v>2</v>
      </c>
      <c r="K46" s="960" t="s">
        <v>91</v>
      </c>
      <c r="L46" s="960" t="s">
        <v>299</v>
      </c>
      <c r="M46" s="961" t="s">
        <v>92</v>
      </c>
      <c r="N46" s="845">
        <v>1</v>
      </c>
      <c r="O46" s="845">
        <v>0</v>
      </c>
      <c r="P46" s="845">
        <v>2</v>
      </c>
      <c r="Q46" s="846">
        <v>0</v>
      </c>
      <c r="R46" s="231"/>
      <c r="S46" s="236"/>
      <c r="T46" s="236"/>
      <c r="U46" s="236"/>
      <c r="V46" s="236"/>
      <c r="W46" s="236"/>
      <c r="X46" s="168"/>
      <c r="Y46" s="61"/>
      <c r="Z46" s="61"/>
      <c r="AA46" s="61"/>
      <c r="AB46" s="12">
        <v>1</v>
      </c>
      <c r="AC46" s="13" t="s">
        <v>93</v>
      </c>
      <c r="AD46" s="14">
        <v>0.25</v>
      </c>
      <c r="AE46" s="22">
        <v>43115</v>
      </c>
      <c r="AF46" s="22">
        <v>43146</v>
      </c>
      <c r="AG46" s="15" t="s">
        <v>94</v>
      </c>
      <c r="AI46" s="245"/>
      <c r="AJ46" s="245"/>
    </row>
    <row r="47" spans="2:36" ht="63.75" hidden="1" thickBot="1" x14ac:dyDescent="0.3">
      <c r="B47" s="57" t="s">
        <v>388</v>
      </c>
      <c r="C47" s="58" t="s">
        <v>389</v>
      </c>
      <c r="D47" s="52" t="s">
        <v>23</v>
      </c>
      <c r="E47" s="229" t="s">
        <v>535</v>
      </c>
      <c r="F47" s="53" t="s">
        <v>59</v>
      </c>
      <c r="G47" s="786"/>
      <c r="H47" s="789"/>
      <c r="I47" s="771"/>
      <c r="J47" s="770"/>
      <c r="K47" s="771"/>
      <c r="L47" s="771"/>
      <c r="M47" s="784"/>
      <c r="N47" s="762"/>
      <c r="O47" s="762"/>
      <c r="P47" s="762"/>
      <c r="Q47" s="763"/>
      <c r="R47" s="231"/>
      <c r="S47" s="747"/>
      <c r="T47" s="747"/>
      <c r="U47" s="747"/>
      <c r="V47" s="747"/>
      <c r="W47" s="747"/>
      <c r="X47" s="168"/>
      <c r="Y47" s="61"/>
      <c r="Z47" s="61"/>
      <c r="AA47" s="61"/>
      <c r="AB47" s="12">
        <v>2</v>
      </c>
      <c r="AC47" s="13" t="s">
        <v>300</v>
      </c>
      <c r="AD47" s="14">
        <v>0.15</v>
      </c>
      <c r="AE47" s="22">
        <v>43146</v>
      </c>
      <c r="AF47" s="22">
        <v>43174</v>
      </c>
      <c r="AG47" s="15" t="s">
        <v>94</v>
      </c>
      <c r="AI47" s="245"/>
      <c r="AJ47" s="245"/>
    </row>
    <row r="48" spans="2:36" ht="63.75" hidden="1" thickBot="1" x14ac:dyDescent="0.3">
      <c r="B48" s="57" t="s">
        <v>388</v>
      </c>
      <c r="C48" s="58" t="s">
        <v>389</v>
      </c>
      <c r="D48" s="52" t="s">
        <v>23</v>
      </c>
      <c r="E48" s="229" t="s">
        <v>535</v>
      </c>
      <c r="F48" s="53" t="s">
        <v>59</v>
      </c>
      <c r="G48" s="786"/>
      <c r="H48" s="789"/>
      <c r="I48" s="771"/>
      <c r="J48" s="770"/>
      <c r="K48" s="771"/>
      <c r="L48" s="771"/>
      <c r="M48" s="784"/>
      <c r="N48" s="762"/>
      <c r="O48" s="762"/>
      <c r="P48" s="762"/>
      <c r="Q48" s="763"/>
      <c r="R48" s="231"/>
      <c r="S48" s="747"/>
      <c r="T48" s="747"/>
      <c r="U48" s="747"/>
      <c r="V48" s="747"/>
      <c r="W48" s="747"/>
      <c r="X48" s="168"/>
      <c r="Y48" s="61"/>
      <c r="Z48" s="61"/>
      <c r="AA48" s="61"/>
      <c r="AB48" s="12">
        <v>3</v>
      </c>
      <c r="AC48" s="13" t="s">
        <v>95</v>
      </c>
      <c r="AD48" s="14">
        <v>0.1</v>
      </c>
      <c r="AE48" s="22">
        <v>43180</v>
      </c>
      <c r="AF48" s="22">
        <v>43181</v>
      </c>
      <c r="AG48" s="15" t="s">
        <v>94</v>
      </c>
      <c r="AI48" s="245"/>
      <c r="AJ48" s="245"/>
    </row>
    <row r="49" spans="2:43" ht="63.75" hidden="1" thickBot="1" x14ac:dyDescent="0.3">
      <c r="B49" s="57" t="s">
        <v>388</v>
      </c>
      <c r="C49" s="58" t="s">
        <v>389</v>
      </c>
      <c r="D49" s="52" t="s">
        <v>23</v>
      </c>
      <c r="E49" s="229" t="s">
        <v>535</v>
      </c>
      <c r="F49" s="53" t="s">
        <v>59</v>
      </c>
      <c r="G49" s="786"/>
      <c r="H49" s="789"/>
      <c r="I49" s="771"/>
      <c r="J49" s="770"/>
      <c r="K49" s="771"/>
      <c r="L49" s="771"/>
      <c r="M49" s="784"/>
      <c r="N49" s="762"/>
      <c r="O49" s="762"/>
      <c r="P49" s="762"/>
      <c r="Q49" s="763"/>
      <c r="R49" s="231"/>
      <c r="S49" s="747"/>
      <c r="T49" s="747"/>
      <c r="U49" s="747"/>
      <c r="V49" s="747"/>
      <c r="W49" s="747"/>
      <c r="X49" s="168"/>
      <c r="Y49" s="61"/>
      <c r="Z49" s="61"/>
      <c r="AA49" s="61"/>
      <c r="AB49" s="12">
        <v>4</v>
      </c>
      <c r="AC49" s="13" t="s">
        <v>96</v>
      </c>
      <c r="AD49" s="14">
        <v>0.25</v>
      </c>
      <c r="AE49" s="22">
        <v>43182</v>
      </c>
      <c r="AF49" s="22">
        <v>43186</v>
      </c>
      <c r="AG49" s="15" t="s">
        <v>94</v>
      </c>
      <c r="AI49" s="245"/>
      <c r="AJ49" s="245"/>
    </row>
    <row r="50" spans="2:43" ht="63.75" hidden="1" thickBot="1" x14ac:dyDescent="0.3">
      <c r="B50" s="57" t="s">
        <v>388</v>
      </c>
      <c r="C50" s="58" t="s">
        <v>389</v>
      </c>
      <c r="D50" s="52" t="s">
        <v>23</v>
      </c>
      <c r="E50" s="229" t="s">
        <v>535</v>
      </c>
      <c r="F50" s="53" t="s">
        <v>59</v>
      </c>
      <c r="G50" s="786"/>
      <c r="H50" s="789"/>
      <c r="I50" s="771"/>
      <c r="J50" s="770"/>
      <c r="K50" s="771"/>
      <c r="L50" s="771"/>
      <c r="M50" s="784"/>
      <c r="N50" s="762"/>
      <c r="O50" s="762"/>
      <c r="P50" s="762"/>
      <c r="Q50" s="763"/>
      <c r="R50" s="231"/>
      <c r="S50" s="747"/>
      <c r="T50" s="747"/>
      <c r="U50" s="747"/>
      <c r="V50" s="747"/>
      <c r="W50" s="747"/>
      <c r="X50" s="168"/>
      <c r="Y50" s="61"/>
      <c r="Z50" s="61"/>
      <c r="AA50" s="61"/>
      <c r="AB50" s="12">
        <v>5</v>
      </c>
      <c r="AC50" s="13" t="s">
        <v>97</v>
      </c>
      <c r="AD50" s="14">
        <v>0.15</v>
      </c>
      <c r="AE50" s="22">
        <v>43270</v>
      </c>
      <c r="AF50" s="22">
        <v>43280</v>
      </c>
      <c r="AG50" s="15" t="s">
        <v>94</v>
      </c>
      <c r="AI50" s="245"/>
      <c r="AJ50" s="245"/>
    </row>
    <row r="51" spans="2:43" ht="63.75" hidden="1" thickBot="1" x14ac:dyDescent="0.3">
      <c r="B51" s="57" t="s">
        <v>388</v>
      </c>
      <c r="C51" s="58" t="s">
        <v>389</v>
      </c>
      <c r="D51" s="52" t="s">
        <v>23</v>
      </c>
      <c r="E51" s="229" t="s">
        <v>535</v>
      </c>
      <c r="F51" s="53" t="s">
        <v>59</v>
      </c>
      <c r="G51" s="787"/>
      <c r="H51" s="790"/>
      <c r="I51" s="756"/>
      <c r="J51" s="769"/>
      <c r="K51" s="756"/>
      <c r="L51" s="756"/>
      <c r="M51" s="791"/>
      <c r="N51" s="813"/>
      <c r="O51" s="813"/>
      <c r="P51" s="813"/>
      <c r="Q51" s="814"/>
      <c r="R51" s="231"/>
      <c r="S51" s="747"/>
      <c r="T51" s="747"/>
      <c r="U51" s="747"/>
      <c r="V51" s="747"/>
      <c r="W51" s="747"/>
      <c r="X51" s="169"/>
      <c r="Y51" s="62"/>
      <c r="Z51" s="62"/>
      <c r="AA51" s="62"/>
      <c r="AB51" s="12">
        <v>6</v>
      </c>
      <c r="AC51" s="13" t="s">
        <v>98</v>
      </c>
      <c r="AD51" s="14">
        <v>0.1</v>
      </c>
      <c r="AE51" s="22">
        <v>43283</v>
      </c>
      <c r="AF51" s="22">
        <v>43312</v>
      </c>
      <c r="AG51" s="15" t="s">
        <v>94</v>
      </c>
      <c r="AI51" s="245"/>
      <c r="AJ51" s="245"/>
    </row>
    <row r="52" spans="2:43" ht="79.5" hidden="1" customHeight="1" thickBot="1" x14ac:dyDescent="0.3">
      <c r="B52" s="57" t="s">
        <v>388</v>
      </c>
      <c r="C52" s="58" t="s">
        <v>389</v>
      </c>
      <c r="D52" s="52" t="s">
        <v>23</v>
      </c>
      <c r="E52" s="229" t="s">
        <v>535</v>
      </c>
      <c r="F52" s="53" t="s">
        <v>59</v>
      </c>
      <c r="G52" s="785">
        <v>11</v>
      </c>
      <c r="H52" s="788" t="s">
        <v>99</v>
      </c>
      <c r="I52" s="755">
        <v>7.1400000000000005E-2</v>
      </c>
      <c r="J52" s="768">
        <v>1</v>
      </c>
      <c r="K52" s="755" t="s">
        <v>100</v>
      </c>
      <c r="L52" s="755" t="s">
        <v>101</v>
      </c>
      <c r="M52" s="783" t="s">
        <v>92</v>
      </c>
      <c r="N52" s="845">
        <v>0</v>
      </c>
      <c r="O52" s="845">
        <v>1</v>
      </c>
      <c r="P52" s="845">
        <v>0</v>
      </c>
      <c r="Q52" s="846">
        <v>0</v>
      </c>
      <c r="R52" s="231"/>
      <c r="S52" s="236"/>
      <c r="T52" s="236"/>
      <c r="U52" s="236"/>
      <c r="V52" s="236"/>
      <c r="W52" s="236"/>
      <c r="X52" s="168"/>
      <c r="Y52" s="61"/>
      <c r="Z52" s="61"/>
      <c r="AA52" s="61"/>
      <c r="AB52" s="12">
        <v>1</v>
      </c>
      <c r="AC52" s="13" t="s">
        <v>102</v>
      </c>
      <c r="AD52" s="14">
        <v>0.6</v>
      </c>
      <c r="AE52" s="22">
        <v>43160</v>
      </c>
      <c r="AF52" s="22">
        <v>43236</v>
      </c>
      <c r="AG52" s="15" t="s">
        <v>92</v>
      </c>
      <c r="AI52" s="245"/>
      <c r="AJ52" s="245"/>
    </row>
    <row r="53" spans="2:43" ht="63.75" hidden="1" thickBot="1" x14ac:dyDescent="0.3">
      <c r="B53" s="57" t="s">
        <v>388</v>
      </c>
      <c r="C53" s="58" t="s">
        <v>389</v>
      </c>
      <c r="D53" s="52" t="s">
        <v>23</v>
      </c>
      <c r="E53" s="229" t="s">
        <v>535</v>
      </c>
      <c r="F53" s="53" t="s">
        <v>59</v>
      </c>
      <c r="G53" s="787"/>
      <c r="H53" s="790"/>
      <c r="I53" s="756"/>
      <c r="J53" s="769"/>
      <c r="K53" s="756"/>
      <c r="L53" s="756"/>
      <c r="M53" s="791"/>
      <c r="N53" s="813"/>
      <c r="O53" s="813"/>
      <c r="P53" s="813"/>
      <c r="Q53" s="814"/>
      <c r="R53" s="231"/>
      <c r="S53" s="236"/>
      <c r="T53" s="236"/>
      <c r="U53" s="236"/>
      <c r="V53" s="236"/>
      <c r="W53" s="236"/>
      <c r="X53" s="169"/>
      <c r="Y53" s="62"/>
      <c r="Z53" s="62"/>
      <c r="AA53" s="62"/>
      <c r="AB53" s="12">
        <v>2</v>
      </c>
      <c r="AC53" s="13" t="s">
        <v>103</v>
      </c>
      <c r="AD53" s="14">
        <v>0.4</v>
      </c>
      <c r="AE53" s="22">
        <v>43236</v>
      </c>
      <c r="AF53" s="22">
        <v>43250</v>
      </c>
      <c r="AG53" s="15" t="s">
        <v>92</v>
      </c>
      <c r="AI53" s="245"/>
      <c r="AJ53" s="245"/>
    </row>
    <row r="54" spans="2:43" ht="90.75" hidden="1" thickBot="1" x14ac:dyDescent="0.3">
      <c r="B54" s="57" t="s">
        <v>388</v>
      </c>
      <c r="C54" s="58" t="s">
        <v>389</v>
      </c>
      <c r="D54" s="52" t="s">
        <v>23</v>
      </c>
      <c r="E54" s="229" t="s">
        <v>535</v>
      </c>
      <c r="F54" s="53" t="s">
        <v>59</v>
      </c>
      <c r="G54" s="785">
        <v>12</v>
      </c>
      <c r="H54" s="788" t="s">
        <v>104</v>
      </c>
      <c r="I54" s="755">
        <v>7.1400000000000005E-2</v>
      </c>
      <c r="J54" s="768">
        <v>2</v>
      </c>
      <c r="K54" s="755" t="s">
        <v>100</v>
      </c>
      <c r="L54" s="755" t="s">
        <v>105</v>
      </c>
      <c r="M54" s="783" t="s">
        <v>92</v>
      </c>
      <c r="N54" s="845">
        <v>0</v>
      </c>
      <c r="O54" s="845">
        <v>1</v>
      </c>
      <c r="P54" s="845">
        <v>1</v>
      </c>
      <c r="Q54" s="846">
        <v>0</v>
      </c>
      <c r="R54" s="231"/>
      <c r="S54" s="236"/>
      <c r="T54" s="236"/>
      <c r="U54" s="236"/>
      <c r="V54" s="236"/>
      <c r="W54" s="236"/>
      <c r="X54" s="168"/>
      <c r="Y54" s="61"/>
      <c r="Z54" s="61"/>
      <c r="AA54" s="61"/>
      <c r="AB54" s="12">
        <v>1</v>
      </c>
      <c r="AC54" s="15" t="s">
        <v>106</v>
      </c>
      <c r="AD54" s="14">
        <v>0.5</v>
      </c>
      <c r="AE54" s="22">
        <v>43221</v>
      </c>
      <c r="AF54" s="22">
        <v>43250</v>
      </c>
      <c r="AG54" s="15" t="s">
        <v>94</v>
      </c>
      <c r="AI54" s="245"/>
      <c r="AJ54" s="245"/>
    </row>
    <row r="55" spans="2:43" ht="90.75" hidden="1" thickBot="1" x14ac:dyDescent="0.3">
      <c r="B55" s="57" t="s">
        <v>388</v>
      </c>
      <c r="C55" s="58" t="s">
        <v>389</v>
      </c>
      <c r="D55" s="52" t="s">
        <v>23</v>
      </c>
      <c r="E55" s="229" t="s">
        <v>535</v>
      </c>
      <c r="F55" s="53" t="s">
        <v>59</v>
      </c>
      <c r="G55" s="787"/>
      <c r="H55" s="790"/>
      <c r="I55" s="756"/>
      <c r="J55" s="769"/>
      <c r="K55" s="756"/>
      <c r="L55" s="756"/>
      <c r="M55" s="791"/>
      <c r="N55" s="813"/>
      <c r="O55" s="813"/>
      <c r="P55" s="813"/>
      <c r="Q55" s="814"/>
      <c r="R55" s="231"/>
      <c r="S55" s="236"/>
      <c r="T55" s="236"/>
      <c r="U55" s="236"/>
      <c r="V55" s="236"/>
      <c r="W55" s="236"/>
      <c r="X55" s="169"/>
      <c r="Y55" s="62"/>
      <c r="Z55" s="62"/>
      <c r="AA55" s="62"/>
      <c r="AB55" s="12">
        <v>2</v>
      </c>
      <c r="AC55" s="15" t="s">
        <v>106</v>
      </c>
      <c r="AD55" s="14">
        <v>0.5</v>
      </c>
      <c r="AE55" s="22">
        <v>43313</v>
      </c>
      <c r="AF55" s="22">
        <v>43342</v>
      </c>
      <c r="AG55" s="15" t="s">
        <v>94</v>
      </c>
      <c r="AI55" s="245"/>
      <c r="AJ55" s="245"/>
    </row>
    <row r="56" spans="2:43" ht="79.5" hidden="1" customHeight="1" thickBot="1" x14ac:dyDescent="0.3">
      <c r="B56" s="57" t="s">
        <v>388</v>
      </c>
      <c r="C56" s="58" t="s">
        <v>389</v>
      </c>
      <c r="D56" s="52" t="s">
        <v>23</v>
      </c>
      <c r="E56" s="229" t="s">
        <v>535</v>
      </c>
      <c r="F56" s="53" t="s">
        <v>59</v>
      </c>
      <c r="G56" s="785">
        <v>13</v>
      </c>
      <c r="H56" s="788" t="s">
        <v>107</v>
      </c>
      <c r="I56" s="755">
        <v>7.1400000000000005E-2</v>
      </c>
      <c r="J56" s="768">
        <v>1</v>
      </c>
      <c r="K56" s="755" t="s">
        <v>100</v>
      </c>
      <c r="L56" s="755" t="s">
        <v>108</v>
      </c>
      <c r="M56" s="783" t="s">
        <v>92</v>
      </c>
      <c r="N56" s="845">
        <v>0</v>
      </c>
      <c r="O56" s="845">
        <v>0</v>
      </c>
      <c r="P56" s="845">
        <v>1</v>
      </c>
      <c r="Q56" s="846">
        <v>0</v>
      </c>
      <c r="R56" s="231"/>
      <c r="S56" s="236"/>
      <c r="T56" s="236"/>
      <c r="U56" s="236"/>
      <c r="V56" s="236"/>
      <c r="W56" s="236"/>
      <c r="X56" s="168"/>
      <c r="Y56" s="61"/>
      <c r="Z56" s="61"/>
      <c r="AA56" s="61"/>
      <c r="AB56" s="12">
        <v>1</v>
      </c>
      <c r="AC56" s="13" t="s">
        <v>109</v>
      </c>
      <c r="AD56" s="14">
        <v>0.5</v>
      </c>
      <c r="AE56" s="22">
        <v>43138</v>
      </c>
      <c r="AF56" s="22">
        <v>43313</v>
      </c>
      <c r="AG56" s="15" t="s">
        <v>92</v>
      </c>
      <c r="AI56" s="245"/>
      <c r="AJ56" s="245"/>
    </row>
    <row r="57" spans="2:43" ht="63.75" hidden="1" thickBot="1" x14ac:dyDescent="0.3">
      <c r="B57" s="57" t="s">
        <v>388</v>
      </c>
      <c r="C57" s="58" t="s">
        <v>389</v>
      </c>
      <c r="D57" s="52" t="s">
        <v>23</v>
      </c>
      <c r="E57" s="229" t="s">
        <v>535</v>
      </c>
      <c r="F57" s="53" t="s">
        <v>59</v>
      </c>
      <c r="G57" s="786"/>
      <c r="H57" s="789"/>
      <c r="I57" s="771"/>
      <c r="J57" s="770"/>
      <c r="K57" s="771"/>
      <c r="L57" s="771"/>
      <c r="M57" s="784"/>
      <c r="N57" s="762"/>
      <c r="O57" s="762"/>
      <c r="P57" s="762"/>
      <c r="Q57" s="763"/>
      <c r="R57" s="231"/>
      <c r="S57" s="236"/>
      <c r="T57" s="236"/>
      <c r="U57" s="236"/>
      <c r="V57" s="236"/>
      <c r="W57" s="236"/>
      <c r="X57" s="168"/>
      <c r="Y57" s="61"/>
      <c r="Z57" s="61"/>
      <c r="AA57" s="61"/>
      <c r="AB57" s="12">
        <v>2</v>
      </c>
      <c r="AC57" s="13" t="s">
        <v>301</v>
      </c>
      <c r="AD57" s="14">
        <v>0.4</v>
      </c>
      <c r="AE57" s="22">
        <v>43328</v>
      </c>
      <c r="AF57" s="22">
        <v>43332</v>
      </c>
      <c r="AG57" s="15" t="s">
        <v>92</v>
      </c>
      <c r="AI57" s="245"/>
      <c r="AJ57" s="245"/>
    </row>
    <row r="58" spans="2:43" ht="63.75" hidden="1" thickBot="1" x14ac:dyDescent="0.3">
      <c r="B58" s="57" t="s">
        <v>388</v>
      </c>
      <c r="C58" s="58" t="s">
        <v>389</v>
      </c>
      <c r="D58" s="52" t="s">
        <v>23</v>
      </c>
      <c r="E58" s="229" t="s">
        <v>535</v>
      </c>
      <c r="F58" s="53" t="s">
        <v>59</v>
      </c>
      <c r="G58" s="787"/>
      <c r="H58" s="790"/>
      <c r="I58" s="756"/>
      <c r="J58" s="769"/>
      <c r="K58" s="756"/>
      <c r="L58" s="756"/>
      <c r="M58" s="791"/>
      <c r="N58" s="813"/>
      <c r="O58" s="813"/>
      <c r="P58" s="813"/>
      <c r="Q58" s="814"/>
      <c r="R58" s="231"/>
      <c r="S58" s="236"/>
      <c r="T58" s="236"/>
      <c r="U58" s="236"/>
      <c r="V58" s="236"/>
      <c r="W58" s="236"/>
      <c r="X58" s="169"/>
      <c r="Y58" s="62"/>
      <c r="Z58" s="62"/>
      <c r="AA58" s="62"/>
      <c r="AB58" s="12">
        <v>3</v>
      </c>
      <c r="AC58" s="13" t="s">
        <v>302</v>
      </c>
      <c r="AD58" s="14">
        <v>0.1</v>
      </c>
      <c r="AE58" s="22">
        <v>43347</v>
      </c>
      <c r="AF58" s="22">
        <v>43364</v>
      </c>
      <c r="AG58" s="15" t="s">
        <v>92</v>
      </c>
      <c r="AI58" s="245"/>
      <c r="AJ58" s="245"/>
    </row>
    <row r="59" spans="2:43" ht="75.75" hidden="1" thickBot="1" x14ac:dyDescent="0.3">
      <c r="B59" s="57" t="s">
        <v>388</v>
      </c>
      <c r="C59" s="58" t="s">
        <v>389</v>
      </c>
      <c r="D59" s="52" t="s">
        <v>23</v>
      </c>
      <c r="E59" s="229" t="s">
        <v>535</v>
      </c>
      <c r="F59" s="53" t="s">
        <v>59</v>
      </c>
      <c r="G59" s="785">
        <v>14</v>
      </c>
      <c r="H59" s="788" t="s">
        <v>110</v>
      </c>
      <c r="I59" s="755">
        <v>7.1800000000000003E-2</v>
      </c>
      <c r="J59" s="768">
        <v>1</v>
      </c>
      <c r="K59" s="755" t="s">
        <v>100</v>
      </c>
      <c r="L59" s="755" t="s">
        <v>111</v>
      </c>
      <c r="M59" s="783" t="s">
        <v>92</v>
      </c>
      <c r="N59" s="845">
        <v>0</v>
      </c>
      <c r="O59" s="845">
        <v>0</v>
      </c>
      <c r="P59" s="845">
        <v>0</v>
      </c>
      <c r="Q59" s="846">
        <v>1</v>
      </c>
      <c r="R59" s="231"/>
      <c r="S59" s="236"/>
      <c r="T59" s="236"/>
      <c r="U59" s="236"/>
      <c r="V59" s="236"/>
      <c r="W59" s="236"/>
      <c r="X59" s="168"/>
      <c r="Y59" s="61"/>
      <c r="Z59" s="61"/>
      <c r="AA59" s="61"/>
      <c r="AB59" s="12">
        <v>1</v>
      </c>
      <c r="AC59" s="13" t="s">
        <v>112</v>
      </c>
      <c r="AD59" s="14">
        <v>0.5</v>
      </c>
      <c r="AE59" s="22">
        <v>43256</v>
      </c>
      <c r="AF59" s="22">
        <v>43404</v>
      </c>
      <c r="AG59" s="15" t="s">
        <v>92</v>
      </c>
      <c r="AI59" s="245"/>
      <c r="AJ59" s="245"/>
    </row>
    <row r="60" spans="2:43" ht="75.75" hidden="1" thickBot="1" x14ac:dyDescent="0.3">
      <c r="B60" s="57" t="s">
        <v>388</v>
      </c>
      <c r="C60" s="58" t="s">
        <v>389</v>
      </c>
      <c r="D60" s="52" t="s">
        <v>23</v>
      </c>
      <c r="E60" s="229" t="s">
        <v>535</v>
      </c>
      <c r="F60" s="53" t="s">
        <v>59</v>
      </c>
      <c r="G60" s="786"/>
      <c r="H60" s="789"/>
      <c r="I60" s="771"/>
      <c r="J60" s="770"/>
      <c r="K60" s="771"/>
      <c r="L60" s="771"/>
      <c r="M60" s="784"/>
      <c r="N60" s="762"/>
      <c r="O60" s="762"/>
      <c r="P60" s="762"/>
      <c r="Q60" s="763"/>
      <c r="R60" s="231"/>
      <c r="S60" s="236"/>
      <c r="T60" s="236"/>
      <c r="U60" s="236"/>
      <c r="V60" s="236"/>
      <c r="W60" s="236"/>
      <c r="X60" s="168"/>
      <c r="Y60" s="61"/>
      <c r="Z60" s="61"/>
      <c r="AA60" s="61"/>
      <c r="AB60" s="12">
        <v>2</v>
      </c>
      <c r="AC60" s="13" t="s">
        <v>113</v>
      </c>
      <c r="AD60" s="14">
        <v>0.4</v>
      </c>
      <c r="AE60" s="22">
        <v>43413</v>
      </c>
      <c r="AF60" s="22">
        <v>43417</v>
      </c>
      <c r="AG60" s="15" t="s">
        <v>92</v>
      </c>
      <c r="AI60" s="245"/>
      <c r="AJ60" s="245"/>
    </row>
    <row r="61" spans="2:43" ht="63.75" hidden="1" thickBot="1" x14ac:dyDescent="0.3">
      <c r="B61" s="57" t="s">
        <v>388</v>
      </c>
      <c r="C61" s="58" t="s">
        <v>389</v>
      </c>
      <c r="D61" s="52" t="s">
        <v>23</v>
      </c>
      <c r="E61" s="229" t="s">
        <v>535</v>
      </c>
      <c r="F61" s="53" t="s">
        <v>59</v>
      </c>
      <c r="G61" s="787"/>
      <c r="H61" s="790"/>
      <c r="I61" s="756"/>
      <c r="J61" s="769"/>
      <c r="K61" s="756"/>
      <c r="L61" s="756"/>
      <c r="M61" s="791"/>
      <c r="N61" s="813"/>
      <c r="O61" s="813"/>
      <c r="P61" s="813"/>
      <c r="Q61" s="814"/>
      <c r="R61" s="231"/>
      <c r="S61" s="236"/>
      <c r="T61" s="236"/>
      <c r="U61" s="236"/>
      <c r="V61" s="236"/>
      <c r="W61" s="236"/>
      <c r="X61" s="169"/>
      <c r="Y61" s="62"/>
      <c r="Z61" s="62"/>
      <c r="AA61" s="62"/>
      <c r="AB61" s="12">
        <v>3</v>
      </c>
      <c r="AC61" s="13" t="s">
        <v>114</v>
      </c>
      <c r="AD61" s="14">
        <v>0.1</v>
      </c>
      <c r="AE61" s="22">
        <v>43424</v>
      </c>
      <c r="AF61" s="22">
        <v>43440</v>
      </c>
      <c r="AG61" s="15" t="s">
        <v>92</v>
      </c>
      <c r="AI61" s="245"/>
      <c r="AJ61" s="245"/>
    </row>
    <row r="62" spans="2:43" ht="76.5" hidden="1" customHeight="1" thickBot="1" x14ac:dyDescent="0.3">
      <c r="B62" s="59" t="s">
        <v>388</v>
      </c>
      <c r="C62" s="59" t="s">
        <v>389</v>
      </c>
      <c r="D62" s="52" t="s">
        <v>23</v>
      </c>
      <c r="E62" s="229" t="s">
        <v>536</v>
      </c>
      <c r="F62" s="53" t="s">
        <v>115</v>
      </c>
      <c r="G62" s="785">
        <v>1</v>
      </c>
      <c r="H62" s="962" t="s">
        <v>116</v>
      </c>
      <c r="I62" s="960">
        <v>0.25</v>
      </c>
      <c r="J62" s="959">
        <v>100</v>
      </c>
      <c r="K62" s="960" t="s">
        <v>184</v>
      </c>
      <c r="L62" s="960" t="s">
        <v>303</v>
      </c>
      <c r="M62" s="961" t="s">
        <v>117</v>
      </c>
      <c r="N62" s="792">
        <v>0.33329999999999999</v>
      </c>
      <c r="O62" s="792">
        <v>0.66659999999999997</v>
      </c>
      <c r="P62" s="795">
        <v>1</v>
      </c>
      <c r="Q62" s="846"/>
      <c r="R62" s="231"/>
      <c r="S62" s="236"/>
      <c r="T62" s="236"/>
      <c r="U62" s="236"/>
      <c r="V62" s="236"/>
      <c r="W62" s="236"/>
      <c r="X62" s="168"/>
      <c r="Y62" s="61"/>
      <c r="Z62" s="61"/>
      <c r="AA62" s="61"/>
      <c r="AB62" s="12">
        <v>1</v>
      </c>
      <c r="AC62" s="13" t="s">
        <v>118</v>
      </c>
      <c r="AD62" s="14">
        <v>0.5</v>
      </c>
      <c r="AE62" s="22">
        <v>43132</v>
      </c>
      <c r="AF62" s="22">
        <v>43281</v>
      </c>
      <c r="AG62" s="15" t="s">
        <v>117</v>
      </c>
      <c r="AI62" s="245"/>
      <c r="AJ62" s="245"/>
      <c r="AM62" s="1"/>
      <c r="AN62" s="1"/>
      <c r="AO62" s="1"/>
      <c r="AP62" s="1"/>
      <c r="AQ62" s="1"/>
    </row>
    <row r="63" spans="2:43" ht="76.5" hidden="1" customHeight="1" thickBot="1" x14ac:dyDescent="0.3">
      <c r="B63" s="59" t="s">
        <v>388</v>
      </c>
      <c r="C63" s="59" t="s">
        <v>389</v>
      </c>
      <c r="D63" s="52" t="s">
        <v>23</v>
      </c>
      <c r="E63" s="229" t="s">
        <v>536</v>
      </c>
      <c r="F63" s="53" t="s">
        <v>115</v>
      </c>
      <c r="G63" s="787"/>
      <c r="H63" s="790"/>
      <c r="I63" s="756"/>
      <c r="J63" s="769"/>
      <c r="K63" s="756"/>
      <c r="L63" s="756"/>
      <c r="M63" s="791"/>
      <c r="N63" s="794"/>
      <c r="O63" s="794"/>
      <c r="P63" s="796"/>
      <c r="Q63" s="814"/>
      <c r="R63" s="231"/>
      <c r="S63" s="236"/>
      <c r="T63" s="236"/>
      <c r="U63" s="236"/>
      <c r="V63" s="236"/>
      <c r="W63" s="236"/>
      <c r="X63" s="169"/>
      <c r="Y63" s="62"/>
      <c r="Z63" s="62"/>
      <c r="AA63" s="62"/>
      <c r="AB63" s="12">
        <v>2</v>
      </c>
      <c r="AC63" s="13" t="s">
        <v>119</v>
      </c>
      <c r="AD63" s="14">
        <v>0.5</v>
      </c>
      <c r="AE63" s="22">
        <v>43282</v>
      </c>
      <c r="AF63" s="22">
        <v>43373</v>
      </c>
      <c r="AG63" s="15" t="s">
        <v>117</v>
      </c>
      <c r="AI63" s="245"/>
      <c r="AJ63" s="245"/>
      <c r="AM63" s="1"/>
      <c r="AN63" s="1"/>
      <c r="AO63" s="1"/>
      <c r="AP63" s="1"/>
      <c r="AQ63" s="1"/>
    </row>
    <row r="64" spans="2:43" ht="76.5" hidden="1" customHeight="1" thickBot="1" x14ac:dyDescent="0.3">
      <c r="B64" s="59" t="s">
        <v>388</v>
      </c>
      <c r="C64" s="59" t="s">
        <v>389</v>
      </c>
      <c r="D64" s="52" t="s">
        <v>23</v>
      </c>
      <c r="E64" s="229" t="s">
        <v>536</v>
      </c>
      <c r="F64" s="53" t="s">
        <v>115</v>
      </c>
      <c r="G64" s="785">
        <v>2</v>
      </c>
      <c r="H64" s="788" t="s">
        <v>120</v>
      </c>
      <c r="I64" s="755">
        <v>0.25</v>
      </c>
      <c r="J64" s="768">
        <v>100</v>
      </c>
      <c r="K64" s="755" t="s">
        <v>184</v>
      </c>
      <c r="L64" s="755" t="s">
        <v>121</v>
      </c>
      <c r="M64" s="783" t="s">
        <v>117</v>
      </c>
      <c r="N64" s="845"/>
      <c r="O64" s="795"/>
      <c r="P64" s="795">
        <v>0.5</v>
      </c>
      <c r="Q64" s="797">
        <v>1</v>
      </c>
      <c r="R64" s="230"/>
      <c r="S64" s="237"/>
      <c r="T64" s="237"/>
      <c r="U64" s="237"/>
      <c r="V64" s="237"/>
      <c r="W64" s="237"/>
      <c r="X64" s="170"/>
      <c r="Y64" s="63"/>
      <c r="Z64" s="63"/>
      <c r="AA64" s="63"/>
      <c r="AB64" s="12">
        <v>1</v>
      </c>
      <c r="AC64" s="13" t="s">
        <v>122</v>
      </c>
      <c r="AD64" s="14">
        <v>0.9</v>
      </c>
      <c r="AE64" s="22">
        <v>43282</v>
      </c>
      <c r="AF64" s="22">
        <v>43404</v>
      </c>
      <c r="AG64" s="15" t="s">
        <v>117</v>
      </c>
      <c r="AI64" s="245"/>
      <c r="AJ64" s="245"/>
      <c r="AM64" s="1"/>
      <c r="AN64" s="1"/>
      <c r="AO64" s="1"/>
      <c r="AP64" s="1"/>
      <c r="AQ64" s="1"/>
    </row>
    <row r="65" spans="2:43" ht="76.5" hidden="1" customHeight="1" thickBot="1" x14ac:dyDescent="0.3">
      <c r="B65" s="59" t="s">
        <v>388</v>
      </c>
      <c r="C65" s="59" t="s">
        <v>389</v>
      </c>
      <c r="D65" s="52" t="s">
        <v>23</v>
      </c>
      <c r="E65" s="229" t="s">
        <v>536</v>
      </c>
      <c r="F65" s="53" t="s">
        <v>115</v>
      </c>
      <c r="G65" s="787"/>
      <c r="H65" s="790"/>
      <c r="I65" s="756"/>
      <c r="J65" s="769"/>
      <c r="K65" s="756"/>
      <c r="L65" s="756"/>
      <c r="M65" s="791"/>
      <c r="N65" s="813"/>
      <c r="O65" s="796"/>
      <c r="P65" s="796"/>
      <c r="Q65" s="799"/>
      <c r="R65" s="230"/>
      <c r="S65" s="237"/>
      <c r="T65" s="237"/>
      <c r="U65" s="237"/>
      <c r="V65" s="237"/>
      <c r="W65" s="237"/>
      <c r="X65" s="171"/>
      <c r="Y65" s="64"/>
      <c r="Z65" s="64"/>
      <c r="AA65" s="64"/>
      <c r="AB65" s="12">
        <v>2</v>
      </c>
      <c r="AC65" s="13" t="s">
        <v>123</v>
      </c>
      <c r="AD65" s="14">
        <v>0.1</v>
      </c>
      <c r="AE65" s="22">
        <v>43405</v>
      </c>
      <c r="AF65" s="22">
        <v>43465</v>
      </c>
      <c r="AG65" s="15" t="s">
        <v>117</v>
      </c>
      <c r="AI65" s="245"/>
      <c r="AJ65" s="245"/>
      <c r="AM65" s="1"/>
      <c r="AN65" s="1"/>
      <c r="AO65" s="1"/>
      <c r="AP65" s="1"/>
      <c r="AQ65" s="1"/>
    </row>
    <row r="66" spans="2:43" ht="76.5" hidden="1" customHeight="1" thickBot="1" x14ac:dyDescent="0.3">
      <c r="B66" s="59" t="s">
        <v>388</v>
      </c>
      <c r="C66" s="59" t="s">
        <v>389</v>
      </c>
      <c r="D66" s="52" t="s">
        <v>23</v>
      </c>
      <c r="E66" s="229" t="s">
        <v>536</v>
      </c>
      <c r="F66" s="53" t="s">
        <v>115</v>
      </c>
      <c r="G66" s="785">
        <v>3</v>
      </c>
      <c r="H66" s="788" t="s">
        <v>304</v>
      </c>
      <c r="I66" s="755">
        <v>0.25</v>
      </c>
      <c r="J66" s="768">
        <v>100</v>
      </c>
      <c r="K66" s="755" t="s">
        <v>184</v>
      </c>
      <c r="L66" s="755" t="s">
        <v>124</v>
      </c>
      <c r="M66" s="783" t="s">
        <v>117</v>
      </c>
      <c r="N66" s="792">
        <v>0.33329999999999999</v>
      </c>
      <c r="O66" s="792">
        <v>0.66659999999999997</v>
      </c>
      <c r="P66" s="795">
        <v>1</v>
      </c>
      <c r="Q66" s="846"/>
      <c r="R66" s="231"/>
      <c r="S66" s="236"/>
      <c r="T66" s="236"/>
      <c r="U66" s="236"/>
      <c r="V66" s="236"/>
      <c r="W66" s="236"/>
      <c r="X66" s="168"/>
      <c r="Y66" s="61"/>
      <c r="Z66" s="61"/>
      <c r="AA66" s="61"/>
      <c r="AB66" s="12">
        <v>1</v>
      </c>
      <c r="AC66" s="13" t="s">
        <v>305</v>
      </c>
      <c r="AD66" s="14">
        <v>0.9</v>
      </c>
      <c r="AE66" s="22">
        <v>43132</v>
      </c>
      <c r="AF66" s="22">
        <v>43312</v>
      </c>
      <c r="AG66" s="15" t="s">
        <v>117</v>
      </c>
      <c r="AI66" s="245"/>
      <c r="AJ66" s="245"/>
      <c r="AM66" s="1"/>
      <c r="AN66" s="1"/>
      <c r="AO66" s="1"/>
      <c r="AP66" s="1"/>
      <c r="AQ66" s="1"/>
    </row>
    <row r="67" spans="2:43" ht="76.5" hidden="1" customHeight="1" thickBot="1" x14ac:dyDescent="0.3">
      <c r="B67" s="59" t="s">
        <v>388</v>
      </c>
      <c r="C67" s="59" t="s">
        <v>389</v>
      </c>
      <c r="D67" s="52" t="s">
        <v>23</v>
      </c>
      <c r="E67" s="229" t="s">
        <v>536</v>
      </c>
      <c r="F67" s="53" t="s">
        <v>115</v>
      </c>
      <c r="G67" s="787"/>
      <c r="H67" s="790"/>
      <c r="I67" s="756"/>
      <c r="J67" s="769"/>
      <c r="K67" s="756"/>
      <c r="L67" s="756"/>
      <c r="M67" s="791"/>
      <c r="N67" s="794"/>
      <c r="O67" s="794"/>
      <c r="P67" s="796"/>
      <c r="Q67" s="814"/>
      <c r="R67" s="231"/>
      <c r="S67" s="236"/>
      <c r="T67" s="236"/>
      <c r="U67" s="236"/>
      <c r="V67" s="236"/>
      <c r="W67" s="236"/>
      <c r="X67" s="169"/>
      <c r="Y67" s="62"/>
      <c r="Z67" s="62"/>
      <c r="AA67" s="62"/>
      <c r="AB67" s="12">
        <v>2</v>
      </c>
      <c r="AC67" s="13" t="s">
        <v>125</v>
      </c>
      <c r="AD67" s="14">
        <v>0.1</v>
      </c>
      <c r="AE67" s="22">
        <v>43313</v>
      </c>
      <c r="AF67" s="22">
        <v>43373</v>
      </c>
      <c r="AG67" s="15" t="s">
        <v>117</v>
      </c>
      <c r="AI67" s="245"/>
      <c r="AJ67" s="245"/>
      <c r="AM67" s="1"/>
      <c r="AN67" s="1"/>
      <c r="AO67" s="1"/>
      <c r="AP67" s="1"/>
      <c r="AQ67" s="1"/>
    </row>
    <row r="68" spans="2:43" ht="76.5" hidden="1" customHeight="1" thickBot="1" x14ac:dyDescent="0.3">
      <c r="B68" s="59" t="s">
        <v>388</v>
      </c>
      <c r="C68" s="59" t="s">
        <v>389</v>
      </c>
      <c r="D68" s="52" t="s">
        <v>23</v>
      </c>
      <c r="E68" s="229" t="s">
        <v>536</v>
      </c>
      <c r="F68" s="53" t="s">
        <v>115</v>
      </c>
      <c r="G68" s="785">
        <v>4</v>
      </c>
      <c r="H68" s="788" t="s">
        <v>126</v>
      </c>
      <c r="I68" s="755">
        <v>0.25</v>
      </c>
      <c r="J68" s="768">
        <f>J66</f>
        <v>100</v>
      </c>
      <c r="K68" s="755" t="str">
        <f>K66</f>
        <v>Porcentaje</v>
      </c>
      <c r="L68" s="755" t="s">
        <v>127</v>
      </c>
      <c r="M68" s="783" t="s">
        <v>117</v>
      </c>
      <c r="N68" s="792">
        <v>0.33329999999999999</v>
      </c>
      <c r="O68" s="792">
        <v>0.66659999999999997</v>
      </c>
      <c r="P68" s="795">
        <v>1</v>
      </c>
      <c r="Q68" s="846"/>
      <c r="R68" s="231"/>
      <c r="S68" s="236"/>
      <c r="T68" s="236"/>
      <c r="U68" s="236"/>
      <c r="V68" s="236"/>
      <c r="W68" s="236"/>
      <c r="X68" s="168"/>
      <c r="Y68" s="61"/>
      <c r="Z68" s="61"/>
      <c r="AA68" s="61"/>
      <c r="AB68" s="12">
        <v>1</v>
      </c>
      <c r="AC68" s="13" t="s">
        <v>128</v>
      </c>
      <c r="AD68" s="14">
        <v>0.9</v>
      </c>
      <c r="AE68" s="22">
        <v>43132</v>
      </c>
      <c r="AF68" s="22">
        <v>43312</v>
      </c>
      <c r="AG68" s="15" t="s">
        <v>117</v>
      </c>
      <c r="AI68" s="245"/>
      <c r="AJ68" s="245"/>
      <c r="AM68" s="1"/>
      <c r="AN68" s="1"/>
      <c r="AO68" s="1"/>
      <c r="AP68" s="1"/>
      <c r="AQ68" s="1"/>
    </row>
    <row r="69" spans="2:43" ht="76.5" hidden="1" customHeight="1" thickBot="1" x14ac:dyDescent="0.3">
      <c r="B69" s="59" t="s">
        <v>388</v>
      </c>
      <c r="C69" s="59" t="s">
        <v>389</v>
      </c>
      <c r="D69" s="52" t="s">
        <v>23</v>
      </c>
      <c r="E69" s="229" t="s">
        <v>536</v>
      </c>
      <c r="F69" s="53" t="s">
        <v>115</v>
      </c>
      <c r="G69" s="787"/>
      <c r="H69" s="790"/>
      <c r="I69" s="756"/>
      <c r="J69" s="769"/>
      <c r="K69" s="756"/>
      <c r="L69" s="756"/>
      <c r="M69" s="791"/>
      <c r="N69" s="794"/>
      <c r="O69" s="794"/>
      <c r="P69" s="796"/>
      <c r="Q69" s="814"/>
      <c r="R69" s="231"/>
      <c r="S69" s="236"/>
      <c r="T69" s="236"/>
      <c r="U69" s="236"/>
      <c r="V69" s="236"/>
      <c r="W69" s="236"/>
      <c r="X69" s="169"/>
      <c r="Y69" s="62"/>
      <c r="Z69" s="62"/>
      <c r="AA69" s="62"/>
      <c r="AB69" s="12">
        <v>2</v>
      </c>
      <c r="AC69" s="13" t="s">
        <v>129</v>
      </c>
      <c r="AD69" s="14">
        <v>0.1</v>
      </c>
      <c r="AE69" s="22">
        <v>43313</v>
      </c>
      <c r="AF69" s="22">
        <v>43373</v>
      </c>
      <c r="AG69" s="15" t="s">
        <v>117</v>
      </c>
      <c r="AI69" s="245"/>
      <c r="AJ69" s="245"/>
      <c r="AM69" s="1"/>
      <c r="AN69" s="1"/>
      <c r="AO69" s="1"/>
      <c r="AP69" s="1"/>
      <c r="AQ69" s="1"/>
    </row>
    <row r="70" spans="2:43" ht="105.75" hidden="1" customHeight="1" thickBot="1" x14ac:dyDescent="0.3">
      <c r="B70" s="59" t="s">
        <v>391</v>
      </c>
      <c r="C70" s="58" t="s">
        <v>392</v>
      </c>
      <c r="D70" s="54" t="s">
        <v>130</v>
      </c>
      <c r="E70" s="229" t="s">
        <v>537</v>
      </c>
      <c r="F70" s="54" t="s">
        <v>131</v>
      </c>
      <c r="G70" s="785">
        <v>1</v>
      </c>
      <c r="H70" s="815" t="s">
        <v>132</v>
      </c>
      <c r="I70" s="949">
        <v>7.1400000000000005E-2</v>
      </c>
      <c r="J70" s="768">
        <v>100</v>
      </c>
      <c r="K70" s="755" t="s">
        <v>184</v>
      </c>
      <c r="L70" s="766" t="s">
        <v>306</v>
      </c>
      <c r="M70" s="755" t="s">
        <v>133</v>
      </c>
      <c r="N70" s="835">
        <v>0.35</v>
      </c>
      <c r="O70" s="835">
        <v>0.9</v>
      </c>
      <c r="P70" s="835">
        <v>1</v>
      </c>
      <c r="Q70" s="958"/>
      <c r="R70" s="232"/>
      <c r="S70" s="238"/>
      <c r="T70" s="238"/>
      <c r="U70" s="238"/>
      <c r="V70" s="238"/>
      <c r="W70" s="238"/>
      <c r="X70" s="75"/>
      <c r="Y70" s="75"/>
      <c r="Z70" s="75"/>
      <c r="AA70" s="75"/>
      <c r="AB70" s="12">
        <v>1</v>
      </c>
      <c r="AC70" s="13" t="s">
        <v>134</v>
      </c>
      <c r="AD70" s="14">
        <v>0.35</v>
      </c>
      <c r="AE70" s="23">
        <v>43115</v>
      </c>
      <c r="AF70" s="22">
        <v>43159</v>
      </c>
      <c r="AG70" s="15" t="s">
        <v>135</v>
      </c>
      <c r="AI70" s="245"/>
      <c r="AJ70" s="245"/>
    </row>
    <row r="71" spans="2:43" ht="51.75" hidden="1" thickBot="1" x14ac:dyDescent="0.3">
      <c r="B71" s="59" t="s">
        <v>391</v>
      </c>
      <c r="C71" s="58" t="s">
        <v>392</v>
      </c>
      <c r="D71" s="54" t="s">
        <v>130</v>
      </c>
      <c r="E71" s="229" t="s">
        <v>537</v>
      </c>
      <c r="F71" s="54" t="s">
        <v>131</v>
      </c>
      <c r="G71" s="786"/>
      <c r="H71" s="816"/>
      <c r="I71" s="950"/>
      <c r="J71" s="770"/>
      <c r="K71" s="771"/>
      <c r="L71" s="782"/>
      <c r="M71" s="771"/>
      <c r="N71" s="808"/>
      <c r="O71" s="808"/>
      <c r="P71" s="808"/>
      <c r="Q71" s="953"/>
      <c r="R71" s="232"/>
      <c r="S71" s="238"/>
      <c r="T71" s="238"/>
      <c r="U71" s="238"/>
      <c r="V71" s="238"/>
      <c r="W71" s="238"/>
      <c r="X71" s="75"/>
      <c r="Y71" s="75"/>
      <c r="Z71" s="75"/>
      <c r="AA71" s="75"/>
      <c r="AB71" s="12">
        <v>2</v>
      </c>
      <c r="AC71" s="13" t="s">
        <v>136</v>
      </c>
      <c r="AD71" s="14">
        <v>0.15</v>
      </c>
      <c r="AE71" s="22">
        <v>42795</v>
      </c>
      <c r="AF71" s="22">
        <v>43190</v>
      </c>
      <c r="AG71" s="15" t="s">
        <v>135</v>
      </c>
      <c r="AI71" s="245"/>
      <c r="AJ71" s="245"/>
    </row>
    <row r="72" spans="2:43" ht="51.75" hidden="1" thickBot="1" x14ac:dyDescent="0.3">
      <c r="B72" s="59" t="s">
        <v>391</v>
      </c>
      <c r="C72" s="58" t="s">
        <v>392</v>
      </c>
      <c r="D72" s="54" t="s">
        <v>130</v>
      </c>
      <c r="E72" s="229" t="s">
        <v>537</v>
      </c>
      <c r="F72" s="54" t="s">
        <v>131</v>
      </c>
      <c r="G72" s="787"/>
      <c r="H72" s="817"/>
      <c r="I72" s="951"/>
      <c r="J72" s="769"/>
      <c r="K72" s="756"/>
      <c r="L72" s="767"/>
      <c r="M72" s="756"/>
      <c r="N72" s="809"/>
      <c r="O72" s="809"/>
      <c r="P72" s="809"/>
      <c r="Q72" s="954"/>
      <c r="R72" s="232"/>
      <c r="S72" s="238"/>
      <c r="T72" s="238"/>
      <c r="U72" s="238"/>
      <c r="V72" s="238"/>
      <c r="W72" s="238"/>
      <c r="X72" s="75"/>
      <c r="Y72" s="75"/>
      <c r="Z72" s="75"/>
      <c r="AA72" s="75"/>
      <c r="AB72" s="12">
        <v>3</v>
      </c>
      <c r="AC72" s="156" t="s">
        <v>471</v>
      </c>
      <c r="AD72" s="14">
        <v>0.5</v>
      </c>
      <c r="AE72" s="22">
        <v>43191</v>
      </c>
      <c r="AF72" s="22">
        <v>43312</v>
      </c>
      <c r="AG72" s="15" t="s">
        <v>137</v>
      </c>
      <c r="AI72" s="245"/>
      <c r="AJ72" s="245"/>
    </row>
    <row r="73" spans="2:43" ht="75.75" hidden="1" customHeight="1" thickBot="1" x14ac:dyDescent="0.3">
      <c r="B73" s="59" t="s">
        <v>391</v>
      </c>
      <c r="C73" s="58" t="s">
        <v>392</v>
      </c>
      <c r="D73" s="54" t="s">
        <v>23</v>
      </c>
      <c r="E73" s="229" t="s">
        <v>537</v>
      </c>
      <c r="F73" s="54" t="s">
        <v>131</v>
      </c>
      <c r="G73" s="785">
        <v>2</v>
      </c>
      <c r="H73" s="815" t="s">
        <v>307</v>
      </c>
      <c r="I73" s="949">
        <v>7.1400000000000005E-2</v>
      </c>
      <c r="J73" s="768">
        <v>100</v>
      </c>
      <c r="K73" s="755" t="s">
        <v>184</v>
      </c>
      <c r="L73" s="766" t="s">
        <v>308</v>
      </c>
      <c r="M73" s="755" t="s">
        <v>133</v>
      </c>
      <c r="N73" s="807">
        <v>0.25</v>
      </c>
      <c r="O73" s="807">
        <v>0.5</v>
      </c>
      <c r="P73" s="807">
        <v>0.75</v>
      </c>
      <c r="Q73" s="952">
        <v>1</v>
      </c>
      <c r="R73" s="232"/>
      <c r="S73" s="238"/>
      <c r="T73" s="238"/>
      <c r="U73" s="238"/>
      <c r="V73" s="238"/>
      <c r="W73" s="238"/>
      <c r="X73" s="75"/>
      <c r="Y73" s="75"/>
      <c r="Z73" s="75"/>
      <c r="AA73" s="75"/>
      <c r="AB73" s="12">
        <v>1</v>
      </c>
      <c r="AC73" s="24" t="s">
        <v>138</v>
      </c>
      <c r="AD73" s="14">
        <v>0.33</v>
      </c>
      <c r="AE73" s="23">
        <v>43115</v>
      </c>
      <c r="AF73" s="22">
        <v>43465</v>
      </c>
      <c r="AG73" s="15" t="s">
        <v>139</v>
      </c>
      <c r="AI73" s="245"/>
      <c r="AJ73" s="245"/>
    </row>
    <row r="74" spans="2:43" ht="51.75" hidden="1" thickBot="1" x14ac:dyDescent="0.3">
      <c r="B74" s="59" t="s">
        <v>391</v>
      </c>
      <c r="C74" s="58" t="s">
        <v>392</v>
      </c>
      <c r="D74" s="54" t="s">
        <v>23</v>
      </c>
      <c r="E74" s="229" t="s">
        <v>537</v>
      </c>
      <c r="F74" s="54" t="s">
        <v>131</v>
      </c>
      <c r="G74" s="786"/>
      <c r="H74" s="816"/>
      <c r="I74" s="950"/>
      <c r="J74" s="770"/>
      <c r="K74" s="771"/>
      <c r="L74" s="782"/>
      <c r="M74" s="771"/>
      <c r="N74" s="808"/>
      <c r="O74" s="808"/>
      <c r="P74" s="808"/>
      <c r="Q74" s="953"/>
      <c r="R74" s="232"/>
      <c r="S74" s="238"/>
      <c r="T74" s="238"/>
      <c r="U74" s="238"/>
      <c r="V74" s="238"/>
      <c r="W74" s="238"/>
      <c r="X74" s="75"/>
      <c r="Y74" s="75"/>
      <c r="Z74" s="75"/>
      <c r="AA74" s="75"/>
      <c r="AB74" s="12">
        <v>2</v>
      </c>
      <c r="AC74" s="13" t="s">
        <v>140</v>
      </c>
      <c r="AD74" s="14">
        <v>0.33</v>
      </c>
      <c r="AE74" s="23">
        <v>43115</v>
      </c>
      <c r="AF74" s="22">
        <v>43465</v>
      </c>
      <c r="AG74" s="15" t="s">
        <v>139</v>
      </c>
      <c r="AI74" s="245"/>
      <c r="AJ74" s="245"/>
    </row>
    <row r="75" spans="2:43" ht="51.75" hidden="1" thickBot="1" x14ac:dyDescent="0.3">
      <c r="B75" s="59" t="s">
        <v>391</v>
      </c>
      <c r="C75" s="58" t="s">
        <v>392</v>
      </c>
      <c r="D75" s="54" t="s">
        <v>23</v>
      </c>
      <c r="E75" s="229" t="s">
        <v>537</v>
      </c>
      <c r="F75" s="54" t="s">
        <v>131</v>
      </c>
      <c r="G75" s="787"/>
      <c r="H75" s="817"/>
      <c r="I75" s="951"/>
      <c r="J75" s="769"/>
      <c r="K75" s="756"/>
      <c r="L75" s="767"/>
      <c r="M75" s="756"/>
      <c r="N75" s="809"/>
      <c r="O75" s="809"/>
      <c r="P75" s="809"/>
      <c r="Q75" s="954"/>
      <c r="R75" s="232"/>
      <c r="S75" s="238"/>
      <c r="T75" s="238"/>
      <c r="U75" s="238"/>
      <c r="V75" s="238"/>
      <c r="W75" s="238"/>
      <c r="X75" s="75"/>
      <c r="Y75" s="75"/>
      <c r="Z75" s="75"/>
      <c r="AA75" s="75"/>
      <c r="AB75" s="12">
        <v>3</v>
      </c>
      <c r="AC75" s="13" t="s">
        <v>141</v>
      </c>
      <c r="AD75" s="14">
        <v>0.34</v>
      </c>
      <c r="AE75" s="23">
        <v>43115</v>
      </c>
      <c r="AF75" s="22">
        <v>43465</v>
      </c>
      <c r="AG75" s="15" t="s">
        <v>139</v>
      </c>
      <c r="AI75" s="245"/>
      <c r="AJ75" s="245"/>
    </row>
    <row r="76" spans="2:43" ht="48" hidden="1" customHeight="1" thickBot="1" x14ac:dyDescent="0.3">
      <c r="B76" s="59" t="s">
        <v>391</v>
      </c>
      <c r="C76" s="58" t="s">
        <v>392</v>
      </c>
      <c r="D76" s="54" t="s">
        <v>142</v>
      </c>
      <c r="E76" s="229" t="s">
        <v>537</v>
      </c>
      <c r="F76" s="54" t="s">
        <v>131</v>
      </c>
      <c r="G76" s="785">
        <v>3</v>
      </c>
      <c r="H76" s="824" t="s">
        <v>309</v>
      </c>
      <c r="I76" s="949">
        <v>7.1400000000000005E-2</v>
      </c>
      <c r="J76" s="768">
        <v>100</v>
      </c>
      <c r="K76" s="755" t="s">
        <v>184</v>
      </c>
      <c r="L76" s="766" t="s">
        <v>310</v>
      </c>
      <c r="M76" s="755" t="s">
        <v>133</v>
      </c>
      <c r="N76" s="807">
        <v>0</v>
      </c>
      <c r="O76" s="807">
        <v>0.45</v>
      </c>
      <c r="P76" s="807">
        <v>0.9</v>
      </c>
      <c r="Q76" s="952">
        <v>1</v>
      </c>
      <c r="R76" s="232"/>
      <c r="S76" s="238"/>
      <c r="T76" s="238"/>
      <c r="U76" s="238"/>
      <c r="V76" s="238"/>
      <c r="W76" s="238"/>
      <c r="X76" s="75"/>
      <c r="Y76" s="75"/>
      <c r="Z76" s="75"/>
      <c r="AA76" s="75"/>
      <c r="AB76" s="12">
        <v>1</v>
      </c>
      <c r="AC76" s="13" t="s">
        <v>311</v>
      </c>
      <c r="AD76" s="14">
        <v>0.45</v>
      </c>
      <c r="AE76" s="23">
        <v>43191</v>
      </c>
      <c r="AF76" s="22" t="s">
        <v>143</v>
      </c>
      <c r="AG76" s="15" t="s">
        <v>144</v>
      </c>
      <c r="AI76" s="245"/>
      <c r="AJ76" s="245"/>
    </row>
    <row r="77" spans="2:43" ht="51.75" hidden="1" thickBot="1" x14ac:dyDescent="0.3">
      <c r="B77" s="59" t="s">
        <v>391</v>
      </c>
      <c r="C77" s="58" t="s">
        <v>392</v>
      </c>
      <c r="D77" s="54" t="s">
        <v>142</v>
      </c>
      <c r="E77" s="229" t="s">
        <v>537</v>
      </c>
      <c r="F77" s="54" t="s">
        <v>131</v>
      </c>
      <c r="G77" s="786"/>
      <c r="H77" s="825"/>
      <c r="I77" s="950"/>
      <c r="J77" s="770"/>
      <c r="K77" s="771"/>
      <c r="L77" s="782"/>
      <c r="M77" s="771"/>
      <c r="N77" s="808"/>
      <c r="O77" s="808"/>
      <c r="P77" s="808"/>
      <c r="Q77" s="953"/>
      <c r="R77" s="232"/>
      <c r="S77" s="238"/>
      <c r="T77" s="238"/>
      <c r="U77" s="238"/>
      <c r="V77" s="238"/>
      <c r="W77" s="238"/>
      <c r="X77" s="75"/>
      <c r="Y77" s="75"/>
      <c r="Z77" s="75"/>
      <c r="AA77" s="75"/>
      <c r="AB77" s="12">
        <v>2</v>
      </c>
      <c r="AC77" s="13" t="s">
        <v>312</v>
      </c>
      <c r="AD77" s="14">
        <v>0.45</v>
      </c>
      <c r="AE77" s="23">
        <v>43282</v>
      </c>
      <c r="AF77" s="22">
        <v>43434</v>
      </c>
      <c r="AG77" s="15" t="s">
        <v>144</v>
      </c>
      <c r="AI77" s="245"/>
      <c r="AJ77" s="245"/>
    </row>
    <row r="78" spans="2:43" ht="51.75" hidden="1" thickBot="1" x14ac:dyDescent="0.3">
      <c r="B78" s="59" t="s">
        <v>391</v>
      </c>
      <c r="C78" s="58" t="s">
        <v>392</v>
      </c>
      <c r="D78" s="54" t="s">
        <v>142</v>
      </c>
      <c r="E78" s="229" t="s">
        <v>537</v>
      </c>
      <c r="F78" s="54" t="s">
        <v>131</v>
      </c>
      <c r="G78" s="787"/>
      <c r="H78" s="826"/>
      <c r="I78" s="951"/>
      <c r="J78" s="769"/>
      <c r="K78" s="756"/>
      <c r="L78" s="767"/>
      <c r="M78" s="756"/>
      <c r="N78" s="809"/>
      <c r="O78" s="809"/>
      <c r="P78" s="809"/>
      <c r="Q78" s="954"/>
      <c r="R78" s="232"/>
      <c r="S78" s="238"/>
      <c r="T78" s="238"/>
      <c r="U78" s="238"/>
      <c r="V78" s="238"/>
      <c r="W78" s="238"/>
      <c r="X78" s="75"/>
      <c r="Y78" s="75"/>
      <c r="Z78" s="75"/>
      <c r="AA78" s="75"/>
      <c r="AB78" s="12">
        <v>3</v>
      </c>
      <c r="AC78" s="13" t="s">
        <v>313</v>
      </c>
      <c r="AD78" s="14">
        <v>0.1</v>
      </c>
      <c r="AE78" s="23">
        <v>43435</v>
      </c>
      <c r="AF78" s="22">
        <v>43465</v>
      </c>
      <c r="AG78" s="15" t="s">
        <v>144</v>
      </c>
      <c r="AI78" s="245"/>
      <c r="AJ78" s="245"/>
    </row>
    <row r="79" spans="2:43" ht="120.75" hidden="1" customHeight="1" thickBot="1" x14ac:dyDescent="0.3">
      <c r="B79" s="59" t="s">
        <v>391</v>
      </c>
      <c r="C79" s="58" t="s">
        <v>392</v>
      </c>
      <c r="D79" s="54" t="s">
        <v>130</v>
      </c>
      <c r="E79" s="229" t="s">
        <v>538</v>
      </c>
      <c r="F79" s="54" t="s">
        <v>131</v>
      </c>
      <c r="G79" s="785">
        <v>4</v>
      </c>
      <c r="H79" s="824" t="s">
        <v>314</v>
      </c>
      <c r="I79" s="949">
        <v>7.1400000000000005E-2</v>
      </c>
      <c r="J79" s="768">
        <v>100</v>
      </c>
      <c r="K79" s="755" t="s">
        <v>184</v>
      </c>
      <c r="L79" s="850" t="s">
        <v>315</v>
      </c>
      <c r="M79" s="755" t="s">
        <v>133</v>
      </c>
      <c r="N79" s="807">
        <v>0.2</v>
      </c>
      <c r="O79" s="807">
        <v>0.5</v>
      </c>
      <c r="P79" s="807">
        <v>0.75</v>
      </c>
      <c r="Q79" s="952">
        <v>1</v>
      </c>
      <c r="R79" s="232"/>
      <c r="S79" s="238"/>
      <c r="T79" s="238"/>
      <c r="U79" s="238"/>
      <c r="V79" s="238"/>
      <c r="W79" s="238"/>
      <c r="X79" s="75"/>
      <c r="Y79" s="75"/>
      <c r="Z79" s="75"/>
      <c r="AA79" s="75"/>
      <c r="AB79" s="12">
        <v>1</v>
      </c>
      <c r="AC79" s="13" t="s">
        <v>316</v>
      </c>
      <c r="AD79" s="14">
        <v>0.2</v>
      </c>
      <c r="AE79" s="23">
        <v>43132</v>
      </c>
      <c r="AF79" s="22">
        <v>43159</v>
      </c>
      <c r="AG79" s="15" t="s">
        <v>145</v>
      </c>
      <c r="AI79" s="245"/>
      <c r="AJ79" s="245"/>
    </row>
    <row r="80" spans="2:43" ht="60.75" hidden="1" thickBot="1" x14ac:dyDescent="0.3">
      <c r="B80" s="59" t="s">
        <v>391</v>
      </c>
      <c r="C80" s="58" t="s">
        <v>392</v>
      </c>
      <c r="D80" s="54" t="s">
        <v>130</v>
      </c>
      <c r="E80" s="229" t="s">
        <v>538</v>
      </c>
      <c r="F80" s="54" t="s">
        <v>131</v>
      </c>
      <c r="G80" s="786"/>
      <c r="H80" s="825"/>
      <c r="I80" s="950"/>
      <c r="J80" s="770"/>
      <c r="K80" s="771"/>
      <c r="L80" s="884"/>
      <c r="M80" s="771"/>
      <c r="N80" s="808"/>
      <c r="O80" s="808"/>
      <c r="P80" s="808"/>
      <c r="Q80" s="953"/>
      <c r="R80" s="232"/>
      <c r="S80" s="238"/>
      <c r="T80" s="238"/>
      <c r="U80" s="238"/>
      <c r="V80" s="238"/>
      <c r="W80" s="238"/>
      <c r="X80" s="75"/>
      <c r="Y80" s="75"/>
      <c r="Z80" s="75"/>
      <c r="AA80" s="75"/>
      <c r="AB80" s="12">
        <v>2</v>
      </c>
      <c r="AC80" s="13" t="s">
        <v>146</v>
      </c>
      <c r="AD80" s="14">
        <v>0.3</v>
      </c>
      <c r="AE80" s="22">
        <v>43160</v>
      </c>
      <c r="AF80" s="22">
        <v>43281</v>
      </c>
      <c r="AG80" s="15" t="s">
        <v>145</v>
      </c>
      <c r="AI80" s="245"/>
      <c r="AJ80" s="245"/>
    </row>
    <row r="81" spans="2:36" ht="75.75" hidden="1" thickBot="1" x14ac:dyDescent="0.3">
      <c r="B81" s="59" t="s">
        <v>391</v>
      </c>
      <c r="C81" s="58" t="s">
        <v>392</v>
      </c>
      <c r="D81" s="54" t="s">
        <v>130</v>
      </c>
      <c r="E81" s="229" t="s">
        <v>538</v>
      </c>
      <c r="F81" s="54" t="s">
        <v>131</v>
      </c>
      <c r="G81" s="787"/>
      <c r="H81" s="826"/>
      <c r="I81" s="951"/>
      <c r="J81" s="769"/>
      <c r="K81" s="756"/>
      <c r="L81" s="851"/>
      <c r="M81" s="756"/>
      <c r="N81" s="809"/>
      <c r="O81" s="809"/>
      <c r="P81" s="809"/>
      <c r="Q81" s="954"/>
      <c r="R81" s="232"/>
      <c r="S81" s="238"/>
      <c r="T81" s="238"/>
      <c r="U81" s="238"/>
      <c r="V81" s="238"/>
      <c r="W81" s="238"/>
      <c r="X81" s="75"/>
      <c r="Y81" s="75"/>
      <c r="Z81" s="75"/>
      <c r="AA81" s="75"/>
      <c r="AB81" s="12">
        <v>3</v>
      </c>
      <c r="AC81" s="13" t="s">
        <v>317</v>
      </c>
      <c r="AD81" s="14">
        <v>0.5</v>
      </c>
      <c r="AE81" s="22">
        <v>43282</v>
      </c>
      <c r="AF81" s="22">
        <v>43465</v>
      </c>
      <c r="AG81" s="15" t="s">
        <v>145</v>
      </c>
      <c r="AI81" s="245"/>
      <c r="AJ81" s="245"/>
    </row>
    <row r="82" spans="2:36" ht="77.25" hidden="1" customHeight="1" thickBot="1" x14ac:dyDescent="0.3">
      <c r="B82" s="59" t="s">
        <v>391</v>
      </c>
      <c r="C82" s="58" t="s">
        <v>392</v>
      </c>
      <c r="D82" s="54" t="s">
        <v>130</v>
      </c>
      <c r="E82" s="229" t="s">
        <v>538</v>
      </c>
      <c r="F82" s="54" t="s">
        <v>131</v>
      </c>
      <c r="G82" s="785">
        <v>5</v>
      </c>
      <c r="H82" s="815" t="s">
        <v>318</v>
      </c>
      <c r="I82" s="949">
        <v>7.1400000000000005E-2</v>
      </c>
      <c r="J82" s="768">
        <v>100</v>
      </c>
      <c r="K82" s="755" t="s">
        <v>184</v>
      </c>
      <c r="L82" s="850" t="s">
        <v>315</v>
      </c>
      <c r="M82" s="755" t="s">
        <v>133</v>
      </c>
      <c r="N82" s="757">
        <v>0.1</v>
      </c>
      <c r="O82" s="757">
        <v>0.35</v>
      </c>
      <c r="P82" s="757">
        <v>0.55000000000000004</v>
      </c>
      <c r="Q82" s="759">
        <v>1</v>
      </c>
      <c r="R82" s="230"/>
      <c r="S82" s="237"/>
      <c r="T82" s="237"/>
      <c r="U82" s="237"/>
      <c r="V82" s="237"/>
      <c r="W82" s="237"/>
      <c r="X82" s="74"/>
      <c r="Y82" s="74"/>
      <c r="Z82" s="74"/>
      <c r="AA82" s="74"/>
      <c r="AB82" s="12">
        <v>1</v>
      </c>
      <c r="AC82" s="13" t="s">
        <v>319</v>
      </c>
      <c r="AD82" s="14">
        <v>0.1</v>
      </c>
      <c r="AE82" s="23">
        <v>43115</v>
      </c>
      <c r="AF82" s="22">
        <v>43159</v>
      </c>
      <c r="AG82" s="15" t="s">
        <v>145</v>
      </c>
      <c r="AI82" s="245"/>
      <c r="AJ82" s="245"/>
    </row>
    <row r="83" spans="2:36" ht="51.75" hidden="1" thickBot="1" x14ac:dyDescent="0.3">
      <c r="B83" s="59" t="s">
        <v>391</v>
      </c>
      <c r="C83" s="58" t="s">
        <v>392</v>
      </c>
      <c r="D83" s="54" t="s">
        <v>130</v>
      </c>
      <c r="E83" s="229" t="s">
        <v>538</v>
      </c>
      <c r="F83" s="54" t="s">
        <v>131</v>
      </c>
      <c r="G83" s="787"/>
      <c r="H83" s="817"/>
      <c r="I83" s="951"/>
      <c r="J83" s="769"/>
      <c r="K83" s="756"/>
      <c r="L83" s="851"/>
      <c r="M83" s="756"/>
      <c r="N83" s="758"/>
      <c r="O83" s="758"/>
      <c r="P83" s="758"/>
      <c r="Q83" s="760"/>
      <c r="R83" s="230"/>
      <c r="S83" s="237"/>
      <c r="T83" s="237"/>
      <c r="U83" s="237"/>
      <c r="V83" s="237"/>
      <c r="W83" s="237"/>
      <c r="X83" s="74"/>
      <c r="Y83" s="74"/>
      <c r="Z83" s="74"/>
      <c r="AA83" s="74"/>
      <c r="AB83" s="12">
        <v>2</v>
      </c>
      <c r="AC83" s="13" t="s">
        <v>320</v>
      </c>
      <c r="AD83" s="14">
        <v>0.9</v>
      </c>
      <c r="AE83" s="22">
        <v>43160</v>
      </c>
      <c r="AF83" s="22">
        <v>43465</v>
      </c>
      <c r="AG83" s="15" t="s">
        <v>145</v>
      </c>
      <c r="AI83" s="245"/>
      <c r="AJ83" s="245"/>
    </row>
    <row r="84" spans="2:36" ht="48" hidden="1" customHeight="1" thickBot="1" x14ac:dyDescent="0.3">
      <c r="B84" s="59" t="s">
        <v>391</v>
      </c>
      <c r="C84" s="58" t="s">
        <v>392</v>
      </c>
      <c r="D84" s="54" t="s">
        <v>142</v>
      </c>
      <c r="E84" s="229" t="s">
        <v>538</v>
      </c>
      <c r="F84" s="54" t="s">
        <v>131</v>
      </c>
      <c r="G84" s="785">
        <v>6</v>
      </c>
      <c r="H84" s="824" t="s">
        <v>321</v>
      </c>
      <c r="I84" s="949">
        <v>7.1400000000000005E-2</v>
      </c>
      <c r="J84" s="768">
        <v>100</v>
      </c>
      <c r="K84" s="755" t="s">
        <v>184</v>
      </c>
      <c r="L84" s="850" t="s">
        <v>322</v>
      </c>
      <c r="M84" s="755" t="s">
        <v>133</v>
      </c>
      <c r="N84" s="807">
        <v>0.1</v>
      </c>
      <c r="O84" s="807">
        <v>0.4</v>
      </c>
      <c r="P84" s="807">
        <v>0.7</v>
      </c>
      <c r="Q84" s="952">
        <v>1</v>
      </c>
      <c r="R84" s="232"/>
      <c r="S84" s="238"/>
      <c r="T84" s="238"/>
      <c r="U84" s="238"/>
      <c r="V84" s="238"/>
      <c r="W84" s="238"/>
      <c r="X84" s="75"/>
      <c r="Y84" s="75"/>
      <c r="Z84" s="75"/>
      <c r="AA84" s="75"/>
      <c r="AB84" s="12">
        <v>1</v>
      </c>
      <c r="AC84" s="13" t="s">
        <v>323</v>
      </c>
      <c r="AD84" s="14">
        <v>0.1</v>
      </c>
      <c r="AE84" s="23">
        <v>43115</v>
      </c>
      <c r="AF84" s="22">
        <v>43189</v>
      </c>
      <c r="AG84" s="15" t="s">
        <v>147</v>
      </c>
      <c r="AI84" s="245"/>
      <c r="AJ84" s="245"/>
    </row>
    <row r="85" spans="2:36" ht="60.75" hidden="1" thickBot="1" x14ac:dyDescent="0.3">
      <c r="B85" s="59" t="s">
        <v>391</v>
      </c>
      <c r="C85" s="58" t="s">
        <v>392</v>
      </c>
      <c r="D85" s="54" t="s">
        <v>142</v>
      </c>
      <c r="E85" s="229" t="s">
        <v>538</v>
      </c>
      <c r="F85" s="54" t="s">
        <v>131</v>
      </c>
      <c r="G85" s="786"/>
      <c r="H85" s="825"/>
      <c r="I85" s="950"/>
      <c r="J85" s="770"/>
      <c r="K85" s="771"/>
      <c r="L85" s="884"/>
      <c r="M85" s="771"/>
      <c r="N85" s="808"/>
      <c r="O85" s="808"/>
      <c r="P85" s="808"/>
      <c r="Q85" s="953"/>
      <c r="R85" s="232"/>
      <c r="S85" s="238"/>
      <c r="T85" s="238"/>
      <c r="U85" s="238"/>
      <c r="V85" s="238"/>
      <c r="W85" s="238"/>
      <c r="X85" s="75"/>
      <c r="Y85" s="75"/>
      <c r="Z85" s="75"/>
      <c r="AA85" s="75"/>
      <c r="AB85" s="12">
        <v>2</v>
      </c>
      <c r="AC85" s="13" t="s">
        <v>324</v>
      </c>
      <c r="AD85" s="14">
        <v>0.2</v>
      </c>
      <c r="AE85" s="22">
        <v>43191</v>
      </c>
      <c r="AF85" s="22">
        <v>43312</v>
      </c>
      <c r="AG85" s="15" t="s">
        <v>147</v>
      </c>
      <c r="AI85" s="245"/>
      <c r="AJ85" s="245"/>
    </row>
    <row r="86" spans="2:36" ht="51.75" hidden="1" thickBot="1" x14ac:dyDescent="0.3">
      <c r="B86" s="59" t="s">
        <v>391</v>
      </c>
      <c r="C86" s="58" t="s">
        <v>392</v>
      </c>
      <c r="D86" s="54" t="s">
        <v>142</v>
      </c>
      <c r="E86" s="229" t="s">
        <v>538</v>
      </c>
      <c r="F86" s="54" t="s">
        <v>131</v>
      </c>
      <c r="G86" s="787"/>
      <c r="H86" s="826"/>
      <c r="I86" s="951"/>
      <c r="J86" s="769"/>
      <c r="K86" s="756"/>
      <c r="L86" s="851"/>
      <c r="M86" s="756"/>
      <c r="N86" s="809"/>
      <c r="O86" s="809"/>
      <c r="P86" s="809"/>
      <c r="Q86" s="954"/>
      <c r="R86" s="232"/>
      <c r="S86" s="238"/>
      <c r="T86" s="238"/>
      <c r="U86" s="238"/>
      <c r="V86" s="238"/>
      <c r="W86" s="238"/>
      <c r="X86" s="75"/>
      <c r="Y86" s="75"/>
      <c r="Z86" s="75"/>
      <c r="AA86" s="75"/>
      <c r="AB86" s="12">
        <v>3</v>
      </c>
      <c r="AC86" s="13" t="s">
        <v>325</v>
      </c>
      <c r="AD86" s="14">
        <v>0.7</v>
      </c>
      <c r="AE86" s="22" t="s">
        <v>148</v>
      </c>
      <c r="AF86" s="22">
        <v>43465</v>
      </c>
      <c r="AG86" s="15" t="s">
        <v>147</v>
      </c>
      <c r="AI86" s="245"/>
      <c r="AJ86" s="245"/>
    </row>
    <row r="87" spans="2:36" ht="60.75" hidden="1" customHeight="1" thickBot="1" x14ac:dyDescent="0.3">
      <c r="B87" s="59" t="s">
        <v>391</v>
      </c>
      <c r="C87" s="58" t="s">
        <v>392</v>
      </c>
      <c r="D87" s="54" t="s">
        <v>142</v>
      </c>
      <c r="E87" s="229" t="s">
        <v>538</v>
      </c>
      <c r="F87" s="54" t="s">
        <v>131</v>
      </c>
      <c r="G87" s="785">
        <v>7</v>
      </c>
      <c r="H87" s="824" t="s">
        <v>326</v>
      </c>
      <c r="I87" s="949">
        <v>7.1400000000000005E-2</v>
      </c>
      <c r="J87" s="768">
        <v>100</v>
      </c>
      <c r="K87" s="755" t="s">
        <v>184</v>
      </c>
      <c r="L87" s="850" t="s">
        <v>327</v>
      </c>
      <c r="M87" s="755" t="s">
        <v>133</v>
      </c>
      <c r="N87" s="807">
        <v>0.2</v>
      </c>
      <c r="O87" s="807">
        <v>0.5</v>
      </c>
      <c r="P87" s="807">
        <v>0.7</v>
      </c>
      <c r="Q87" s="952">
        <v>1</v>
      </c>
      <c r="R87" s="232"/>
      <c r="S87" s="238"/>
      <c r="T87" s="238"/>
      <c r="U87" s="238"/>
      <c r="V87" s="238"/>
      <c r="W87" s="238"/>
      <c r="X87" s="75"/>
      <c r="Y87" s="75"/>
      <c r="Z87" s="75"/>
      <c r="AA87" s="75"/>
      <c r="AB87" s="12">
        <v>1</v>
      </c>
      <c r="AC87" s="13" t="s">
        <v>328</v>
      </c>
      <c r="AD87" s="14">
        <v>0.2</v>
      </c>
      <c r="AE87" s="23">
        <v>43115</v>
      </c>
      <c r="AF87" s="22" t="s">
        <v>149</v>
      </c>
      <c r="AG87" s="15" t="s">
        <v>329</v>
      </c>
      <c r="AI87" s="245"/>
      <c r="AJ87" s="245"/>
    </row>
    <row r="88" spans="2:36" ht="51.75" hidden="1" thickBot="1" x14ac:dyDescent="0.3">
      <c r="B88" s="59" t="s">
        <v>391</v>
      </c>
      <c r="C88" s="58" t="s">
        <v>392</v>
      </c>
      <c r="D88" s="54" t="s">
        <v>142</v>
      </c>
      <c r="E88" s="229" t="s">
        <v>538</v>
      </c>
      <c r="F88" s="54" t="s">
        <v>131</v>
      </c>
      <c r="G88" s="786"/>
      <c r="H88" s="825"/>
      <c r="I88" s="950"/>
      <c r="J88" s="770"/>
      <c r="K88" s="771"/>
      <c r="L88" s="884"/>
      <c r="M88" s="771"/>
      <c r="N88" s="808"/>
      <c r="O88" s="808"/>
      <c r="P88" s="808"/>
      <c r="Q88" s="953"/>
      <c r="R88" s="232"/>
      <c r="S88" s="238"/>
      <c r="T88" s="238"/>
      <c r="U88" s="238"/>
      <c r="V88" s="238"/>
      <c r="W88" s="238"/>
      <c r="X88" s="75"/>
      <c r="Y88" s="75"/>
      <c r="Z88" s="75"/>
      <c r="AA88" s="75"/>
      <c r="AB88" s="12">
        <v>2</v>
      </c>
      <c r="AC88" s="13" t="s">
        <v>330</v>
      </c>
      <c r="AD88" s="14">
        <v>0.5</v>
      </c>
      <c r="AE88" s="22">
        <v>43191</v>
      </c>
      <c r="AF88" s="22">
        <v>43465</v>
      </c>
      <c r="AG88" s="15" t="s">
        <v>329</v>
      </c>
      <c r="AI88" s="245"/>
      <c r="AJ88" s="245"/>
    </row>
    <row r="89" spans="2:36" ht="51.75" hidden="1" thickBot="1" x14ac:dyDescent="0.3">
      <c r="B89" s="59" t="s">
        <v>391</v>
      </c>
      <c r="C89" s="58" t="s">
        <v>392</v>
      </c>
      <c r="D89" s="54" t="s">
        <v>142</v>
      </c>
      <c r="E89" s="229" t="s">
        <v>538</v>
      </c>
      <c r="F89" s="54" t="s">
        <v>131</v>
      </c>
      <c r="G89" s="787"/>
      <c r="H89" s="826"/>
      <c r="I89" s="951"/>
      <c r="J89" s="769"/>
      <c r="K89" s="756"/>
      <c r="L89" s="851"/>
      <c r="M89" s="756"/>
      <c r="N89" s="809"/>
      <c r="O89" s="809"/>
      <c r="P89" s="809"/>
      <c r="Q89" s="954"/>
      <c r="R89" s="232"/>
      <c r="S89" s="238"/>
      <c r="T89" s="238"/>
      <c r="U89" s="238"/>
      <c r="V89" s="238"/>
      <c r="W89" s="238"/>
      <c r="X89" s="75"/>
      <c r="Y89" s="75"/>
      <c r="Z89" s="75"/>
      <c r="AA89" s="75"/>
      <c r="AB89" s="12">
        <v>3</v>
      </c>
      <c r="AC89" s="13" t="s">
        <v>150</v>
      </c>
      <c r="AD89" s="14">
        <v>0.3</v>
      </c>
      <c r="AE89" s="22">
        <v>43191</v>
      </c>
      <c r="AF89" s="22">
        <v>43465</v>
      </c>
      <c r="AG89" s="15" t="s">
        <v>329</v>
      </c>
      <c r="AI89" s="245"/>
      <c r="AJ89" s="245"/>
    </row>
    <row r="90" spans="2:36" ht="90.75" hidden="1" customHeight="1" thickBot="1" x14ac:dyDescent="0.3">
      <c r="B90" s="59" t="s">
        <v>391</v>
      </c>
      <c r="C90" s="58" t="s">
        <v>392</v>
      </c>
      <c r="D90" s="54" t="s">
        <v>142</v>
      </c>
      <c r="E90" s="229" t="s">
        <v>538</v>
      </c>
      <c r="F90" s="54" t="s">
        <v>131</v>
      </c>
      <c r="G90" s="785">
        <v>8</v>
      </c>
      <c r="H90" s="815" t="s">
        <v>331</v>
      </c>
      <c r="I90" s="949">
        <v>7.1400000000000005E-2</v>
      </c>
      <c r="J90" s="768">
        <v>100</v>
      </c>
      <c r="K90" s="755" t="s">
        <v>184</v>
      </c>
      <c r="L90" s="850" t="s">
        <v>332</v>
      </c>
      <c r="M90" s="755" t="s">
        <v>133</v>
      </c>
      <c r="N90" s="807">
        <v>0</v>
      </c>
      <c r="O90" s="807">
        <v>0.33</v>
      </c>
      <c r="P90" s="807">
        <v>0.66</v>
      </c>
      <c r="Q90" s="952">
        <v>1</v>
      </c>
      <c r="R90" s="232"/>
      <c r="S90" s="238"/>
      <c r="T90" s="238"/>
      <c r="U90" s="238"/>
      <c r="V90" s="238"/>
      <c r="W90" s="238"/>
      <c r="X90" s="75"/>
      <c r="Y90" s="75"/>
      <c r="Z90" s="75"/>
      <c r="AA90" s="75"/>
      <c r="AB90" s="12">
        <v>1</v>
      </c>
      <c r="AC90" s="13" t="s">
        <v>151</v>
      </c>
      <c r="AD90" s="14">
        <v>0.33</v>
      </c>
      <c r="AE90" s="23">
        <v>43115</v>
      </c>
      <c r="AF90" s="22">
        <v>43220</v>
      </c>
      <c r="AG90" s="15" t="s">
        <v>152</v>
      </c>
      <c r="AI90" s="245"/>
      <c r="AJ90" s="245"/>
    </row>
    <row r="91" spans="2:36" ht="51.75" hidden="1" thickBot="1" x14ac:dyDescent="0.3">
      <c r="B91" s="59" t="s">
        <v>391</v>
      </c>
      <c r="C91" s="58" t="s">
        <v>392</v>
      </c>
      <c r="D91" s="54" t="s">
        <v>142</v>
      </c>
      <c r="E91" s="229" t="s">
        <v>538</v>
      </c>
      <c r="F91" s="54" t="s">
        <v>131</v>
      </c>
      <c r="G91" s="786"/>
      <c r="H91" s="816"/>
      <c r="I91" s="950"/>
      <c r="J91" s="770"/>
      <c r="K91" s="771"/>
      <c r="L91" s="884"/>
      <c r="M91" s="771"/>
      <c r="N91" s="808"/>
      <c r="O91" s="808"/>
      <c r="P91" s="808"/>
      <c r="Q91" s="953"/>
      <c r="R91" s="232"/>
      <c r="S91" s="238"/>
      <c r="T91" s="238"/>
      <c r="U91" s="238"/>
      <c r="V91" s="238"/>
      <c r="W91" s="238"/>
      <c r="X91" s="75"/>
      <c r="Y91" s="75"/>
      <c r="Z91" s="75"/>
      <c r="AA91" s="75"/>
      <c r="AB91" s="12">
        <v>2</v>
      </c>
      <c r="AC91" s="13" t="s">
        <v>153</v>
      </c>
      <c r="AD91" s="14">
        <v>0.33</v>
      </c>
      <c r="AE91" s="23">
        <v>43221</v>
      </c>
      <c r="AF91" s="22">
        <v>43312</v>
      </c>
      <c r="AG91" s="15" t="s">
        <v>152</v>
      </c>
      <c r="AI91" s="245"/>
      <c r="AJ91" s="245"/>
    </row>
    <row r="92" spans="2:36" ht="51.75" hidden="1" thickBot="1" x14ac:dyDescent="0.3">
      <c r="B92" s="59" t="s">
        <v>391</v>
      </c>
      <c r="C92" s="58" t="s">
        <v>392</v>
      </c>
      <c r="D92" s="54" t="s">
        <v>142</v>
      </c>
      <c r="E92" s="229" t="s">
        <v>538</v>
      </c>
      <c r="F92" s="54" t="s">
        <v>131</v>
      </c>
      <c r="G92" s="787"/>
      <c r="H92" s="817"/>
      <c r="I92" s="951"/>
      <c r="J92" s="769"/>
      <c r="K92" s="756"/>
      <c r="L92" s="851"/>
      <c r="M92" s="756"/>
      <c r="N92" s="809"/>
      <c r="O92" s="809"/>
      <c r="P92" s="809"/>
      <c r="Q92" s="954"/>
      <c r="R92" s="232"/>
      <c r="S92" s="238"/>
      <c r="T92" s="238"/>
      <c r="U92" s="238"/>
      <c r="V92" s="238"/>
      <c r="W92" s="238"/>
      <c r="X92" s="75"/>
      <c r="Y92" s="75"/>
      <c r="Z92" s="75"/>
      <c r="AA92" s="75"/>
      <c r="AB92" s="12">
        <v>3</v>
      </c>
      <c r="AC92" s="13" t="s">
        <v>154</v>
      </c>
      <c r="AD92" s="14">
        <v>0.34</v>
      </c>
      <c r="AE92" s="23">
        <v>43313</v>
      </c>
      <c r="AF92" s="22">
        <v>43465</v>
      </c>
      <c r="AG92" s="15" t="s">
        <v>152</v>
      </c>
      <c r="AI92" s="245"/>
      <c r="AJ92" s="245"/>
    </row>
    <row r="93" spans="2:36" ht="51.75" hidden="1" customHeight="1" thickBot="1" x14ac:dyDescent="0.3">
      <c r="B93" s="59" t="s">
        <v>391</v>
      </c>
      <c r="C93" s="58" t="s">
        <v>392</v>
      </c>
      <c r="D93" s="54" t="s">
        <v>23</v>
      </c>
      <c r="E93" s="229" t="s">
        <v>538</v>
      </c>
      <c r="F93" s="54" t="s">
        <v>131</v>
      </c>
      <c r="G93" s="785">
        <v>9</v>
      </c>
      <c r="H93" s="815" t="s">
        <v>155</v>
      </c>
      <c r="I93" s="955">
        <v>7.1400000000000005E-2</v>
      </c>
      <c r="J93" s="768">
        <v>100</v>
      </c>
      <c r="K93" s="755" t="s">
        <v>184</v>
      </c>
      <c r="L93" s="766" t="s">
        <v>156</v>
      </c>
      <c r="M93" s="755" t="s">
        <v>133</v>
      </c>
      <c r="N93" s="807">
        <v>0.5</v>
      </c>
      <c r="O93" s="807">
        <v>1</v>
      </c>
      <c r="P93" s="807"/>
      <c r="Q93" s="952"/>
      <c r="R93" s="232"/>
      <c r="S93" s="238"/>
      <c r="T93" s="238"/>
      <c r="U93" s="238"/>
      <c r="V93" s="238"/>
      <c r="W93" s="238"/>
      <c r="X93" s="75"/>
      <c r="Y93" s="75"/>
      <c r="Z93" s="75"/>
      <c r="AA93" s="75"/>
      <c r="AB93" s="12">
        <v>1</v>
      </c>
      <c r="AC93" s="13" t="s">
        <v>333</v>
      </c>
      <c r="AD93" s="14">
        <v>0.25</v>
      </c>
      <c r="AE93" s="23">
        <v>43115</v>
      </c>
      <c r="AF93" s="22">
        <v>43159</v>
      </c>
      <c r="AG93" s="15" t="s">
        <v>157</v>
      </c>
      <c r="AI93" s="245"/>
      <c r="AJ93" s="245"/>
    </row>
    <row r="94" spans="2:36" ht="51.75" hidden="1" thickBot="1" x14ac:dyDescent="0.3">
      <c r="B94" s="59" t="s">
        <v>391</v>
      </c>
      <c r="C94" s="58" t="s">
        <v>392</v>
      </c>
      <c r="D94" s="54" t="s">
        <v>23</v>
      </c>
      <c r="E94" s="229" t="s">
        <v>538</v>
      </c>
      <c r="F94" s="54" t="s">
        <v>131</v>
      </c>
      <c r="G94" s="786"/>
      <c r="H94" s="816"/>
      <c r="I94" s="956"/>
      <c r="J94" s="770"/>
      <c r="K94" s="771"/>
      <c r="L94" s="782"/>
      <c r="M94" s="771"/>
      <c r="N94" s="808"/>
      <c r="O94" s="808"/>
      <c r="P94" s="808"/>
      <c r="Q94" s="953"/>
      <c r="R94" s="232"/>
      <c r="S94" s="238"/>
      <c r="T94" s="238"/>
      <c r="U94" s="238"/>
      <c r="V94" s="238"/>
      <c r="W94" s="238"/>
      <c r="X94" s="75"/>
      <c r="Y94" s="75"/>
      <c r="Z94" s="75"/>
      <c r="AA94" s="75"/>
      <c r="AB94" s="12">
        <v>2</v>
      </c>
      <c r="AC94" s="13" t="s">
        <v>158</v>
      </c>
      <c r="AD94" s="14">
        <v>0.25</v>
      </c>
      <c r="AE94" s="22">
        <v>43160</v>
      </c>
      <c r="AF94" s="22">
        <v>43190</v>
      </c>
      <c r="AG94" s="15" t="s">
        <v>157</v>
      </c>
      <c r="AI94" s="245"/>
      <c r="AJ94" s="245"/>
    </row>
    <row r="95" spans="2:36" ht="51.75" hidden="1" thickBot="1" x14ac:dyDescent="0.3">
      <c r="B95" s="59" t="s">
        <v>391</v>
      </c>
      <c r="C95" s="58" t="s">
        <v>392</v>
      </c>
      <c r="D95" s="54" t="s">
        <v>23</v>
      </c>
      <c r="E95" s="229" t="s">
        <v>538</v>
      </c>
      <c r="F95" s="54" t="s">
        <v>131</v>
      </c>
      <c r="G95" s="787"/>
      <c r="H95" s="817"/>
      <c r="I95" s="957"/>
      <c r="J95" s="769"/>
      <c r="K95" s="756"/>
      <c r="L95" s="767"/>
      <c r="M95" s="756"/>
      <c r="N95" s="809"/>
      <c r="O95" s="809"/>
      <c r="P95" s="809"/>
      <c r="Q95" s="954"/>
      <c r="R95" s="232"/>
      <c r="S95" s="238"/>
      <c r="T95" s="238"/>
      <c r="U95" s="238"/>
      <c r="V95" s="238"/>
      <c r="W95" s="238"/>
      <c r="X95" s="75"/>
      <c r="Y95" s="75"/>
      <c r="Z95" s="75"/>
      <c r="AA95" s="75"/>
      <c r="AB95" s="12">
        <v>3</v>
      </c>
      <c r="AC95" s="13" t="s">
        <v>334</v>
      </c>
      <c r="AD95" s="14">
        <v>0.5</v>
      </c>
      <c r="AE95" s="22">
        <v>43191</v>
      </c>
      <c r="AF95" s="22" t="s">
        <v>143</v>
      </c>
      <c r="AG95" s="15" t="s">
        <v>157</v>
      </c>
      <c r="AI95" s="245"/>
      <c r="AJ95" s="245"/>
    </row>
    <row r="96" spans="2:36" ht="90.75" hidden="1" customHeight="1" thickBot="1" x14ac:dyDescent="0.3">
      <c r="B96" s="59" t="s">
        <v>391</v>
      </c>
      <c r="C96" s="58" t="s">
        <v>392</v>
      </c>
      <c r="D96" s="54" t="s">
        <v>23</v>
      </c>
      <c r="E96" s="229" t="s">
        <v>538</v>
      </c>
      <c r="F96" s="54" t="s">
        <v>131</v>
      </c>
      <c r="G96" s="785">
        <v>10</v>
      </c>
      <c r="H96" s="824" t="s">
        <v>335</v>
      </c>
      <c r="I96" s="949">
        <v>7.1400000000000005E-2</v>
      </c>
      <c r="J96" s="768">
        <v>100</v>
      </c>
      <c r="K96" s="755" t="s">
        <v>184</v>
      </c>
      <c r="L96" s="850" t="s">
        <v>159</v>
      </c>
      <c r="M96" s="755" t="s">
        <v>133</v>
      </c>
      <c r="N96" s="807">
        <v>0.1</v>
      </c>
      <c r="O96" s="807">
        <v>0.4</v>
      </c>
      <c r="P96" s="807">
        <v>0.7</v>
      </c>
      <c r="Q96" s="952">
        <v>1</v>
      </c>
      <c r="R96" s="232"/>
      <c r="S96" s="238"/>
      <c r="T96" s="238"/>
      <c r="U96" s="238"/>
      <c r="V96" s="238"/>
      <c r="W96" s="238"/>
      <c r="X96" s="75"/>
      <c r="Y96" s="75"/>
      <c r="Z96" s="75"/>
      <c r="AA96" s="75"/>
      <c r="AB96" s="12">
        <v>1</v>
      </c>
      <c r="AC96" s="13" t="s">
        <v>336</v>
      </c>
      <c r="AD96" s="14">
        <v>0.1</v>
      </c>
      <c r="AE96" s="23">
        <v>43115</v>
      </c>
      <c r="AF96" s="22">
        <v>43190</v>
      </c>
      <c r="AG96" s="15" t="s">
        <v>160</v>
      </c>
      <c r="AH96" s="164"/>
      <c r="AI96" s="245"/>
      <c r="AJ96" s="245"/>
    </row>
    <row r="97" spans="2:36" ht="51.75" hidden="1" thickBot="1" x14ac:dyDescent="0.3">
      <c r="B97" s="59" t="s">
        <v>391</v>
      </c>
      <c r="C97" s="58" t="s">
        <v>392</v>
      </c>
      <c r="D97" s="54" t="s">
        <v>23</v>
      </c>
      <c r="E97" s="229" t="s">
        <v>538</v>
      </c>
      <c r="F97" s="54" t="s">
        <v>131</v>
      </c>
      <c r="G97" s="786"/>
      <c r="H97" s="825"/>
      <c r="I97" s="950"/>
      <c r="J97" s="770"/>
      <c r="K97" s="771"/>
      <c r="L97" s="884"/>
      <c r="M97" s="771"/>
      <c r="N97" s="808"/>
      <c r="O97" s="808"/>
      <c r="P97" s="808"/>
      <c r="Q97" s="953"/>
      <c r="R97" s="232"/>
      <c r="S97" s="238"/>
      <c r="T97" s="238"/>
      <c r="U97" s="238"/>
      <c r="V97" s="238"/>
      <c r="W97" s="238"/>
      <c r="X97" s="75"/>
      <c r="Y97" s="75"/>
      <c r="Z97" s="75"/>
      <c r="AA97" s="75"/>
      <c r="AB97" s="12">
        <v>2</v>
      </c>
      <c r="AC97" s="13" t="s">
        <v>337</v>
      </c>
      <c r="AD97" s="14">
        <v>0.2</v>
      </c>
      <c r="AE97" s="22">
        <v>43191</v>
      </c>
      <c r="AF97" s="22">
        <v>43250</v>
      </c>
      <c r="AG97" s="15" t="s">
        <v>160</v>
      </c>
      <c r="AI97" s="245"/>
      <c r="AJ97" s="245"/>
    </row>
    <row r="98" spans="2:36" ht="75.75" hidden="1" thickBot="1" x14ac:dyDescent="0.3">
      <c r="B98" s="59" t="s">
        <v>391</v>
      </c>
      <c r="C98" s="58" t="s">
        <v>392</v>
      </c>
      <c r="D98" s="54" t="s">
        <v>23</v>
      </c>
      <c r="E98" s="229" t="s">
        <v>538</v>
      </c>
      <c r="F98" s="54" t="s">
        <v>131</v>
      </c>
      <c r="G98" s="787"/>
      <c r="H98" s="826"/>
      <c r="I98" s="951"/>
      <c r="J98" s="769"/>
      <c r="K98" s="756"/>
      <c r="L98" s="851"/>
      <c r="M98" s="756"/>
      <c r="N98" s="809"/>
      <c r="O98" s="809"/>
      <c r="P98" s="809"/>
      <c r="Q98" s="954"/>
      <c r="R98" s="232"/>
      <c r="S98" s="238"/>
      <c r="T98" s="238"/>
      <c r="U98" s="238"/>
      <c r="V98" s="238"/>
      <c r="W98" s="238"/>
      <c r="X98" s="75"/>
      <c r="Y98" s="75"/>
      <c r="Z98" s="75"/>
      <c r="AA98" s="75"/>
      <c r="AB98" s="12">
        <v>3</v>
      </c>
      <c r="AC98" s="13" t="s">
        <v>161</v>
      </c>
      <c r="AD98" s="14">
        <v>0.7</v>
      </c>
      <c r="AE98" s="22" t="s">
        <v>162</v>
      </c>
      <c r="AF98" s="22">
        <v>43465</v>
      </c>
      <c r="AG98" s="15" t="s">
        <v>160</v>
      </c>
      <c r="AI98" s="245"/>
      <c r="AJ98" s="245"/>
    </row>
    <row r="99" spans="2:36" ht="77.25" hidden="1" customHeight="1" thickBot="1" x14ac:dyDescent="0.3">
      <c r="B99" s="59" t="s">
        <v>391</v>
      </c>
      <c r="C99" s="58" t="s">
        <v>392</v>
      </c>
      <c r="D99" s="54" t="s">
        <v>130</v>
      </c>
      <c r="E99" s="229" t="s">
        <v>537</v>
      </c>
      <c r="F99" s="54" t="s">
        <v>131</v>
      </c>
      <c r="G99" s="785">
        <v>11</v>
      </c>
      <c r="H99" s="815" t="s">
        <v>338</v>
      </c>
      <c r="I99" s="949">
        <v>7.1400000000000005E-2</v>
      </c>
      <c r="J99" s="768">
        <v>100</v>
      </c>
      <c r="K99" s="755" t="s">
        <v>184</v>
      </c>
      <c r="L99" s="850" t="s">
        <v>339</v>
      </c>
      <c r="M99" s="755" t="s">
        <v>133</v>
      </c>
      <c r="N99" s="773">
        <v>0.25</v>
      </c>
      <c r="O99" s="773">
        <v>0.5</v>
      </c>
      <c r="P99" s="773">
        <v>0.75</v>
      </c>
      <c r="Q99" s="774">
        <v>1</v>
      </c>
      <c r="R99" s="232"/>
      <c r="S99" s="238"/>
      <c r="T99" s="238"/>
      <c r="U99" s="238"/>
      <c r="V99" s="238"/>
      <c r="W99" s="238"/>
      <c r="X99" s="75"/>
      <c r="Y99" s="75"/>
      <c r="Z99" s="75"/>
      <c r="AA99" s="75"/>
      <c r="AB99" s="12">
        <v>1</v>
      </c>
      <c r="AC99" s="13" t="s">
        <v>340</v>
      </c>
      <c r="AD99" s="14">
        <v>0.2</v>
      </c>
      <c r="AE99" s="23">
        <v>43132</v>
      </c>
      <c r="AF99" s="22">
        <v>43220</v>
      </c>
      <c r="AG99" s="15" t="s">
        <v>163</v>
      </c>
      <c r="AI99" s="245"/>
      <c r="AJ99" s="245"/>
    </row>
    <row r="100" spans="2:36" ht="51.75" hidden="1" thickBot="1" x14ac:dyDescent="0.3">
      <c r="B100" s="59" t="s">
        <v>391</v>
      </c>
      <c r="C100" s="58" t="s">
        <v>392</v>
      </c>
      <c r="D100" s="54" t="s">
        <v>130</v>
      </c>
      <c r="E100" s="229" t="s">
        <v>537</v>
      </c>
      <c r="F100" s="54" t="s">
        <v>131</v>
      </c>
      <c r="G100" s="786"/>
      <c r="H100" s="816"/>
      <c r="I100" s="950"/>
      <c r="J100" s="770"/>
      <c r="K100" s="771"/>
      <c r="L100" s="884"/>
      <c r="M100" s="771"/>
      <c r="N100" s="773"/>
      <c r="O100" s="773"/>
      <c r="P100" s="773"/>
      <c r="Q100" s="774"/>
      <c r="R100" s="232"/>
      <c r="S100" s="238"/>
      <c r="T100" s="238"/>
      <c r="U100" s="238"/>
      <c r="V100" s="238"/>
      <c r="W100" s="238"/>
      <c r="X100" s="75"/>
      <c r="Y100" s="75"/>
      <c r="Z100" s="75"/>
      <c r="AA100" s="75"/>
      <c r="AB100" s="12">
        <v>2</v>
      </c>
      <c r="AC100" s="13" t="s">
        <v>341</v>
      </c>
      <c r="AD100" s="14">
        <v>0.5</v>
      </c>
      <c r="AE100" s="22">
        <v>43221</v>
      </c>
      <c r="AF100" s="22">
        <v>43373</v>
      </c>
      <c r="AG100" s="15" t="s">
        <v>163</v>
      </c>
      <c r="AI100" s="245"/>
      <c r="AJ100" s="245"/>
    </row>
    <row r="101" spans="2:36" ht="51.75" hidden="1" thickBot="1" x14ac:dyDescent="0.3">
      <c r="B101" s="59" t="s">
        <v>391</v>
      </c>
      <c r="C101" s="58" t="s">
        <v>392</v>
      </c>
      <c r="D101" s="54" t="s">
        <v>130</v>
      </c>
      <c r="E101" s="229" t="s">
        <v>537</v>
      </c>
      <c r="F101" s="54" t="s">
        <v>131</v>
      </c>
      <c r="G101" s="786"/>
      <c r="H101" s="816"/>
      <c r="I101" s="950"/>
      <c r="J101" s="770"/>
      <c r="K101" s="771"/>
      <c r="L101" s="884"/>
      <c r="M101" s="771"/>
      <c r="N101" s="773"/>
      <c r="O101" s="773"/>
      <c r="P101" s="773"/>
      <c r="Q101" s="774"/>
      <c r="R101" s="232"/>
      <c r="S101" s="238"/>
      <c r="T101" s="238"/>
      <c r="U101" s="238"/>
      <c r="V101" s="238"/>
      <c r="W101" s="238"/>
      <c r="X101" s="75"/>
      <c r="Y101" s="75"/>
      <c r="Z101" s="75"/>
      <c r="AA101" s="75"/>
      <c r="AB101" s="12">
        <v>3</v>
      </c>
      <c r="AC101" s="13" t="s">
        <v>342</v>
      </c>
      <c r="AD101" s="14">
        <v>0.1</v>
      </c>
      <c r="AE101" s="22">
        <v>43374</v>
      </c>
      <c r="AF101" s="22">
        <v>43404</v>
      </c>
      <c r="AG101" s="15" t="s">
        <v>163</v>
      </c>
      <c r="AI101" s="245"/>
      <c r="AJ101" s="245"/>
    </row>
    <row r="102" spans="2:36" ht="75.75" hidden="1" thickBot="1" x14ac:dyDescent="0.3">
      <c r="B102" s="59" t="s">
        <v>391</v>
      </c>
      <c r="C102" s="58" t="s">
        <v>392</v>
      </c>
      <c r="D102" s="54" t="s">
        <v>130</v>
      </c>
      <c r="E102" s="229" t="s">
        <v>537</v>
      </c>
      <c r="F102" s="54" t="s">
        <v>131</v>
      </c>
      <c r="G102" s="787"/>
      <c r="H102" s="817"/>
      <c r="I102" s="951"/>
      <c r="J102" s="769"/>
      <c r="K102" s="756"/>
      <c r="L102" s="851"/>
      <c r="M102" s="756"/>
      <c r="N102" s="773"/>
      <c r="O102" s="773"/>
      <c r="P102" s="773"/>
      <c r="Q102" s="774"/>
      <c r="R102" s="232"/>
      <c r="S102" s="238"/>
      <c r="T102" s="238"/>
      <c r="U102" s="238"/>
      <c r="V102" s="238"/>
      <c r="W102" s="238"/>
      <c r="X102" s="75"/>
      <c r="Y102" s="75"/>
      <c r="Z102" s="75"/>
      <c r="AA102" s="75"/>
      <c r="AB102" s="12">
        <v>4</v>
      </c>
      <c r="AC102" s="13" t="s">
        <v>343</v>
      </c>
      <c r="AD102" s="14">
        <v>0.2</v>
      </c>
      <c r="AE102" s="22">
        <v>43405</v>
      </c>
      <c r="AF102" s="22">
        <v>43465</v>
      </c>
      <c r="AG102" s="15" t="s">
        <v>163</v>
      </c>
      <c r="AI102" s="245"/>
      <c r="AJ102" s="245"/>
    </row>
    <row r="103" spans="2:36" ht="77.25" hidden="1" customHeight="1" thickBot="1" x14ac:dyDescent="0.3">
      <c r="B103" s="59" t="s">
        <v>391</v>
      </c>
      <c r="C103" s="58" t="s">
        <v>392</v>
      </c>
      <c r="D103" s="54" t="s">
        <v>130</v>
      </c>
      <c r="E103" s="229" t="s">
        <v>537</v>
      </c>
      <c r="F103" s="54" t="s">
        <v>131</v>
      </c>
      <c r="G103" s="785">
        <v>12</v>
      </c>
      <c r="H103" s="788" t="s">
        <v>164</v>
      </c>
      <c r="I103" s="949">
        <v>7.1400000000000005E-2</v>
      </c>
      <c r="J103" s="768">
        <v>100</v>
      </c>
      <c r="K103" s="755" t="s">
        <v>184</v>
      </c>
      <c r="L103" s="766" t="s">
        <v>165</v>
      </c>
      <c r="M103" s="755" t="s">
        <v>133</v>
      </c>
      <c r="N103" s="755">
        <v>0.25</v>
      </c>
      <c r="O103" s="755">
        <v>0.5</v>
      </c>
      <c r="P103" s="755">
        <v>0.75</v>
      </c>
      <c r="Q103" s="944">
        <v>1</v>
      </c>
      <c r="R103" s="233"/>
      <c r="S103" s="239"/>
      <c r="T103" s="239"/>
      <c r="U103" s="239"/>
      <c r="V103" s="239"/>
      <c r="W103" s="239"/>
      <c r="X103" s="76"/>
      <c r="Y103" s="76"/>
      <c r="Z103" s="76"/>
      <c r="AA103" s="76"/>
      <c r="AB103" s="12">
        <v>1</v>
      </c>
      <c r="AC103" s="13" t="s">
        <v>166</v>
      </c>
      <c r="AD103" s="14">
        <v>0.25</v>
      </c>
      <c r="AE103" s="22">
        <v>43115</v>
      </c>
      <c r="AF103" s="22">
        <v>43159</v>
      </c>
      <c r="AG103" s="15" t="s">
        <v>167</v>
      </c>
      <c r="AI103" s="245"/>
      <c r="AJ103" s="245"/>
    </row>
    <row r="104" spans="2:36" ht="51.75" hidden="1" thickBot="1" x14ac:dyDescent="0.3">
      <c r="B104" s="59" t="s">
        <v>391</v>
      </c>
      <c r="C104" s="58" t="s">
        <v>392</v>
      </c>
      <c r="D104" s="54" t="s">
        <v>130</v>
      </c>
      <c r="E104" s="229" t="s">
        <v>537</v>
      </c>
      <c r="F104" s="54" t="s">
        <v>131</v>
      </c>
      <c r="G104" s="786"/>
      <c r="H104" s="789"/>
      <c r="I104" s="950"/>
      <c r="J104" s="770"/>
      <c r="K104" s="771"/>
      <c r="L104" s="782"/>
      <c r="M104" s="771"/>
      <c r="N104" s="771"/>
      <c r="O104" s="771"/>
      <c r="P104" s="771"/>
      <c r="Q104" s="945"/>
      <c r="R104" s="233"/>
      <c r="S104" s="239"/>
      <c r="T104" s="239"/>
      <c r="U104" s="239"/>
      <c r="V104" s="239"/>
      <c r="W104" s="239"/>
      <c r="X104" s="76"/>
      <c r="Y104" s="76"/>
      <c r="Z104" s="76"/>
      <c r="AA104" s="76"/>
      <c r="AB104" s="12">
        <v>2</v>
      </c>
      <c r="AC104" s="13" t="s">
        <v>168</v>
      </c>
      <c r="AD104" s="14">
        <v>0.25</v>
      </c>
      <c r="AE104" s="22">
        <v>43160</v>
      </c>
      <c r="AF104" s="22">
        <v>43251</v>
      </c>
      <c r="AG104" s="15" t="s">
        <v>167</v>
      </c>
      <c r="AI104" s="245"/>
      <c r="AJ104" s="245"/>
    </row>
    <row r="105" spans="2:36" ht="51.75" hidden="1" thickBot="1" x14ac:dyDescent="0.3">
      <c r="B105" s="59" t="s">
        <v>391</v>
      </c>
      <c r="C105" s="58" t="s">
        <v>392</v>
      </c>
      <c r="D105" s="54" t="s">
        <v>130</v>
      </c>
      <c r="E105" s="229" t="s">
        <v>537</v>
      </c>
      <c r="F105" s="54" t="s">
        <v>131</v>
      </c>
      <c r="G105" s="787"/>
      <c r="H105" s="790"/>
      <c r="I105" s="951"/>
      <c r="J105" s="769"/>
      <c r="K105" s="756"/>
      <c r="L105" s="767"/>
      <c r="M105" s="756"/>
      <c r="N105" s="756"/>
      <c r="O105" s="756"/>
      <c r="P105" s="756"/>
      <c r="Q105" s="946"/>
      <c r="R105" s="233"/>
      <c r="S105" s="239"/>
      <c r="T105" s="239"/>
      <c r="U105" s="239"/>
      <c r="V105" s="239"/>
      <c r="W105" s="239"/>
      <c r="X105" s="76"/>
      <c r="Y105" s="76"/>
      <c r="Z105" s="76"/>
      <c r="AA105" s="76"/>
      <c r="AB105" s="12">
        <v>3</v>
      </c>
      <c r="AC105" s="13" t="s">
        <v>169</v>
      </c>
      <c r="AD105" s="14">
        <v>0.5</v>
      </c>
      <c r="AE105" s="22">
        <v>43252</v>
      </c>
      <c r="AF105" s="22">
        <v>43465</v>
      </c>
      <c r="AG105" s="15" t="s">
        <v>167</v>
      </c>
      <c r="AI105" s="245"/>
      <c r="AJ105" s="245"/>
    </row>
    <row r="106" spans="2:36" ht="77.25" hidden="1" customHeight="1" thickBot="1" x14ac:dyDescent="0.3">
      <c r="B106" s="59" t="s">
        <v>391</v>
      </c>
      <c r="C106" s="58" t="s">
        <v>392</v>
      </c>
      <c r="D106" s="54" t="s">
        <v>130</v>
      </c>
      <c r="E106" s="229" t="s">
        <v>537</v>
      </c>
      <c r="F106" s="54" t="s">
        <v>131</v>
      </c>
      <c r="G106" s="785">
        <v>13</v>
      </c>
      <c r="H106" s="815" t="s">
        <v>344</v>
      </c>
      <c r="I106" s="949">
        <v>7.1400000000000005E-2</v>
      </c>
      <c r="J106" s="768">
        <v>100</v>
      </c>
      <c r="K106" s="755" t="s">
        <v>184</v>
      </c>
      <c r="L106" s="850" t="s">
        <v>345</v>
      </c>
      <c r="M106" s="755" t="s">
        <v>133</v>
      </c>
      <c r="N106" s="755">
        <v>0.25</v>
      </c>
      <c r="O106" s="755">
        <v>0.5</v>
      </c>
      <c r="P106" s="755">
        <v>0.75</v>
      </c>
      <c r="Q106" s="944">
        <v>1</v>
      </c>
      <c r="R106" s="233"/>
      <c r="S106" s="239"/>
      <c r="T106" s="239"/>
      <c r="U106" s="239"/>
      <c r="V106" s="239"/>
      <c r="W106" s="239"/>
      <c r="X106" s="76"/>
      <c r="Y106" s="76"/>
      <c r="Z106" s="76"/>
      <c r="AA106" s="76"/>
      <c r="AB106" s="12">
        <v>1</v>
      </c>
      <c r="AC106" s="13" t="s">
        <v>170</v>
      </c>
      <c r="AD106" s="14">
        <v>0.35</v>
      </c>
      <c r="AE106" s="22">
        <v>43115</v>
      </c>
      <c r="AF106" s="22">
        <v>43251</v>
      </c>
      <c r="AG106" s="15" t="s">
        <v>171</v>
      </c>
      <c r="AI106" s="245"/>
      <c r="AJ106" s="245"/>
    </row>
    <row r="107" spans="2:36" ht="51.75" hidden="1" thickBot="1" x14ac:dyDescent="0.3">
      <c r="B107" s="59" t="s">
        <v>391</v>
      </c>
      <c r="C107" s="58" t="s">
        <v>392</v>
      </c>
      <c r="D107" s="54" t="s">
        <v>130</v>
      </c>
      <c r="E107" s="229" t="s">
        <v>537</v>
      </c>
      <c r="F107" s="54" t="s">
        <v>131</v>
      </c>
      <c r="G107" s="786"/>
      <c r="H107" s="816"/>
      <c r="I107" s="950"/>
      <c r="J107" s="770"/>
      <c r="K107" s="771"/>
      <c r="L107" s="884"/>
      <c r="M107" s="771"/>
      <c r="N107" s="771"/>
      <c r="O107" s="771"/>
      <c r="P107" s="771"/>
      <c r="Q107" s="945"/>
      <c r="R107" s="233"/>
      <c r="S107" s="239"/>
      <c r="T107" s="239"/>
      <c r="U107" s="239"/>
      <c r="V107" s="239"/>
      <c r="W107" s="239"/>
      <c r="X107" s="76"/>
      <c r="Y107" s="76"/>
      <c r="Z107" s="76"/>
      <c r="AA107" s="76"/>
      <c r="AB107" s="12">
        <v>2</v>
      </c>
      <c r="AC107" s="13" t="s">
        <v>172</v>
      </c>
      <c r="AD107" s="14">
        <v>0.15</v>
      </c>
      <c r="AE107" s="22">
        <v>43252</v>
      </c>
      <c r="AF107" s="22">
        <v>43281</v>
      </c>
      <c r="AG107" s="15" t="s">
        <v>171</v>
      </c>
      <c r="AI107" s="245"/>
      <c r="AJ107" s="245"/>
    </row>
    <row r="108" spans="2:36" ht="51.75" hidden="1" thickBot="1" x14ac:dyDescent="0.3">
      <c r="B108" s="59" t="s">
        <v>391</v>
      </c>
      <c r="C108" s="58" t="s">
        <v>392</v>
      </c>
      <c r="D108" s="54" t="s">
        <v>130</v>
      </c>
      <c r="E108" s="229" t="s">
        <v>537</v>
      </c>
      <c r="F108" s="54" t="s">
        <v>131</v>
      </c>
      <c r="G108" s="787"/>
      <c r="H108" s="817"/>
      <c r="I108" s="951"/>
      <c r="J108" s="769"/>
      <c r="K108" s="756"/>
      <c r="L108" s="851"/>
      <c r="M108" s="756"/>
      <c r="N108" s="756"/>
      <c r="O108" s="756"/>
      <c r="P108" s="756"/>
      <c r="Q108" s="946"/>
      <c r="R108" s="233"/>
      <c r="S108" s="239"/>
      <c r="T108" s="239"/>
      <c r="U108" s="239"/>
      <c r="V108" s="239"/>
      <c r="W108" s="239"/>
      <c r="X108" s="76"/>
      <c r="Y108" s="76"/>
      <c r="Z108" s="76"/>
      <c r="AA108" s="76"/>
      <c r="AB108" s="12">
        <v>3</v>
      </c>
      <c r="AC108" s="156" t="s">
        <v>173</v>
      </c>
      <c r="AD108" s="14">
        <v>0.5</v>
      </c>
      <c r="AE108" s="22">
        <v>43282</v>
      </c>
      <c r="AF108" s="22">
        <v>43465</v>
      </c>
      <c r="AG108" s="15" t="s">
        <v>171</v>
      </c>
      <c r="AI108" s="245"/>
      <c r="AJ108" s="245"/>
    </row>
    <row r="109" spans="2:36" ht="77.25" hidden="1" customHeight="1" thickBot="1" x14ac:dyDescent="0.3">
      <c r="B109" s="59" t="s">
        <v>391</v>
      </c>
      <c r="C109" s="58" t="s">
        <v>392</v>
      </c>
      <c r="D109" s="54" t="s">
        <v>130</v>
      </c>
      <c r="E109" s="229" t="s">
        <v>537</v>
      </c>
      <c r="F109" s="54" t="s">
        <v>131</v>
      </c>
      <c r="G109" s="779">
        <v>14</v>
      </c>
      <c r="H109" s="942" t="s">
        <v>346</v>
      </c>
      <c r="I109" s="947">
        <v>7.1800000000000003E-2</v>
      </c>
      <c r="J109" s="948">
        <v>100</v>
      </c>
      <c r="K109" s="772" t="s">
        <v>184</v>
      </c>
      <c r="L109" s="942" t="s">
        <v>174</v>
      </c>
      <c r="M109" s="772" t="s">
        <v>133</v>
      </c>
      <c r="N109" s="772">
        <v>0.25</v>
      </c>
      <c r="O109" s="772">
        <v>0.5</v>
      </c>
      <c r="P109" s="772">
        <v>0.75</v>
      </c>
      <c r="Q109" s="943">
        <v>1</v>
      </c>
      <c r="R109" s="233"/>
      <c r="S109" s="239"/>
      <c r="T109" s="239"/>
      <c r="U109" s="239"/>
      <c r="V109" s="239"/>
      <c r="W109" s="239"/>
      <c r="X109" s="76"/>
      <c r="Y109" s="76"/>
      <c r="Z109" s="76"/>
      <c r="AA109" s="76"/>
      <c r="AB109" s="12">
        <v>1</v>
      </c>
      <c r="AC109" s="13" t="s">
        <v>347</v>
      </c>
      <c r="AD109" s="14">
        <v>0.5</v>
      </c>
      <c r="AE109" s="22">
        <v>43115</v>
      </c>
      <c r="AF109" s="22">
        <v>43281</v>
      </c>
      <c r="AG109" s="15" t="s">
        <v>175</v>
      </c>
      <c r="AI109" s="245"/>
      <c r="AJ109" s="245"/>
    </row>
    <row r="110" spans="2:36" ht="51.75" hidden="1" thickBot="1" x14ac:dyDescent="0.3">
      <c r="B110" s="59" t="s">
        <v>391</v>
      </c>
      <c r="C110" s="58" t="s">
        <v>392</v>
      </c>
      <c r="D110" s="54" t="s">
        <v>130</v>
      </c>
      <c r="E110" s="229" t="s">
        <v>537</v>
      </c>
      <c r="F110" s="54" t="s">
        <v>131</v>
      </c>
      <c r="G110" s="781"/>
      <c r="H110" s="942"/>
      <c r="I110" s="947"/>
      <c r="J110" s="948"/>
      <c r="K110" s="772"/>
      <c r="L110" s="942"/>
      <c r="M110" s="772"/>
      <c r="N110" s="772"/>
      <c r="O110" s="772"/>
      <c r="P110" s="772"/>
      <c r="Q110" s="943"/>
      <c r="R110" s="233"/>
      <c r="S110" s="239"/>
      <c r="T110" s="239"/>
      <c r="U110" s="239"/>
      <c r="V110" s="239"/>
      <c r="W110" s="239"/>
      <c r="X110" s="76"/>
      <c r="Y110" s="76"/>
      <c r="Z110" s="76"/>
      <c r="AA110" s="76"/>
      <c r="AB110" s="213">
        <v>2</v>
      </c>
      <c r="AC110" s="13" t="s">
        <v>348</v>
      </c>
      <c r="AD110" s="14">
        <v>0.5</v>
      </c>
      <c r="AE110" s="22">
        <v>43282</v>
      </c>
      <c r="AF110" s="22">
        <v>43465</v>
      </c>
      <c r="AG110" s="15" t="s">
        <v>175</v>
      </c>
      <c r="AI110" s="245"/>
      <c r="AJ110" s="245"/>
    </row>
    <row r="111" spans="2:36" ht="45" hidden="1" customHeight="1" thickBot="1" x14ac:dyDescent="0.3">
      <c r="B111" s="57" t="s">
        <v>391</v>
      </c>
      <c r="C111" s="58" t="s">
        <v>392</v>
      </c>
      <c r="D111" s="52" t="s">
        <v>52</v>
      </c>
      <c r="E111" s="229" t="s">
        <v>539</v>
      </c>
      <c r="F111" s="53" t="s">
        <v>176</v>
      </c>
      <c r="G111" s="936">
        <v>1</v>
      </c>
      <c r="H111" s="1008" t="s">
        <v>480</v>
      </c>
      <c r="I111" s="1011">
        <v>7.6899999999999996E-2</v>
      </c>
      <c r="J111" s="1012">
        <v>100</v>
      </c>
      <c r="K111" s="1013" t="s">
        <v>481</v>
      </c>
      <c r="L111" s="1014" t="s">
        <v>482</v>
      </c>
      <c r="M111" s="1015" t="s">
        <v>483</v>
      </c>
      <c r="N111" s="914">
        <v>0.25</v>
      </c>
      <c r="O111" s="923">
        <v>0.5</v>
      </c>
      <c r="P111" s="923">
        <v>0.75</v>
      </c>
      <c r="Q111" s="923">
        <v>1</v>
      </c>
      <c r="R111" s="181"/>
      <c r="S111" s="240"/>
      <c r="T111" s="240"/>
      <c r="U111" s="240"/>
      <c r="V111" s="240"/>
      <c r="W111" s="240"/>
      <c r="X111" s="181"/>
      <c r="Y111" s="181"/>
      <c r="Z111" s="181"/>
      <c r="AB111" s="214">
        <v>1</v>
      </c>
      <c r="AC111" s="207" t="s">
        <v>484</v>
      </c>
      <c r="AD111" s="186">
        <v>0.25</v>
      </c>
      <c r="AE111" s="187">
        <v>43132</v>
      </c>
      <c r="AF111" s="187">
        <v>43190</v>
      </c>
      <c r="AG111" s="188" t="s">
        <v>483</v>
      </c>
      <c r="AI111" s="245"/>
      <c r="AJ111" s="245"/>
    </row>
    <row r="112" spans="2:36" ht="60.75" hidden="1" customHeight="1" thickBot="1" x14ac:dyDescent="0.3">
      <c r="B112" s="57" t="s">
        <v>391</v>
      </c>
      <c r="C112" s="58" t="s">
        <v>392</v>
      </c>
      <c r="D112" s="52" t="s">
        <v>52</v>
      </c>
      <c r="E112" s="229" t="s">
        <v>539</v>
      </c>
      <c r="F112" s="53" t="s">
        <v>176</v>
      </c>
      <c r="G112" s="937"/>
      <c r="H112" s="1009"/>
      <c r="I112" s="906"/>
      <c r="J112" s="927"/>
      <c r="K112" s="930"/>
      <c r="L112" s="933"/>
      <c r="M112" s="912"/>
      <c r="N112" s="921"/>
      <c r="O112" s="924"/>
      <c r="P112" s="924"/>
      <c r="Q112" s="924"/>
      <c r="R112" s="182"/>
      <c r="S112" s="241"/>
      <c r="T112" s="241"/>
      <c r="U112" s="241"/>
      <c r="V112" s="241"/>
      <c r="W112" s="241"/>
      <c r="X112" s="182"/>
      <c r="Y112" s="182"/>
      <c r="Z112" s="182"/>
      <c r="AB112" s="214">
        <v>2</v>
      </c>
      <c r="AC112" s="208" t="s">
        <v>485</v>
      </c>
      <c r="AD112" s="189">
        <v>0.65</v>
      </c>
      <c r="AE112" s="190">
        <v>43191</v>
      </c>
      <c r="AF112" s="190">
        <v>43373</v>
      </c>
      <c r="AG112" s="188" t="s">
        <v>483</v>
      </c>
      <c r="AI112" s="245"/>
      <c r="AJ112" s="245"/>
    </row>
    <row r="113" spans="2:36" ht="126.75" hidden="1" thickBot="1" x14ac:dyDescent="0.3">
      <c r="B113" s="57" t="s">
        <v>391</v>
      </c>
      <c r="C113" s="58" t="s">
        <v>392</v>
      </c>
      <c r="D113" s="52" t="s">
        <v>52</v>
      </c>
      <c r="E113" s="229" t="s">
        <v>539</v>
      </c>
      <c r="F113" s="53" t="s">
        <v>176</v>
      </c>
      <c r="G113" s="938"/>
      <c r="H113" s="1010"/>
      <c r="I113" s="907"/>
      <c r="J113" s="928"/>
      <c r="K113" s="931"/>
      <c r="L113" s="934"/>
      <c r="M113" s="913"/>
      <c r="N113" s="922"/>
      <c r="O113" s="925"/>
      <c r="P113" s="925"/>
      <c r="Q113" s="925"/>
      <c r="R113" s="182"/>
      <c r="S113" s="241"/>
      <c r="T113" s="241"/>
      <c r="U113" s="241"/>
      <c r="V113" s="241"/>
      <c r="W113" s="241"/>
      <c r="X113" s="182"/>
      <c r="Y113" s="182"/>
      <c r="Z113" s="182"/>
      <c r="AB113" s="214">
        <v>3</v>
      </c>
      <c r="AC113" s="209" t="s">
        <v>486</v>
      </c>
      <c r="AD113" s="191">
        <v>0.1</v>
      </c>
      <c r="AE113" s="192">
        <v>43374</v>
      </c>
      <c r="AF113" s="192">
        <v>43404</v>
      </c>
      <c r="AG113" s="188" t="s">
        <v>483</v>
      </c>
      <c r="AI113" s="245"/>
      <c r="AJ113" s="245"/>
    </row>
    <row r="114" spans="2:36" ht="74.25" hidden="1" customHeight="1" thickBot="1" x14ac:dyDescent="0.3">
      <c r="B114" s="57" t="s">
        <v>391</v>
      </c>
      <c r="C114" s="58" t="s">
        <v>392</v>
      </c>
      <c r="D114" s="52" t="s">
        <v>52</v>
      </c>
      <c r="E114" s="229" t="s">
        <v>540</v>
      </c>
      <c r="F114" s="53" t="s">
        <v>176</v>
      </c>
      <c r="G114" s="936">
        <v>2</v>
      </c>
      <c r="H114" s="939" t="s">
        <v>491</v>
      </c>
      <c r="I114" s="905">
        <v>7.6899999999999996E-2</v>
      </c>
      <c r="J114" s="926">
        <v>100</v>
      </c>
      <c r="K114" s="929" t="s">
        <v>481</v>
      </c>
      <c r="L114" s="1005" t="s">
        <v>492</v>
      </c>
      <c r="M114" s="911" t="s">
        <v>493</v>
      </c>
      <c r="N114" s="914">
        <v>0.25</v>
      </c>
      <c r="O114" s="923">
        <v>0.5</v>
      </c>
      <c r="P114" s="923">
        <v>0.75</v>
      </c>
      <c r="Q114" s="923">
        <v>1</v>
      </c>
      <c r="R114" s="181"/>
      <c r="S114" s="240"/>
      <c r="T114" s="240"/>
      <c r="U114" s="240"/>
      <c r="V114" s="240"/>
      <c r="W114" s="240"/>
      <c r="X114" s="181"/>
      <c r="Y114" s="181"/>
      <c r="Z114" s="181"/>
      <c r="AB114" s="214">
        <v>1</v>
      </c>
      <c r="AC114" s="207" t="s">
        <v>484</v>
      </c>
      <c r="AD114" s="186">
        <v>0.25</v>
      </c>
      <c r="AE114" s="187">
        <v>43132</v>
      </c>
      <c r="AF114" s="187">
        <v>43190</v>
      </c>
      <c r="AG114" s="188" t="s">
        <v>493</v>
      </c>
      <c r="AI114" s="245"/>
      <c r="AJ114" s="245"/>
    </row>
    <row r="115" spans="2:36" ht="74.25" hidden="1" customHeight="1" thickBot="1" x14ac:dyDescent="0.3">
      <c r="B115" s="57" t="s">
        <v>391</v>
      </c>
      <c r="C115" s="58" t="s">
        <v>392</v>
      </c>
      <c r="D115" s="52" t="s">
        <v>52</v>
      </c>
      <c r="E115" s="229" t="s">
        <v>540</v>
      </c>
      <c r="F115" s="53" t="s">
        <v>176</v>
      </c>
      <c r="G115" s="937"/>
      <c r="H115" s="940"/>
      <c r="I115" s="906"/>
      <c r="J115" s="927"/>
      <c r="K115" s="930"/>
      <c r="L115" s="1006"/>
      <c r="M115" s="912"/>
      <c r="N115" s="921"/>
      <c r="O115" s="924"/>
      <c r="P115" s="924"/>
      <c r="Q115" s="924"/>
      <c r="R115" s="182"/>
      <c r="S115" s="241"/>
      <c r="T115" s="241"/>
      <c r="U115" s="241"/>
      <c r="V115" s="241"/>
      <c r="W115" s="241"/>
      <c r="X115" s="182"/>
      <c r="Y115" s="182"/>
      <c r="Z115" s="182"/>
      <c r="AB115" s="214">
        <v>2</v>
      </c>
      <c r="AC115" s="216" t="s">
        <v>524</v>
      </c>
      <c r="AD115" s="189">
        <v>0.65</v>
      </c>
      <c r="AE115" s="190">
        <v>43191</v>
      </c>
      <c r="AF115" s="190">
        <v>43373</v>
      </c>
      <c r="AG115" s="188" t="s">
        <v>493</v>
      </c>
      <c r="AI115" s="245"/>
      <c r="AJ115" s="245"/>
    </row>
    <row r="116" spans="2:36" ht="74.25" hidden="1" customHeight="1" thickBot="1" x14ac:dyDescent="0.3">
      <c r="B116" s="57" t="s">
        <v>391</v>
      </c>
      <c r="C116" s="58" t="s">
        <v>392</v>
      </c>
      <c r="D116" s="52" t="s">
        <v>52</v>
      </c>
      <c r="E116" s="229" t="s">
        <v>540</v>
      </c>
      <c r="F116" s="53" t="s">
        <v>176</v>
      </c>
      <c r="G116" s="938"/>
      <c r="H116" s="941"/>
      <c r="I116" s="907"/>
      <c r="J116" s="928"/>
      <c r="K116" s="931"/>
      <c r="L116" s="1007"/>
      <c r="M116" s="913"/>
      <c r="N116" s="922"/>
      <c r="O116" s="925"/>
      <c r="P116" s="925"/>
      <c r="Q116" s="925"/>
      <c r="R116" s="182"/>
      <c r="S116" s="241"/>
      <c r="T116" s="241"/>
      <c r="U116" s="241"/>
      <c r="V116" s="241"/>
      <c r="W116" s="241"/>
      <c r="X116" s="182"/>
      <c r="Y116" s="182"/>
      <c r="Z116" s="182"/>
      <c r="AB116" s="214">
        <v>3</v>
      </c>
      <c r="AC116" s="209" t="s">
        <v>523</v>
      </c>
      <c r="AD116" s="191">
        <v>0.1</v>
      </c>
      <c r="AE116" s="193">
        <v>43374</v>
      </c>
      <c r="AF116" s="193">
        <v>43404</v>
      </c>
      <c r="AG116" s="188" t="s">
        <v>493</v>
      </c>
      <c r="AI116" s="245"/>
      <c r="AJ116" s="245"/>
    </row>
    <row r="117" spans="2:36" ht="74.25" hidden="1" customHeight="1" thickBot="1" x14ac:dyDescent="0.3">
      <c r="B117" s="57" t="s">
        <v>391</v>
      </c>
      <c r="C117" s="58" t="s">
        <v>392</v>
      </c>
      <c r="D117" s="52" t="s">
        <v>52</v>
      </c>
      <c r="E117" s="229" t="s">
        <v>540</v>
      </c>
      <c r="F117" s="53" t="s">
        <v>176</v>
      </c>
      <c r="G117" s="936">
        <v>3</v>
      </c>
      <c r="H117" s="939" t="s">
        <v>179</v>
      </c>
      <c r="I117" s="905">
        <v>7.6899999999999996E-2</v>
      </c>
      <c r="J117" s="926">
        <v>100</v>
      </c>
      <c r="K117" s="929" t="s">
        <v>481</v>
      </c>
      <c r="L117" s="929" t="s">
        <v>494</v>
      </c>
      <c r="M117" s="911" t="s">
        <v>495</v>
      </c>
      <c r="N117" s="914">
        <v>0.25</v>
      </c>
      <c r="O117" s="923">
        <v>0.5</v>
      </c>
      <c r="P117" s="923">
        <v>0.75</v>
      </c>
      <c r="Q117" s="923">
        <v>1</v>
      </c>
      <c r="R117" s="181"/>
      <c r="S117" s="240"/>
      <c r="T117" s="240"/>
      <c r="U117" s="240"/>
      <c r="V117" s="240"/>
      <c r="W117" s="240"/>
      <c r="X117" s="181"/>
      <c r="Y117" s="181"/>
      <c r="Z117" s="181"/>
      <c r="AB117" s="214">
        <v>1</v>
      </c>
      <c r="AC117" s="207" t="s">
        <v>484</v>
      </c>
      <c r="AD117" s="186">
        <v>0.25</v>
      </c>
      <c r="AE117" s="187">
        <v>43132</v>
      </c>
      <c r="AF117" s="187">
        <v>43190</v>
      </c>
      <c r="AG117" s="188" t="s">
        <v>495</v>
      </c>
      <c r="AI117" s="245"/>
      <c r="AJ117" s="245"/>
    </row>
    <row r="118" spans="2:36" ht="74.25" hidden="1" customHeight="1" thickBot="1" x14ac:dyDescent="0.3">
      <c r="B118" s="57" t="s">
        <v>391</v>
      </c>
      <c r="C118" s="58" t="s">
        <v>392</v>
      </c>
      <c r="D118" s="52" t="s">
        <v>52</v>
      </c>
      <c r="E118" s="229" t="s">
        <v>540</v>
      </c>
      <c r="F118" s="53" t="s">
        <v>176</v>
      </c>
      <c r="G118" s="937"/>
      <c r="H118" s="940"/>
      <c r="I118" s="906"/>
      <c r="J118" s="927"/>
      <c r="K118" s="930"/>
      <c r="L118" s="930"/>
      <c r="M118" s="912"/>
      <c r="N118" s="921"/>
      <c r="O118" s="924"/>
      <c r="P118" s="924"/>
      <c r="Q118" s="924"/>
      <c r="R118" s="182"/>
      <c r="S118" s="241"/>
      <c r="T118" s="241"/>
      <c r="U118" s="241"/>
      <c r="V118" s="241"/>
      <c r="W118" s="241"/>
      <c r="X118" s="182"/>
      <c r="Y118" s="182"/>
      <c r="Z118" s="182"/>
      <c r="AB118" s="214">
        <v>2</v>
      </c>
      <c r="AC118" s="208" t="s">
        <v>485</v>
      </c>
      <c r="AD118" s="189">
        <v>0.65</v>
      </c>
      <c r="AE118" s="190">
        <v>43191</v>
      </c>
      <c r="AF118" s="190">
        <v>43373</v>
      </c>
      <c r="AG118" s="188" t="s">
        <v>495</v>
      </c>
      <c r="AI118" s="245"/>
      <c r="AJ118" s="245"/>
    </row>
    <row r="119" spans="2:36" ht="74.25" hidden="1" customHeight="1" thickBot="1" x14ac:dyDescent="0.3">
      <c r="B119" s="57" t="s">
        <v>391</v>
      </c>
      <c r="C119" s="58" t="s">
        <v>392</v>
      </c>
      <c r="D119" s="52" t="s">
        <v>52</v>
      </c>
      <c r="E119" s="229" t="s">
        <v>540</v>
      </c>
      <c r="F119" s="53" t="s">
        <v>176</v>
      </c>
      <c r="G119" s="938"/>
      <c r="H119" s="941"/>
      <c r="I119" s="907"/>
      <c r="J119" s="928"/>
      <c r="K119" s="931"/>
      <c r="L119" s="931"/>
      <c r="M119" s="913"/>
      <c r="N119" s="922"/>
      <c r="O119" s="925"/>
      <c r="P119" s="925"/>
      <c r="Q119" s="925"/>
      <c r="R119" s="182"/>
      <c r="S119" s="241"/>
      <c r="T119" s="241"/>
      <c r="U119" s="241"/>
      <c r="V119" s="241"/>
      <c r="W119" s="241"/>
      <c r="X119" s="182"/>
      <c r="Y119" s="182"/>
      <c r="Z119" s="182"/>
      <c r="AB119" s="214">
        <v>3</v>
      </c>
      <c r="AC119" s="209" t="s">
        <v>486</v>
      </c>
      <c r="AD119" s="191">
        <v>0.1</v>
      </c>
      <c r="AE119" s="193">
        <v>43374</v>
      </c>
      <c r="AF119" s="193">
        <v>43404</v>
      </c>
      <c r="AG119" s="188" t="s">
        <v>495</v>
      </c>
      <c r="AI119" s="245"/>
      <c r="AJ119" s="245"/>
    </row>
    <row r="120" spans="2:36" ht="74.25" hidden="1" customHeight="1" thickBot="1" x14ac:dyDescent="0.3">
      <c r="B120" s="57" t="s">
        <v>391</v>
      </c>
      <c r="C120" s="58" t="s">
        <v>392</v>
      </c>
      <c r="D120" s="52" t="s">
        <v>52</v>
      </c>
      <c r="E120" s="229" t="s">
        <v>540</v>
      </c>
      <c r="F120" s="53" t="s">
        <v>176</v>
      </c>
      <c r="G120" s="936">
        <v>4</v>
      </c>
      <c r="H120" s="939" t="s">
        <v>180</v>
      </c>
      <c r="I120" s="905">
        <v>7.6899999999999996E-2</v>
      </c>
      <c r="J120" s="926">
        <v>100</v>
      </c>
      <c r="K120" s="929" t="s">
        <v>481</v>
      </c>
      <c r="L120" s="929" t="s">
        <v>496</v>
      </c>
      <c r="M120" s="911" t="s">
        <v>497</v>
      </c>
      <c r="N120" s="914">
        <v>0.25</v>
      </c>
      <c r="O120" s="923">
        <v>0.5</v>
      </c>
      <c r="P120" s="923">
        <v>0.75</v>
      </c>
      <c r="Q120" s="923">
        <v>1</v>
      </c>
      <c r="R120" s="181"/>
      <c r="S120" s="240"/>
      <c r="T120" s="240"/>
      <c r="U120" s="240"/>
      <c r="V120" s="240"/>
      <c r="W120" s="240"/>
      <c r="X120" s="181"/>
      <c r="Y120" s="181"/>
      <c r="Z120" s="181"/>
      <c r="AB120" s="214">
        <v>1</v>
      </c>
      <c r="AC120" s="207" t="s">
        <v>484</v>
      </c>
      <c r="AD120" s="186">
        <v>0.25</v>
      </c>
      <c r="AE120" s="187">
        <v>43132</v>
      </c>
      <c r="AF120" s="187">
        <v>43190</v>
      </c>
      <c r="AG120" s="188" t="s">
        <v>497</v>
      </c>
      <c r="AI120" s="245"/>
      <c r="AJ120" s="245"/>
    </row>
    <row r="121" spans="2:36" ht="74.25" hidden="1" customHeight="1" thickBot="1" x14ac:dyDescent="0.3">
      <c r="B121" s="57" t="s">
        <v>391</v>
      </c>
      <c r="C121" s="58" t="s">
        <v>392</v>
      </c>
      <c r="D121" s="52" t="s">
        <v>52</v>
      </c>
      <c r="E121" s="229" t="s">
        <v>540</v>
      </c>
      <c r="F121" s="53" t="s">
        <v>176</v>
      </c>
      <c r="G121" s="937"/>
      <c r="H121" s="940"/>
      <c r="I121" s="906"/>
      <c r="J121" s="927"/>
      <c r="K121" s="930"/>
      <c r="L121" s="930"/>
      <c r="M121" s="912"/>
      <c r="N121" s="921"/>
      <c r="O121" s="924"/>
      <c r="P121" s="924"/>
      <c r="Q121" s="924"/>
      <c r="R121" s="182"/>
      <c r="S121" s="241"/>
      <c r="T121" s="241"/>
      <c r="U121" s="241"/>
      <c r="V121" s="241"/>
      <c r="W121" s="241"/>
      <c r="X121" s="182"/>
      <c r="Y121" s="182"/>
      <c r="Z121" s="182"/>
      <c r="AB121" s="214">
        <v>2</v>
      </c>
      <c r="AC121" s="208" t="s">
        <v>485</v>
      </c>
      <c r="AD121" s="189">
        <v>0.65</v>
      </c>
      <c r="AE121" s="190">
        <v>43191</v>
      </c>
      <c r="AF121" s="190">
        <v>43373</v>
      </c>
      <c r="AG121" s="188" t="s">
        <v>497</v>
      </c>
      <c r="AI121" s="245"/>
      <c r="AJ121" s="245"/>
    </row>
    <row r="122" spans="2:36" ht="74.25" hidden="1" customHeight="1" thickBot="1" x14ac:dyDescent="0.3">
      <c r="B122" s="57" t="s">
        <v>391</v>
      </c>
      <c r="C122" s="58" t="s">
        <v>392</v>
      </c>
      <c r="D122" s="52" t="s">
        <v>52</v>
      </c>
      <c r="E122" s="229" t="s">
        <v>540</v>
      </c>
      <c r="F122" s="53" t="s">
        <v>176</v>
      </c>
      <c r="G122" s="938"/>
      <c r="H122" s="941"/>
      <c r="I122" s="907"/>
      <c r="J122" s="928"/>
      <c r="K122" s="931"/>
      <c r="L122" s="931"/>
      <c r="M122" s="913"/>
      <c r="N122" s="922"/>
      <c r="O122" s="925"/>
      <c r="P122" s="925"/>
      <c r="Q122" s="925"/>
      <c r="R122" s="182"/>
      <c r="S122" s="241"/>
      <c r="T122" s="241"/>
      <c r="U122" s="241"/>
      <c r="V122" s="241"/>
      <c r="W122" s="241"/>
      <c r="X122" s="182"/>
      <c r="Y122" s="182"/>
      <c r="Z122" s="182"/>
      <c r="AB122" s="214">
        <v>3</v>
      </c>
      <c r="AC122" s="209" t="s">
        <v>486</v>
      </c>
      <c r="AD122" s="191">
        <v>0.1</v>
      </c>
      <c r="AE122" s="193">
        <v>43374</v>
      </c>
      <c r="AF122" s="193">
        <v>43404</v>
      </c>
      <c r="AG122" s="188" t="s">
        <v>497</v>
      </c>
      <c r="AI122" s="245"/>
      <c r="AJ122" s="245"/>
    </row>
    <row r="123" spans="2:36" ht="74.25" hidden="1" customHeight="1" thickBot="1" x14ac:dyDescent="0.3">
      <c r="B123" s="57" t="s">
        <v>391</v>
      </c>
      <c r="C123" s="58" t="s">
        <v>392</v>
      </c>
      <c r="D123" s="52" t="s">
        <v>52</v>
      </c>
      <c r="E123" s="229" t="s">
        <v>540</v>
      </c>
      <c r="F123" s="53" t="s">
        <v>176</v>
      </c>
      <c r="G123" s="936">
        <v>5</v>
      </c>
      <c r="H123" s="939" t="s">
        <v>182</v>
      </c>
      <c r="I123" s="905">
        <v>7.6899999999999996E-2</v>
      </c>
      <c r="J123" s="926">
        <v>100</v>
      </c>
      <c r="K123" s="929" t="s">
        <v>498</v>
      </c>
      <c r="L123" s="929" t="s">
        <v>499</v>
      </c>
      <c r="M123" s="911" t="s">
        <v>500</v>
      </c>
      <c r="N123" s="914">
        <v>0.25</v>
      </c>
      <c r="O123" s="923">
        <v>0.5</v>
      </c>
      <c r="P123" s="923">
        <v>0.75</v>
      </c>
      <c r="Q123" s="923">
        <v>1</v>
      </c>
      <c r="R123" s="181"/>
      <c r="S123" s="240"/>
      <c r="T123" s="240"/>
      <c r="U123" s="240"/>
      <c r="V123" s="240"/>
      <c r="W123" s="240"/>
      <c r="X123" s="181"/>
      <c r="Y123" s="181"/>
      <c r="Z123" s="181"/>
      <c r="AB123" s="214">
        <v>1</v>
      </c>
      <c r="AC123" s="207" t="s">
        <v>484</v>
      </c>
      <c r="AD123" s="186">
        <v>0.25</v>
      </c>
      <c r="AE123" s="187">
        <v>43132</v>
      </c>
      <c r="AF123" s="187">
        <v>43190</v>
      </c>
      <c r="AG123" s="188" t="s">
        <v>500</v>
      </c>
      <c r="AI123" s="245"/>
      <c r="AJ123" s="245"/>
    </row>
    <row r="124" spans="2:36" ht="74.25" hidden="1" customHeight="1" thickBot="1" x14ac:dyDescent="0.3">
      <c r="B124" s="57" t="s">
        <v>391</v>
      </c>
      <c r="C124" s="58" t="s">
        <v>392</v>
      </c>
      <c r="D124" s="52" t="s">
        <v>52</v>
      </c>
      <c r="E124" s="229" t="s">
        <v>540</v>
      </c>
      <c r="F124" s="53" t="s">
        <v>176</v>
      </c>
      <c r="G124" s="937"/>
      <c r="H124" s="940"/>
      <c r="I124" s="906"/>
      <c r="J124" s="927"/>
      <c r="K124" s="930"/>
      <c r="L124" s="930"/>
      <c r="M124" s="912"/>
      <c r="N124" s="921"/>
      <c r="O124" s="924"/>
      <c r="P124" s="924"/>
      <c r="Q124" s="924"/>
      <c r="R124" s="182"/>
      <c r="S124" s="241"/>
      <c r="T124" s="241"/>
      <c r="U124" s="241"/>
      <c r="V124" s="241"/>
      <c r="W124" s="241"/>
      <c r="X124" s="182"/>
      <c r="Y124" s="182"/>
      <c r="Z124" s="182"/>
      <c r="AB124" s="214">
        <v>2</v>
      </c>
      <c r="AC124" s="216" t="s">
        <v>525</v>
      </c>
      <c r="AD124" s="189">
        <v>0.65</v>
      </c>
      <c r="AE124" s="190">
        <v>43191</v>
      </c>
      <c r="AF124" s="190">
        <v>43373</v>
      </c>
      <c r="AG124" s="188" t="s">
        <v>500</v>
      </c>
      <c r="AI124" s="245"/>
      <c r="AJ124" s="245"/>
    </row>
    <row r="125" spans="2:36" ht="74.25" hidden="1" customHeight="1" thickBot="1" x14ac:dyDescent="0.3">
      <c r="B125" s="57" t="s">
        <v>391</v>
      </c>
      <c r="C125" s="58" t="s">
        <v>392</v>
      </c>
      <c r="D125" s="52" t="s">
        <v>52</v>
      </c>
      <c r="E125" s="229" t="s">
        <v>540</v>
      </c>
      <c r="F125" s="53" t="s">
        <v>176</v>
      </c>
      <c r="G125" s="938"/>
      <c r="H125" s="941"/>
      <c r="I125" s="907"/>
      <c r="J125" s="928"/>
      <c r="K125" s="931"/>
      <c r="L125" s="931"/>
      <c r="M125" s="913"/>
      <c r="N125" s="922"/>
      <c r="O125" s="925"/>
      <c r="P125" s="925"/>
      <c r="Q125" s="925"/>
      <c r="R125" s="182"/>
      <c r="S125" s="241"/>
      <c r="T125" s="241"/>
      <c r="U125" s="241"/>
      <c r="V125" s="241"/>
      <c r="W125" s="241"/>
      <c r="X125" s="182"/>
      <c r="Y125" s="182"/>
      <c r="Z125" s="182"/>
      <c r="AB125" s="214">
        <v>3</v>
      </c>
      <c r="AC125" s="209" t="s">
        <v>486</v>
      </c>
      <c r="AD125" s="191">
        <v>0.1</v>
      </c>
      <c r="AE125" s="193">
        <v>43374</v>
      </c>
      <c r="AF125" s="193">
        <v>43404</v>
      </c>
      <c r="AG125" s="188" t="s">
        <v>500</v>
      </c>
      <c r="AI125" s="245"/>
      <c r="AJ125" s="245"/>
    </row>
    <row r="126" spans="2:36" ht="74.25" hidden="1" customHeight="1" thickBot="1" x14ac:dyDescent="0.3">
      <c r="B126" s="57" t="s">
        <v>391</v>
      </c>
      <c r="C126" s="58" t="s">
        <v>392</v>
      </c>
      <c r="D126" s="52" t="s">
        <v>52</v>
      </c>
      <c r="E126" s="229" t="s">
        <v>539</v>
      </c>
      <c r="F126" s="53" t="s">
        <v>176</v>
      </c>
      <c r="G126" s="936">
        <v>6</v>
      </c>
      <c r="H126" s="939" t="s">
        <v>501</v>
      </c>
      <c r="I126" s="905">
        <v>7.6899999999999996E-2</v>
      </c>
      <c r="J126" s="926">
        <v>100</v>
      </c>
      <c r="K126" s="929" t="s">
        <v>481</v>
      </c>
      <c r="L126" s="929" t="s">
        <v>502</v>
      </c>
      <c r="M126" s="911" t="s">
        <v>503</v>
      </c>
      <c r="N126" s="914">
        <v>0.25</v>
      </c>
      <c r="O126" s="923">
        <v>0.5</v>
      </c>
      <c r="P126" s="923">
        <v>0.75</v>
      </c>
      <c r="Q126" s="923">
        <v>1</v>
      </c>
      <c r="R126" s="181"/>
      <c r="S126" s="240"/>
      <c r="T126" s="240"/>
      <c r="U126" s="240"/>
      <c r="V126" s="240"/>
      <c r="W126" s="240"/>
      <c r="X126" s="181"/>
      <c r="Y126" s="181"/>
      <c r="Z126" s="181"/>
      <c r="AB126" s="214">
        <v>1</v>
      </c>
      <c r="AC126" s="207" t="s">
        <v>484</v>
      </c>
      <c r="AD126" s="186">
        <v>0.25</v>
      </c>
      <c r="AE126" s="187">
        <v>43132</v>
      </c>
      <c r="AF126" s="187">
        <v>43190</v>
      </c>
      <c r="AG126" s="194" t="s">
        <v>503</v>
      </c>
      <c r="AI126" s="245"/>
      <c r="AJ126" s="245"/>
    </row>
    <row r="127" spans="2:36" ht="74.25" hidden="1" customHeight="1" thickBot="1" x14ac:dyDescent="0.3">
      <c r="B127" s="57" t="s">
        <v>391</v>
      </c>
      <c r="C127" s="58" t="s">
        <v>392</v>
      </c>
      <c r="D127" s="52" t="s">
        <v>52</v>
      </c>
      <c r="E127" s="229" t="s">
        <v>539</v>
      </c>
      <c r="F127" s="53" t="s">
        <v>176</v>
      </c>
      <c r="G127" s="937"/>
      <c r="H127" s="940"/>
      <c r="I127" s="906"/>
      <c r="J127" s="927"/>
      <c r="K127" s="930"/>
      <c r="L127" s="930"/>
      <c r="M127" s="912"/>
      <c r="N127" s="921"/>
      <c r="O127" s="924"/>
      <c r="P127" s="924"/>
      <c r="Q127" s="924"/>
      <c r="R127" s="182"/>
      <c r="S127" s="241"/>
      <c r="T127" s="241"/>
      <c r="U127" s="241"/>
      <c r="V127" s="241"/>
      <c r="W127" s="241"/>
      <c r="X127" s="182"/>
      <c r="Y127" s="182"/>
      <c r="Z127" s="182"/>
      <c r="AB127" s="214">
        <v>2</v>
      </c>
      <c r="AC127" s="208" t="s">
        <v>485</v>
      </c>
      <c r="AD127" s="189">
        <v>0.65</v>
      </c>
      <c r="AE127" s="190">
        <v>43191</v>
      </c>
      <c r="AF127" s="190">
        <v>43373</v>
      </c>
      <c r="AG127" s="194" t="s">
        <v>503</v>
      </c>
      <c r="AI127" s="245"/>
      <c r="AJ127" s="245"/>
    </row>
    <row r="128" spans="2:36" ht="74.25" hidden="1" customHeight="1" thickBot="1" x14ac:dyDescent="0.3">
      <c r="B128" s="57" t="s">
        <v>391</v>
      </c>
      <c r="C128" s="58" t="s">
        <v>392</v>
      </c>
      <c r="D128" s="52" t="s">
        <v>52</v>
      </c>
      <c r="E128" s="229" t="s">
        <v>539</v>
      </c>
      <c r="F128" s="53" t="s">
        <v>176</v>
      </c>
      <c r="G128" s="938"/>
      <c r="H128" s="941"/>
      <c r="I128" s="907"/>
      <c r="J128" s="928"/>
      <c r="K128" s="931"/>
      <c r="L128" s="931"/>
      <c r="M128" s="913"/>
      <c r="N128" s="922"/>
      <c r="O128" s="925"/>
      <c r="P128" s="925"/>
      <c r="Q128" s="925"/>
      <c r="R128" s="182"/>
      <c r="S128" s="241"/>
      <c r="T128" s="241"/>
      <c r="U128" s="241"/>
      <c r="V128" s="241"/>
      <c r="W128" s="241"/>
      <c r="X128" s="182"/>
      <c r="Y128" s="182"/>
      <c r="Z128" s="182"/>
      <c r="AB128" s="214">
        <v>3</v>
      </c>
      <c r="AC128" s="209" t="s">
        <v>486</v>
      </c>
      <c r="AD128" s="191">
        <v>0.1</v>
      </c>
      <c r="AE128" s="193">
        <v>43374</v>
      </c>
      <c r="AF128" s="193">
        <v>43404</v>
      </c>
      <c r="AG128" s="194" t="s">
        <v>503</v>
      </c>
      <c r="AI128" s="245"/>
      <c r="AJ128" s="245"/>
    </row>
    <row r="129" spans="2:36" ht="84" hidden="1" customHeight="1" thickBot="1" x14ac:dyDescent="0.3">
      <c r="B129" s="57" t="s">
        <v>391</v>
      </c>
      <c r="C129" s="58" t="s">
        <v>392</v>
      </c>
      <c r="D129" s="52" t="s">
        <v>52</v>
      </c>
      <c r="E129" s="229" t="s">
        <v>540</v>
      </c>
      <c r="F129" s="53" t="s">
        <v>176</v>
      </c>
      <c r="G129" s="936">
        <v>7</v>
      </c>
      <c r="H129" s="939" t="s">
        <v>178</v>
      </c>
      <c r="I129" s="905">
        <v>7.6899999999999996E-2</v>
      </c>
      <c r="J129" s="926">
        <v>100</v>
      </c>
      <c r="K129" s="929" t="s">
        <v>481</v>
      </c>
      <c r="L129" s="1017" t="s">
        <v>487</v>
      </c>
      <c r="M129" s="911" t="s">
        <v>488</v>
      </c>
      <c r="N129" s="914">
        <v>0.25</v>
      </c>
      <c r="O129" s="923">
        <v>0.5</v>
      </c>
      <c r="P129" s="923">
        <v>0.75</v>
      </c>
      <c r="Q129" s="923">
        <v>1</v>
      </c>
      <c r="R129" s="181"/>
      <c r="S129" s="240"/>
      <c r="T129" s="240"/>
      <c r="U129" s="240"/>
      <c r="V129" s="240"/>
      <c r="W129" s="240"/>
      <c r="X129" s="181"/>
      <c r="Y129" s="181"/>
      <c r="Z129" s="181"/>
      <c r="AB129" s="214">
        <v>1</v>
      </c>
      <c r="AC129" s="207" t="s">
        <v>489</v>
      </c>
      <c r="AD129" s="186">
        <v>0.3</v>
      </c>
      <c r="AE129" s="187">
        <v>43132</v>
      </c>
      <c r="AF129" s="187">
        <v>43159</v>
      </c>
      <c r="AG129" s="188" t="s">
        <v>488</v>
      </c>
      <c r="AI129" s="245"/>
      <c r="AJ129" s="245"/>
    </row>
    <row r="130" spans="2:36" ht="126.75" hidden="1" thickBot="1" x14ac:dyDescent="0.3">
      <c r="B130" s="57" t="s">
        <v>391</v>
      </c>
      <c r="C130" s="58" t="s">
        <v>392</v>
      </c>
      <c r="D130" s="52" t="s">
        <v>52</v>
      </c>
      <c r="E130" s="229" t="s">
        <v>540</v>
      </c>
      <c r="F130" s="53" t="s">
        <v>176</v>
      </c>
      <c r="G130" s="938"/>
      <c r="H130" s="941"/>
      <c r="I130" s="907"/>
      <c r="J130" s="928"/>
      <c r="K130" s="931"/>
      <c r="L130" s="1018"/>
      <c r="M130" s="913"/>
      <c r="N130" s="922"/>
      <c r="O130" s="925"/>
      <c r="P130" s="925"/>
      <c r="Q130" s="925"/>
      <c r="R130" s="182"/>
      <c r="S130" s="241"/>
      <c r="T130" s="241"/>
      <c r="U130" s="241"/>
      <c r="V130" s="241"/>
      <c r="W130" s="241"/>
      <c r="X130" s="182"/>
      <c r="Y130" s="182"/>
      <c r="Z130" s="182"/>
      <c r="AB130" s="214">
        <v>2</v>
      </c>
      <c r="AC130" s="215" t="s">
        <v>490</v>
      </c>
      <c r="AD130" s="195">
        <v>0.7</v>
      </c>
      <c r="AE130" s="193">
        <v>43160</v>
      </c>
      <c r="AF130" s="193">
        <v>43281</v>
      </c>
      <c r="AG130" s="188" t="s">
        <v>488</v>
      </c>
      <c r="AI130" s="245"/>
      <c r="AJ130" s="245"/>
    </row>
    <row r="131" spans="2:36" ht="36.75" hidden="1" customHeight="1" thickBot="1" x14ac:dyDescent="0.3">
      <c r="B131" s="57" t="s">
        <v>391</v>
      </c>
      <c r="C131" s="58" t="s">
        <v>392</v>
      </c>
      <c r="D131" s="52" t="s">
        <v>52</v>
      </c>
      <c r="E131" s="229" t="s">
        <v>539</v>
      </c>
      <c r="F131" s="53" t="s">
        <v>176</v>
      </c>
      <c r="G131" s="936">
        <v>8</v>
      </c>
      <c r="H131" s="1016" t="s">
        <v>177</v>
      </c>
      <c r="I131" s="905">
        <v>7.6899999999999996E-2</v>
      </c>
      <c r="J131" s="926">
        <v>17</v>
      </c>
      <c r="K131" s="929" t="s">
        <v>472</v>
      </c>
      <c r="L131" s="932" t="s">
        <v>473</v>
      </c>
      <c r="M131" s="911" t="s">
        <v>474</v>
      </c>
      <c r="N131" s="920">
        <v>1</v>
      </c>
      <c r="O131" s="935">
        <v>7</v>
      </c>
      <c r="P131" s="935">
        <v>13</v>
      </c>
      <c r="Q131" s="935">
        <v>17</v>
      </c>
      <c r="R131" s="182"/>
      <c r="S131" s="241"/>
      <c r="T131" s="241"/>
      <c r="U131" s="241"/>
      <c r="V131" s="241"/>
      <c r="W131" s="241"/>
      <c r="X131" s="182"/>
      <c r="Y131" s="182"/>
      <c r="Z131" s="182"/>
      <c r="AB131" s="214">
        <v>1</v>
      </c>
      <c r="AC131" s="210" t="s">
        <v>475</v>
      </c>
      <c r="AD131" s="186">
        <v>0.15</v>
      </c>
      <c r="AE131" s="187">
        <v>43132</v>
      </c>
      <c r="AF131" s="187">
        <v>43174</v>
      </c>
      <c r="AG131" s="188" t="s">
        <v>474</v>
      </c>
      <c r="AI131" s="245"/>
      <c r="AJ131" s="245"/>
    </row>
    <row r="132" spans="2:36" ht="126.75" hidden="1" thickBot="1" x14ac:dyDescent="0.3">
      <c r="B132" s="57" t="s">
        <v>391</v>
      </c>
      <c r="C132" s="58" t="s">
        <v>392</v>
      </c>
      <c r="D132" s="52" t="s">
        <v>52</v>
      </c>
      <c r="E132" s="229" t="s">
        <v>539</v>
      </c>
      <c r="F132" s="53" t="s">
        <v>176</v>
      </c>
      <c r="G132" s="937"/>
      <c r="H132" s="1009"/>
      <c r="I132" s="906"/>
      <c r="J132" s="927"/>
      <c r="K132" s="930"/>
      <c r="L132" s="933"/>
      <c r="M132" s="912"/>
      <c r="N132" s="921"/>
      <c r="O132" s="924"/>
      <c r="P132" s="924"/>
      <c r="Q132" s="924"/>
      <c r="R132" s="182"/>
      <c r="S132" s="241"/>
      <c r="T132" s="241"/>
      <c r="U132" s="241"/>
      <c r="V132" s="241"/>
      <c r="W132" s="241"/>
      <c r="X132" s="182"/>
      <c r="Y132" s="182"/>
      <c r="Z132" s="182"/>
      <c r="AB132" s="214">
        <v>2</v>
      </c>
      <c r="AC132" s="211" t="s">
        <v>476</v>
      </c>
      <c r="AD132" s="189">
        <v>0.15</v>
      </c>
      <c r="AE132" s="190">
        <v>43175</v>
      </c>
      <c r="AF132" s="190">
        <v>43190</v>
      </c>
      <c r="AG132" s="188" t="s">
        <v>474</v>
      </c>
      <c r="AI132" s="245"/>
      <c r="AJ132" s="245"/>
    </row>
    <row r="133" spans="2:36" ht="126.75" hidden="1" thickBot="1" x14ac:dyDescent="0.3">
      <c r="B133" s="57" t="s">
        <v>391</v>
      </c>
      <c r="C133" s="58" t="s">
        <v>392</v>
      </c>
      <c r="D133" s="52" t="s">
        <v>52</v>
      </c>
      <c r="E133" s="229" t="s">
        <v>539</v>
      </c>
      <c r="F133" s="53" t="s">
        <v>176</v>
      </c>
      <c r="G133" s="937"/>
      <c r="H133" s="1009"/>
      <c r="I133" s="906"/>
      <c r="J133" s="927"/>
      <c r="K133" s="930"/>
      <c r="L133" s="933"/>
      <c r="M133" s="912"/>
      <c r="N133" s="921"/>
      <c r="O133" s="924"/>
      <c r="P133" s="924"/>
      <c r="Q133" s="924"/>
      <c r="R133" s="182"/>
      <c r="S133" s="241"/>
      <c r="T133" s="241"/>
      <c r="U133" s="241"/>
      <c r="V133" s="241"/>
      <c r="W133" s="241"/>
      <c r="X133" s="182"/>
      <c r="Y133" s="182"/>
      <c r="Z133" s="182"/>
      <c r="AB133" s="214">
        <v>3</v>
      </c>
      <c r="AC133" s="211" t="s">
        <v>477</v>
      </c>
      <c r="AD133" s="189">
        <v>0.6</v>
      </c>
      <c r="AE133" s="190">
        <v>43191</v>
      </c>
      <c r="AF133" s="190">
        <v>43434</v>
      </c>
      <c r="AG133" s="188" t="s">
        <v>474</v>
      </c>
      <c r="AI133" s="245"/>
      <c r="AJ133" s="245"/>
    </row>
    <row r="134" spans="2:36" ht="39" hidden="1" customHeight="1" thickBot="1" x14ac:dyDescent="0.3">
      <c r="B134" s="57" t="s">
        <v>391</v>
      </c>
      <c r="C134" s="58" t="s">
        <v>392</v>
      </c>
      <c r="D134" s="52" t="s">
        <v>52</v>
      </c>
      <c r="E134" s="229" t="s">
        <v>539</v>
      </c>
      <c r="F134" s="53" t="s">
        <v>176</v>
      </c>
      <c r="G134" s="938"/>
      <c r="H134" s="1010"/>
      <c r="I134" s="907"/>
      <c r="J134" s="928"/>
      <c r="K134" s="931"/>
      <c r="L134" s="934"/>
      <c r="M134" s="913"/>
      <c r="N134" s="922"/>
      <c r="O134" s="925"/>
      <c r="P134" s="925"/>
      <c r="Q134" s="925"/>
      <c r="R134" s="182"/>
      <c r="S134" s="241"/>
      <c r="T134" s="241"/>
      <c r="U134" s="241"/>
      <c r="V134" s="241"/>
      <c r="W134" s="241"/>
      <c r="X134" s="182"/>
      <c r="Y134" s="182"/>
      <c r="Z134" s="182"/>
      <c r="AB134" s="214">
        <v>4</v>
      </c>
      <c r="AC134" s="209" t="s">
        <v>478</v>
      </c>
      <c r="AD134" s="191">
        <v>0.1</v>
      </c>
      <c r="AE134" s="196">
        <v>43435</v>
      </c>
      <c r="AF134" s="192" t="s">
        <v>479</v>
      </c>
      <c r="AG134" s="188" t="s">
        <v>474</v>
      </c>
      <c r="AI134" s="245"/>
      <c r="AJ134" s="245"/>
    </row>
    <row r="135" spans="2:36" ht="54" hidden="1" customHeight="1" thickBot="1" x14ac:dyDescent="0.3">
      <c r="B135" s="57" t="s">
        <v>391</v>
      </c>
      <c r="C135" s="58" t="s">
        <v>392</v>
      </c>
      <c r="D135" s="52" t="s">
        <v>52</v>
      </c>
      <c r="E135" s="229" t="s">
        <v>540</v>
      </c>
      <c r="F135" s="53" t="s">
        <v>176</v>
      </c>
      <c r="G135" s="936">
        <v>9</v>
      </c>
      <c r="H135" s="939" t="s">
        <v>181</v>
      </c>
      <c r="I135" s="905">
        <v>7.6899999999999996E-2</v>
      </c>
      <c r="J135" s="926">
        <v>100</v>
      </c>
      <c r="K135" s="929" t="s">
        <v>481</v>
      </c>
      <c r="L135" s="1017" t="s">
        <v>504</v>
      </c>
      <c r="M135" s="911" t="s">
        <v>505</v>
      </c>
      <c r="N135" s="914">
        <v>0.25</v>
      </c>
      <c r="O135" s="917">
        <v>0.5</v>
      </c>
      <c r="P135" s="917">
        <v>0.75</v>
      </c>
      <c r="Q135" s="917">
        <v>1</v>
      </c>
      <c r="R135" s="183"/>
      <c r="S135" s="240"/>
      <c r="T135" s="240"/>
      <c r="U135" s="240"/>
      <c r="V135" s="240"/>
      <c r="W135" s="240"/>
      <c r="X135" s="183"/>
      <c r="Y135" s="183"/>
      <c r="Z135" s="183"/>
      <c r="AB135" s="214">
        <v>1</v>
      </c>
      <c r="AC135" s="207" t="s">
        <v>506</v>
      </c>
      <c r="AD135" s="197">
        <v>0.3</v>
      </c>
      <c r="AE135" s="187">
        <v>43132</v>
      </c>
      <c r="AF135" s="187">
        <v>43190</v>
      </c>
      <c r="AG135" s="194" t="s">
        <v>505</v>
      </c>
      <c r="AI135" s="245"/>
      <c r="AJ135" s="245"/>
    </row>
    <row r="136" spans="2:36" ht="54" hidden="1" customHeight="1" thickBot="1" x14ac:dyDescent="0.3">
      <c r="B136" s="57" t="s">
        <v>391</v>
      </c>
      <c r="C136" s="58" t="s">
        <v>392</v>
      </c>
      <c r="D136" s="52" t="s">
        <v>52</v>
      </c>
      <c r="E136" s="229" t="s">
        <v>540</v>
      </c>
      <c r="F136" s="53" t="s">
        <v>176</v>
      </c>
      <c r="G136" s="937"/>
      <c r="H136" s="940"/>
      <c r="I136" s="906"/>
      <c r="J136" s="927"/>
      <c r="K136" s="930"/>
      <c r="L136" s="1019"/>
      <c r="M136" s="912"/>
      <c r="N136" s="915"/>
      <c r="O136" s="918"/>
      <c r="P136" s="918"/>
      <c r="Q136" s="918"/>
      <c r="R136" s="183"/>
      <c r="S136" s="240"/>
      <c r="T136" s="240"/>
      <c r="U136" s="240"/>
      <c r="V136" s="240"/>
      <c r="W136" s="240"/>
      <c r="X136" s="183"/>
      <c r="Y136" s="183"/>
      <c r="Z136" s="183"/>
      <c r="AB136" s="214">
        <v>2</v>
      </c>
      <c r="AC136" s="208" t="s">
        <v>507</v>
      </c>
      <c r="AD136" s="198">
        <v>0.5</v>
      </c>
      <c r="AE136" s="190">
        <v>43191</v>
      </c>
      <c r="AF136" s="190">
        <v>43373</v>
      </c>
      <c r="AG136" s="194" t="s">
        <v>505</v>
      </c>
      <c r="AI136" s="245"/>
      <c r="AJ136" s="245"/>
    </row>
    <row r="137" spans="2:36" ht="126.75" hidden="1" thickBot="1" x14ac:dyDescent="0.3">
      <c r="B137" s="57" t="s">
        <v>391</v>
      </c>
      <c r="C137" s="58" t="s">
        <v>392</v>
      </c>
      <c r="D137" s="52" t="s">
        <v>52</v>
      </c>
      <c r="E137" s="229" t="s">
        <v>540</v>
      </c>
      <c r="F137" s="53" t="s">
        <v>176</v>
      </c>
      <c r="G137" s="938"/>
      <c r="H137" s="941"/>
      <c r="I137" s="907"/>
      <c r="J137" s="928"/>
      <c r="K137" s="931"/>
      <c r="L137" s="1018"/>
      <c r="M137" s="913"/>
      <c r="N137" s="916"/>
      <c r="O137" s="919"/>
      <c r="P137" s="919"/>
      <c r="Q137" s="919"/>
      <c r="R137" s="183"/>
      <c r="S137" s="240"/>
      <c r="T137" s="240"/>
      <c r="U137" s="240"/>
      <c r="V137" s="240"/>
      <c r="W137" s="240"/>
      <c r="X137" s="183"/>
      <c r="Y137" s="183"/>
      <c r="Z137" s="183"/>
      <c r="AB137" s="214">
        <v>3</v>
      </c>
      <c r="AC137" s="212" t="s">
        <v>508</v>
      </c>
      <c r="AD137" s="199">
        <v>0.2</v>
      </c>
      <c r="AE137" s="193">
        <v>43374</v>
      </c>
      <c r="AF137" s="193">
        <v>43404</v>
      </c>
      <c r="AG137" s="194" t="s">
        <v>505</v>
      </c>
      <c r="AI137" s="245"/>
      <c r="AJ137" s="245"/>
    </row>
    <row r="138" spans="2:36" ht="148.5" hidden="1" customHeight="1" thickBot="1" x14ac:dyDescent="0.3">
      <c r="B138" s="57" t="s">
        <v>391</v>
      </c>
      <c r="C138" s="58" t="s">
        <v>392</v>
      </c>
      <c r="D138" s="52" t="s">
        <v>52</v>
      </c>
      <c r="E138" s="229" t="s">
        <v>539</v>
      </c>
      <c r="F138" s="53" t="s">
        <v>176</v>
      </c>
      <c r="G138" s="936">
        <v>10</v>
      </c>
      <c r="H138" s="939" t="s">
        <v>509</v>
      </c>
      <c r="I138" s="905">
        <v>7.6899999999999996E-2</v>
      </c>
      <c r="J138" s="926">
        <v>20</v>
      </c>
      <c r="K138" s="929" t="s">
        <v>91</v>
      </c>
      <c r="L138" s="908" t="s">
        <v>510</v>
      </c>
      <c r="M138" s="911" t="s">
        <v>511</v>
      </c>
      <c r="N138" s="920">
        <v>5</v>
      </c>
      <c r="O138" s="920">
        <v>10</v>
      </c>
      <c r="P138" s="920">
        <v>15</v>
      </c>
      <c r="Q138" s="920">
        <v>20</v>
      </c>
      <c r="R138" s="184"/>
      <c r="S138" s="241"/>
      <c r="T138" s="241"/>
      <c r="U138" s="241"/>
      <c r="V138" s="241"/>
      <c r="W138" s="241"/>
      <c r="X138" s="184"/>
      <c r="Y138" s="184"/>
      <c r="Z138" s="184"/>
      <c r="AB138" s="214">
        <v>1</v>
      </c>
      <c r="AC138" s="207" t="s">
        <v>512</v>
      </c>
      <c r="AD138" s="197">
        <v>0.7</v>
      </c>
      <c r="AE138" s="200">
        <v>43160</v>
      </c>
      <c r="AF138" s="200">
        <v>43434</v>
      </c>
      <c r="AG138" s="194" t="s">
        <v>511</v>
      </c>
      <c r="AI138" s="245"/>
      <c r="AJ138" s="245"/>
    </row>
    <row r="139" spans="2:36" ht="126.75" hidden="1" thickBot="1" x14ac:dyDescent="0.3">
      <c r="B139" s="57" t="s">
        <v>391</v>
      </c>
      <c r="C139" s="58" t="s">
        <v>392</v>
      </c>
      <c r="D139" s="52" t="s">
        <v>52</v>
      </c>
      <c r="E139" s="229" t="s">
        <v>539</v>
      </c>
      <c r="F139" s="53" t="s">
        <v>176</v>
      </c>
      <c r="G139" s="938"/>
      <c r="H139" s="941"/>
      <c r="I139" s="907"/>
      <c r="J139" s="928"/>
      <c r="K139" s="931"/>
      <c r="L139" s="910"/>
      <c r="M139" s="913"/>
      <c r="N139" s="922"/>
      <c r="O139" s="922"/>
      <c r="P139" s="922"/>
      <c r="Q139" s="922"/>
      <c r="R139" s="184"/>
      <c r="S139" s="241"/>
      <c r="T139" s="241"/>
      <c r="U139" s="241"/>
      <c r="V139" s="241"/>
      <c r="W139" s="241"/>
      <c r="X139" s="184"/>
      <c r="Y139" s="184"/>
      <c r="Z139" s="184"/>
      <c r="AB139" s="214">
        <v>2</v>
      </c>
      <c r="AC139" s="209" t="s">
        <v>513</v>
      </c>
      <c r="AD139" s="201">
        <v>0.3</v>
      </c>
      <c r="AE139" s="202">
        <v>43435</v>
      </c>
      <c r="AF139" s="202">
        <v>43444</v>
      </c>
      <c r="AG139" s="194" t="s">
        <v>511</v>
      </c>
      <c r="AI139" s="245"/>
      <c r="AJ139" s="245"/>
    </row>
    <row r="140" spans="2:36" ht="42" hidden="1" customHeight="1" thickBot="1" x14ac:dyDescent="0.3">
      <c r="B140" s="57" t="s">
        <v>391</v>
      </c>
      <c r="C140" s="58" t="s">
        <v>392</v>
      </c>
      <c r="D140" s="52" t="s">
        <v>52</v>
      </c>
      <c r="E140" s="229" t="s">
        <v>539</v>
      </c>
      <c r="F140" s="53" t="s">
        <v>176</v>
      </c>
      <c r="G140" s="936">
        <v>11</v>
      </c>
      <c r="H140" s="939" t="s">
        <v>514</v>
      </c>
      <c r="I140" s="905">
        <v>7.6899999999999996E-2</v>
      </c>
      <c r="J140" s="926">
        <v>98</v>
      </c>
      <c r="K140" s="929" t="s">
        <v>481</v>
      </c>
      <c r="L140" s="908" t="s">
        <v>515</v>
      </c>
      <c r="M140" s="911" t="s">
        <v>505</v>
      </c>
      <c r="N140" s="914">
        <v>0.25</v>
      </c>
      <c r="O140" s="914">
        <v>0.5</v>
      </c>
      <c r="P140" s="914">
        <v>0.75</v>
      </c>
      <c r="Q140" s="914">
        <v>0.98</v>
      </c>
      <c r="R140" s="185"/>
      <c r="S140" s="240"/>
      <c r="T140" s="240"/>
      <c r="U140" s="240"/>
      <c r="V140" s="240"/>
      <c r="W140" s="240"/>
      <c r="X140" s="185"/>
      <c r="Y140" s="185"/>
      <c r="Z140" s="185"/>
      <c r="AB140" s="214">
        <v>1</v>
      </c>
      <c r="AC140" s="207" t="s">
        <v>516</v>
      </c>
      <c r="AD140" s="197">
        <v>0.4</v>
      </c>
      <c r="AE140" s="200">
        <v>43132</v>
      </c>
      <c r="AF140" s="200">
        <v>43454</v>
      </c>
      <c r="AG140" s="203" t="s">
        <v>505</v>
      </c>
      <c r="AI140" s="245"/>
      <c r="AJ140" s="245"/>
    </row>
    <row r="141" spans="2:36" ht="42" hidden="1" customHeight="1" thickBot="1" x14ac:dyDescent="0.3">
      <c r="B141" s="57" t="s">
        <v>391</v>
      </c>
      <c r="C141" s="58" t="s">
        <v>392</v>
      </c>
      <c r="D141" s="52" t="s">
        <v>52</v>
      </c>
      <c r="E141" s="229" t="s">
        <v>539</v>
      </c>
      <c r="F141" s="53" t="s">
        <v>176</v>
      </c>
      <c r="G141" s="937"/>
      <c r="H141" s="940"/>
      <c r="I141" s="906"/>
      <c r="J141" s="927"/>
      <c r="K141" s="930"/>
      <c r="L141" s="909"/>
      <c r="M141" s="912"/>
      <c r="N141" s="915"/>
      <c r="O141" s="915"/>
      <c r="P141" s="915"/>
      <c r="Q141" s="915"/>
      <c r="R141" s="185"/>
      <c r="S141" s="240"/>
      <c r="T141" s="240"/>
      <c r="U141" s="240"/>
      <c r="V141" s="240"/>
      <c r="W141" s="240"/>
      <c r="X141" s="185"/>
      <c r="Y141" s="185"/>
      <c r="Z141" s="185"/>
      <c r="AB141" s="214">
        <v>2</v>
      </c>
      <c r="AC141" s="208" t="s">
        <v>517</v>
      </c>
      <c r="AD141" s="198">
        <v>0.48</v>
      </c>
      <c r="AE141" s="204">
        <v>43132</v>
      </c>
      <c r="AF141" s="204">
        <v>43454</v>
      </c>
      <c r="AG141" s="203" t="s">
        <v>505</v>
      </c>
      <c r="AI141" s="245"/>
      <c r="AJ141" s="245"/>
    </row>
    <row r="142" spans="2:36" ht="42.75" hidden="1" customHeight="1" thickBot="1" x14ac:dyDescent="0.3">
      <c r="B142" s="57" t="s">
        <v>391</v>
      </c>
      <c r="C142" s="58" t="s">
        <v>392</v>
      </c>
      <c r="D142" s="52" t="s">
        <v>52</v>
      </c>
      <c r="E142" s="229" t="s">
        <v>539</v>
      </c>
      <c r="F142" s="53" t="s">
        <v>176</v>
      </c>
      <c r="G142" s="937"/>
      <c r="H142" s="941"/>
      <c r="I142" s="907"/>
      <c r="J142" s="928"/>
      <c r="K142" s="931"/>
      <c r="L142" s="910"/>
      <c r="M142" s="913"/>
      <c r="N142" s="916"/>
      <c r="O142" s="916"/>
      <c r="P142" s="916"/>
      <c r="Q142" s="916"/>
      <c r="R142" s="185"/>
      <c r="S142" s="240"/>
      <c r="T142" s="240"/>
      <c r="U142" s="240"/>
      <c r="V142" s="240"/>
      <c r="W142" s="240"/>
      <c r="X142" s="185"/>
      <c r="Y142" s="185"/>
      <c r="Z142" s="185"/>
      <c r="AB142" s="214">
        <v>3</v>
      </c>
      <c r="AC142" s="209" t="s">
        <v>518</v>
      </c>
      <c r="AD142" s="201">
        <v>0.1</v>
      </c>
      <c r="AE142" s="202">
        <v>43132</v>
      </c>
      <c r="AF142" s="202">
        <v>43454</v>
      </c>
      <c r="AG142" s="203" t="s">
        <v>505</v>
      </c>
      <c r="AI142" s="245"/>
      <c r="AJ142" s="245"/>
    </row>
    <row r="143" spans="2:36" ht="36.75" hidden="1" customHeight="1" thickBot="1" x14ac:dyDescent="0.3">
      <c r="B143" s="57" t="s">
        <v>391</v>
      </c>
      <c r="C143" s="58" t="s">
        <v>392</v>
      </c>
      <c r="D143" s="52" t="s">
        <v>52</v>
      </c>
      <c r="E143" s="229" t="s">
        <v>539</v>
      </c>
      <c r="F143" s="53" t="s">
        <v>176</v>
      </c>
      <c r="G143" s="936">
        <v>12</v>
      </c>
      <c r="H143" s="939" t="s">
        <v>519</v>
      </c>
      <c r="I143" s="905">
        <v>7.6899999999999996E-2</v>
      </c>
      <c r="J143" s="926">
        <v>26</v>
      </c>
      <c r="K143" s="929" t="s">
        <v>91</v>
      </c>
      <c r="L143" s="1023" t="s">
        <v>520</v>
      </c>
      <c r="M143" s="911" t="s">
        <v>505</v>
      </c>
      <c r="N143" s="920">
        <v>0</v>
      </c>
      <c r="O143" s="920">
        <v>13</v>
      </c>
      <c r="P143" s="920">
        <v>0</v>
      </c>
      <c r="Q143" s="920">
        <v>26</v>
      </c>
      <c r="R143" s="184"/>
      <c r="S143" s="241"/>
      <c r="T143" s="241"/>
      <c r="U143" s="241"/>
      <c r="V143" s="241"/>
      <c r="W143" s="241"/>
      <c r="X143" s="184"/>
      <c r="Y143" s="184"/>
      <c r="Z143" s="184"/>
      <c r="AB143" s="214">
        <v>1</v>
      </c>
      <c r="AC143" s="207" t="s">
        <v>521</v>
      </c>
      <c r="AD143" s="197">
        <v>0.1</v>
      </c>
      <c r="AE143" s="200">
        <v>43246</v>
      </c>
      <c r="AF143" s="200">
        <v>43258</v>
      </c>
      <c r="AG143" s="194" t="s">
        <v>505</v>
      </c>
      <c r="AI143" s="245"/>
      <c r="AJ143" s="245"/>
    </row>
    <row r="144" spans="2:36" ht="36.75" hidden="1" customHeight="1" thickBot="1" x14ac:dyDescent="0.3">
      <c r="B144" s="57" t="s">
        <v>391</v>
      </c>
      <c r="C144" s="58" t="s">
        <v>392</v>
      </c>
      <c r="D144" s="52" t="s">
        <v>52</v>
      </c>
      <c r="E144" s="229" t="s">
        <v>539</v>
      </c>
      <c r="F144" s="53" t="s">
        <v>176</v>
      </c>
      <c r="G144" s="937"/>
      <c r="H144" s="940"/>
      <c r="I144" s="906"/>
      <c r="J144" s="927"/>
      <c r="K144" s="930"/>
      <c r="L144" s="1024"/>
      <c r="M144" s="912"/>
      <c r="N144" s="921"/>
      <c r="O144" s="921"/>
      <c r="P144" s="921"/>
      <c r="Q144" s="921"/>
      <c r="R144" s="184"/>
      <c r="S144" s="241"/>
      <c r="T144" s="241"/>
      <c r="U144" s="241"/>
      <c r="V144" s="241"/>
      <c r="W144" s="241"/>
      <c r="X144" s="184"/>
      <c r="Y144" s="184"/>
      <c r="Z144" s="184"/>
      <c r="AB144" s="214">
        <v>2</v>
      </c>
      <c r="AC144" s="208" t="s">
        <v>485</v>
      </c>
      <c r="AD144" s="198">
        <v>0.3</v>
      </c>
      <c r="AE144" s="204">
        <v>43269</v>
      </c>
      <c r="AF144" s="204">
        <v>43280</v>
      </c>
      <c r="AG144" s="194" t="s">
        <v>505</v>
      </c>
      <c r="AI144" s="245"/>
      <c r="AJ144" s="245"/>
    </row>
    <row r="145" spans="2:36" ht="36.75" hidden="1" customHeight="1" thickBot="1" x14ac:dyDescent="0.3">
      <c r="B145" s="57" t="s">
        <v>391</v>
      </c>
      <c r="C145" s="58" t="s">
        <v>392</v>
      </c>
      <c r="D145" s="52" t="s">
        <v>52</v>
      </c>
      <c r="E145" s="229" t="s">
        <v>539</v>
      </c>
      <c r="F145" s="53" t="s">
        <v>176</v>
      </c>
      <c r="G145" s="937"/>
      <c r="H145" s="940"/>
      <c r="I145" s="906"/>
      <c r="J145" s="927"/>
      <c r="K145" s="930"/>
      <c r="L145" s="1024"/>
      <c r="M145" s="912"/>
      <c r="N145" s="921"/>
      <c r="O145" s="921"/>
      <c r="P145" s="921"/>
      <c r="Q145" s="921"/>
      <c r="R145" s="184"/>
      <c r="S145" s="241"/>
      <c r="T145" s="241"/>
      <c r="U145" s="241"/>
      <c r="V145" s="241"/>
      <c r="W145" s="241"/>
      <c r="X145" s="184"/>
      <c r="Y145" s="184"/>
      <c r="Z145" s="184"/>
      <c r="AB145" s="214">
        <v>3</v>
      </c>
      <c r="AC145" s="212" t="s">
        <v>522</v>
      </c>
      <c r="AD145" s="199">
        <v>0.1</v>
      </c>
      <c r="AE145" s="205">
        <v>43281</v>
      </c>
      <c r="AF145" s="205">
        <v>43296</v>
      </c>
      <c r="AG145" s="194" t="s">
        <v>505</v>
      </c>
      <c r="AI145" s="245"/>
      <c r="AJ145" s="245"/>
    </row>
    <row r="146" spans="2:36" ht="21" hidden="1" customHeight="1" thickBot="1" x14ac:dyDescent="0.3">
      <c r="B146" s="57" t="s">
        <v>391</v>
      </c>
      <c r="C146" s="58" t="s">
        <v>392</v>
      </c>
      <c r="D146" s="52" t="s">
        <v>52</v>
      </c>
      <c r="E146" s="229" t="s">
        <v>539</v>
      </c>
      <c r="F146" s="53" t="s">
        <v>176</v>
      </c>
      <c r="G146" s="937"/>
      <c r="H146" s="940"/>
      <c r="I146" s="906"/>
      <c r="J146" s="927"/>
      <c r="K146" s="930"/>
      <c r="L146" s="1024"/>
      <c r="M146" s="912"/>
      <c r="N146" s="921"/>
      <c r="O146" s="921"/>
      <c r="P146" s="921"/>
      <c r="Q146" s="921"/>
      <c r="R146" s="184"/>
      <c r="S146" s="241"/>
      <c r="T146" s="241"/>
      <c r="U146" s="241"/>
      <c r="V146" s="241"/>
      <c r="W146" s="241"/>
      <c r="X146" s="184"/>
      <c r="Y146" s="184"/>
      <c r="Z146" s="184"/>
      <c r="AB146" s="214">
        <v>4</v>
      </c>
      <c r="AC146" s="207" t="s">
        <v>521</v>
      </c>
      <c r="AD146" s="197">
        <v>0.1</v>
      </c>
      <c r="AE146" s="206">
        <v>43414</v>
      </c>
      <c r="AF146" s="206">
        <v>43421</v>
      </c>
      <c r="AG146" s="194" t="s">
        <v>505</v>
      </c>
      <c r="AI146" s="245"/>
      <c r="AJ146" s="245"/>
    </row>
    <row r="147" spans="2:36" ht="21" hidden="1" customHeight="1" thickBot="1" x14ac:dyDescent="0.3">
      <c r="B147" s="57" t="s">
        <v>391</v>
      </c>
      <c r="C147" s="58" t="s">
        <v>392</v>
      </c>
      <c r="D147" s="52" t="s">
        <v>52</v>
      </c>
      <c r="E147" s="229" t="s">
        <v>539</v>
      </c>
      <c r="F147" s="53" t="s">
        <v>176</v>
      </c>
      <c r="G147" s="937"/>
      <c r="H147" s="940"/>
      <c r="I147" s="906"/>
      <c r="J147" s="927"/>
      <c r="K147" s="930"/>
      <c r="L147" s="1024"/>
      <c r="M147" s="912"/>
      <c r="N147" s="921"/>
      <c r="O147" s="921"/>
      <c r="P147" s="921"/>
      <c r="Q147" s="921"/>
      <c r="R147" s="184"/>
      <c r="S147" s="241"/>
      <c r="T147" s="241"/>
      <c r="U147" s="241"/>
      <c r="V147" s="241"/>
      <c r="W147" s="241"/>
      <c r="X147" s="184"/>
      <c r="Y147" s="184"/>
      <c r="Z147" s="184"/>
      <c r="AB147" s="214">
        <v>5</v>
      </c>
      <c r="AC147" s="208" t="s">
        <v>485</v>
      </c>
      <c r="AD147" s="198">
        <v>0.3</v>
      </c>
      <c r="AE147" s="204">
        <v>43430</v>
      </c>
      <c r="AF147" s="204">
        <v>43441</v>
      </c>
      <c r="AG147" s="194" t="s">
        <v>505</v>
      </c>
      <c r="AI147" s="245"/>
      <c r="AJ147" s="245"/>
    </row>
    <row r="148" spans="2:36" ht="44.25" hidden="1" customHeight="1" thickBot="1" x14ac:dyDescent="0.3">
      <c r="B148" s="57" t="s">
        <v>391</v>
      </c>
      <c r="C148" s="58" t="s">
        <v>392</v>
      </c>
      <c r="D148" s="52" t="s">
        <v>52</v>
      </c>
      <c r="E148" s="229" t="s">
        <v>539</v>
      </c>
      <c r="F148" s="53" t="s">
        <v>176</v>
      </c>
      <c r="G148" s="938"/>
      <c r="H148" s="941"/>
      <c r="I148" s="907"/>
      <c r="J148" s="928"/>
      <c r="K148" s="931"/>
      <c r="L148" s="1025"/>
      <c r="M148" s="913"/>
      <c r="N148" s="922"/>
      <c r="O148" s="922"/>
      <c r="P148" s="922"/>
      <c r="Q148" s="922"/>
      <c r="R148" s="184"/>
      <c r="S148" s="241"/>
      <c r="T148" s="241"/>
      <c r="U148" s="241"/>
      <c r="V148" s="241"/>
      <c r="W148" s="241"/>
      <c r="X148" s="184"/>
      <c r="Y148" s="184"/>
      <c r="Z148" s="184"/>
      <c r="AB148" s="214">
        <v>6</v>
      </c>
      <c r="AC148" s="212" t="s">
        <v>522</v>
      </c>
      <c r="AD148" s="199">
        <v>0.1</v>
      </c>
      <c r="AE148" s="205">
        <v>43442</v>
      </c>
      <c r="AF148" s="205">
        <v>43449</v>
      </c>
      <c r="AG148" s="194" t="s">
        <v>505</v>
      </c>
      <c r="AI148" s="245"/>
      <c r="AJ148" s="245"/>
    </row>
    <row r="149" spans="2:36" ht="158.25" hidden="1" customHeight="1" thickBot="1" x14ac:dyDescent="0.3">
      <c r="B149" s="57" t="s">
        <v>388</v>
      </c>
      <c r="C149" s="58" t="s">
        <v>390</v>
      </c>
      <c r="D149" s="52" t="s">
        <v>23</v>
      </c>
      <c r="E149" s="229" t="s">
        <v>541</v>
      </c>
      <c r="F149" s="53" t="s">
        <v>183</v>
      </c>
      <c r="G149" s="785">
        <v>1</v>
      </c>
      <c r="H149" s="900" t="s">
        <v>349</v>
      </c>
      <c r="I149" s="755">
        <v>0.5</v>
      </c>
      <c r="J149" s="768">
        <v>100</v>
      </c>
      <c r="K149" s="755" t="s">
        <v>184</v>
      </c>
      <c r="L149" s="897" t="s">
        <v>350</v>
      </c>
      <c r="M149" s="783" t="s">
        <v>351</v>
      </c>
      <c r="N149" s="845">
        <v>30</v>
      </c>
      <c r="O149" s="845">
        <v>60</v>
      </c>
      <c r="P149" s="845">
        <v>90</v>
      </c>
      <c r="Q149" s="846">
        <v>100</v>
      </c>
      <c r="R149" s="231"/>
      <c r="S149" s="236"/>
      <c r="T149" s="236"/>
      <c r="U149" s="236"/>
      <c r="V149" s="236"/>
      <c r="W149" s="236"/>
      <c r="X149" s="168"/>
      <c r="Y149" s="61"/>
      <c r="Z149" s="61"/>
      <c r="AA149" s="61"/>
      <c r="AB149" s="12">
        <v>1</v>
      </c>
      <c r="AC149" s="25" t="s">
        <v>352</v>
      </c>
      <c r="AD149" s="14">
        <v>0.3</v>
      </c>
      <c r="AE149" s="26">
        <v>43131</v>
      </c>
      <c r="AF149" s="22">
        <v>43220</v>
      </c>
      <c r="AG149" s="15" t="s">
        <v>351</v>
      </c>
      <c r="AI149" s="245"/>
      <c r="AJ149" s="245"/>
    </row>
    <row r="150" spans="2:36" ht="75.75" hidden="1" thickBot="1" x14ac:dyDescent="0.3">
      <c r="B150" s="57" t="s">
        <v>388</v>
      </c>
      <c r="C150" s="58" t="s">
        <v>390</v>
      </c>
      <c r="D150" s="52" t="s">
        <v>23</v>
      </c>
      <c r="E150" s="229" t="s">
        <v>541</v>
      </c>
      <c r="F150" s="53" t="s">
        <v>183</v>
      </c>
      <c r="G150" s="786"/>
      <c r="H150" s="901"/>
      <c r="I150" s="771"/>
      <c r="J150" s="770"/>
      <c r="K150" s="771"/>
      <c r="L150" s="898"/>
      <c r="M150" s="784"/>
      <c r="N150" s="762"/>
      <c r="O150" s="762"/>
      <c r="P150" s="762"/>
      <c r="Q150" s="763"/>
      <c r="R150" s="231"/>
      <c r="S150" s="236"/>
      <c r="T150" s="236"/>
      <c r="U150" s="236"/>
      <c r="V150" s="236"/>
      <c r="W150" s="236"/>
      <c r="X150" s="168"/>
      <c r="Y150" s="61"/>
      <c r="Z150" s="61"/>
      <c r="AA150" s="61"/>
      <c r="AB150" s="12">
        <v>2</v>
      </c>
      <c r="AC150" s="226" t="s">
        <v>353</v>
      </c>
      <c r="AD150" s="14">
        <v>0.3</v>
      </c>
      <c r="AE150" s="22">
        <v>43222</v>
      </c>
      <c r="AF150" s="22">
        <v>43314</v>
      </c>
      <c r="AG150" s="15" t="s">
        <v>351</v>
      </c>
      <c r="AI150" s="245"/>
      <c r="AJ150" s="245"/>
    </row>
    <row r="151" spans="2:36" ht="63.75" hidden="1" thickBot="1" x14ac:dyDescent="0.3">
      <c r="B151" s="57" t="s">
        <v>388</v>
      </c>
      <c r="C151" s="58" t="s">
        <v>390</v>
      </c>
      <c r="D151" s="52" t="s">
        <v>23</v>
      </c>
      <c r="E151" s="229" t="s">
        <v>541</v>
      </c>
      <c r="F151" s="53" t="s">
        <v>183</v>
      </c>
      <c r="G151" s="786"/>
      <c r="H151" s="901"/>
      <c r="I151" s="771"/>
      <c r="J151" s="770"/>
      <c r="K151" s="771"/>
      <c r="L151" s="898"/>
      <c r="M151" s="784"/>
      <c r="N151" s="762"/>
      <c r="O151" s="762"/>
      <c r="P151" s="762"/>
      <c r="Q151" s="763"/>
      <c r="R151" s="231"/>
      <c r="S151" s="236"/>
      <c r="T151" s="236"/>
      <c r="U151" s="236"/>
      <c r="V151" s="236"/>
      <c r="W151" s="236"/>
      <c r="X151" s="168"/>
      <c r="Y151" s="61"/>
      <c r="Z151" s="61"/>
      <c r="AA151" s="61"/>
      <c r="AB151" s="12">
        <v>3</v>
      </c>
      <c r="AC151" s="27" t="s">
        <v>354</v>
      </c>
      <c r="AD151" s="14">
        <v>0.3</v>
      </c>
      <c r="AE151" s="22">
        <v>43315</v>
      </c>
      <c r="AF151" s="22">
        <v>43403</v>
      </c>
      <c r="AG151" s="15" t="s">
        <v>351</v>
      </c>
      <c r="AI151" s="245"/>
      <c r="AJ151" s="245"/>
    </row>
    <row r="152" spans="2:36" ht="90.75" hidden="1" thickBot="1" x14ac:dyDescent="0.3">
      <c r="B152" s="57" t="s">
        <v>388</v>
      </c>
      <c r="C152" s="58" t="s">
        <v>390</v>
      </c>
      <c r="D152" s="52" t="s">
        <v>23</v>
      </c>
      <c r="E152" s="229" t="s">
        <v>541</v>
      </c>
      <c r="F152" s="53" t="s">
        <v>183</v>
      </c>
      <c r="G152" s="787"/>
      <c r="H152" s="902"/>
      <c r="I152" s="756"/>
      <c r="J152" s="769"/>
      <c r="K152" s="756"/>
      <c r="L152" s="899"/>
      <c r="M152" s="791"/>
      <c r="N152" s="813"/>
      <c r="O152" s="813"/>
      <c r="P152" s="813"/>
      <c r="Q152" s="814"/>
      <c r="R152" s="231"/>
      <c r="S152" s="236"/>
      <c r="T152" s="236"/>
      <c r="U152" s="236"/>
      <c r="V152" s="236"/>
      <c r="W152" s="236"/>
      <c r="X152" s="169"/>
      <c r="Y152" s="62"/>
      <c r="Z152" s="62"/>
      <c r="AA152" s="62"/>
      <c r="AB152" s="12">
        <v>4</v>
      </c>
      <c r="AC152" s="25" t="s">
        <v>355</v>
      </c>
      <c r="AD152" s="14">
        <v>0.1</v>
      </c>
      <c r="AE152" s="22">
        <v>43405</v>
      </c>
      <c r="AF152" s="22">
        <v>43464</v>
      </c>
      <c r="AG152" s="15" t="s">
        <v>351</v>
      </c>
      <c r="AI152" s="245"/>
      <c r="AJ152" s="245"/>
    </row>
    <row r="153" spans="2:36" ht="79.5" hidden="1" customHeight="1" thickBot="1" x14ac:dyDescent="0.3">
      <c r="B153" s="57" t="s">
        <v>388</v>
      </c>
      <c r="C153" s="58" t="s">
        <v>389</v>
      </c>
      <c r="D153" s="52" t="s">
        <v>23</v>
      </c>
      <c r="E153" s="229" t="s">
        <v>541</v>
      </c>
      <c r="F153" s="53" t="s">
        <v>183</v>
      </c>
      <c r="G153" s="785">
        <v>2</v>
      </c>
      <c r="H153" s="788" t="s">
        <v>356</v>
      </c>
      <c r="I153" s="755">
        <v>0.5</v>
      </c>
      <c r="J153" s="768">
        <v>100</v>
      </c>
      <c r="K153" s="755" t="s">
        <v>184</v>
      </c>
      <c r="L153" s="766" t="s">
        <v>357</v>
      </c>
      <c r="M153" s="783" t="s">
        <v>351</v>
      </c>
      <c r="N153" s="795">
        <v>0.25</v>
      </c>
      <c r="O153" s="795">
        <v>0.5</v>
      </c>
      <c r="P153" s="795">
        <v>0.75</v>
      </c>
      <c r="Q153" s="797">
        <v>1</v>
      </c>
      <c r="R153" s="231"/>
      <c r="S153" s="236"/>
      <c r="T153" s="236"/>
      <c r="U153" s="236"/>
      <c r="V153" s="236"/>
      <c r="W153" s="236"/>
      <c r="X153" s="168"/>
      <c r="Y153" s="61"/>
      <c r="Z153" s="61"/>
      <c r="AA153" s="61"/>
      <c r="AB153" s="12">
        <v>1</v>
      </c>
      <c r="AC153" s="13" t="s">
        <v>185</v>
      </c>
      <c r="AD153" s="14">
        <v>0.25</v>
      </c>
      <c r="AE153" s="26">
        <v>43131</v>
      </c>
      <c r="AF153" s="22">
        <v>43220</v>
      </c>
      <c r="AG153" s="15" t="s">
        <v>351</v>
      </c>
      <c r="AI153" s="245"/>
      <c r="AJ153" s="245"/>
    </row>
    <row r="154" spans="2:36" ht="63.75" hidden="1" thickBot="1" x14ac:dyDescent="0.3">
      <c r="B154" s="57" t="s">
        <v>388</v>
      </c>
      <c r="C154" s="58" t="s">
        <v>389</v>
      </c>
      <c r="D154" s="52" t="s">
        <v>23</v>
      </c>
      <c r="E154" s="229" t="s">
        <v>541</v>
      </c>
      <c r="F154" s="53" t="s">
        <v>183</v>
      </c>
      <c r="G154" s="786"/>
      <c r="H154" s="789"/>
      <c r="I154" s="771"/>
      <c r="J154" s="770"/>
      <c r="K154" s="771"/>
      <c r="L154" s="782"/>
      <c r="M154" s="784"/>
      <c r="N154" s="762"/>
      <c r="O154" s="762"/>
      <c r="P154" s="762"/>
      <c r="Q154" s="763"/>
      <c r="R154" s="231"/>
      <c r="S154" s="236"/>
      <c r="T154" s="236"/>
      <c r="U154" s="236"/>
      <c r="V154" s="236"/>
      <c r="W154" s="236"/>
      <c r="X154" s="168"/>
      <c r="Y154" s="61"/>
      <c r="Z154" s="61"/>
      <c r="AA154" s="61"/>
      <c r="AB154" s="12">
        <v>2</v>
      </c>
      <c r="AC154" s="13" t="s">
        <v>358</v>
      </c>
      <c r="AD154" s="14">
        <v>0.25</v>
      </c>
      <c r="AE154" s="22">
        <v>43222</v>
      </c>
      <c r="AF154" s="22">
        <v>43314</v>
      </c>
      <c r="AG154" s="15" t="s">
        <v>351</v>
      </c>
      <c r="AI154" s="245"/>
      <c r="AJ154" s="245"/>
    </row>
    <row r="155" spans="2:36" ht="63.75" hidden="1" thickBot="1" x14ac:dyDescent="0.3">
      <c r="B155" s="57" t="s">
        <v>388</v>
      </c>
      <c r="C155" s="58" t="s">
        <v>389</v>
      </c>
      <c r="D155" s="52" t="s">
        <v>23</v>
      </c>
      <c r="E155" s="229" t="s">
        <v>541</v>
      </c>
      <c r="F155" s="53" t="s">
        <v>183</v>
      </c>
      <c r="G155" s="786"/>
      <c r="H155" s="789"/>
      <c r="I155" s="771"/>
      <c r="J155" s="770"/>
      <c r="K155" s="771"/>
      <c r="L155" s="782"/>
      <c r="M155" s="784"/>
      <c r="N155" s="762"/>
      <c r="O155" s="762"/>
      <c r="P155" s="762"/>
      <c r="Q155" s="763"/>
      <c r="R155" s="231"/>
      <c r="S155" s="236"/>
      <c r="T155" s="236"/>
      <c r="U155" s="236"/>
      <c r="V155" s="236"/>
      <c r="W155" s="236"/>
      <c r="X155" s="168"/>
      <c r="Y155" s="61"/>
      <c r="Z155" s="61"/>
      <c r="AA155" s="61"/>
      <c r="AB155" s="12">
        <v>3</v>
      </c>
      <c r="AC155" s="13" t="s">
        <v>359</v>
      </c>
      <c r="AD155" s="14">
        <v>0.25</v>
      </c>
      <c r="AE155" s="22">
        <v>43315</v>
      </c>
      <c r="AF155" s="22">
        <v>43403</v>
      </c>
      <c r="AG155" s="15" t="s">
        <v>351</v>
      </c>
      <c r="AI155" s="245"/>
      <c r="AJ155" s="245"/>
    </row>
    <row r="156" spans="2:36" ht="63.75" hidden="1" thickBot="1" x14ac:dyDescent="0.3">
      <c r="B156" s="57" t="s">
        <v>388</v>
      </c>
      <c r="C156" s="58" t="s">
        <v>389</v>
      </c>
      <c r="D156" s="52" t="s">
        <v>23</v>
      </c>
      <c r="E156" s="229" t="s">
        <v>541</v>
      </c>
      <c r="F156" s="53" t="s">
        <v>183</v>
      </c>
      <c r="G156" s="787"/>
      <c r="H156" s="894"/>
      <c r="I156" s="895"/>
      <c r="J156" s="896"/>
      <c r="K156" s="895"/>
      <c r="L156" s="903"/>
      <c r="M156" s="904"/>
      <c r="N156" s="813"/>
      <c r="O156" s="813"/>
      <c r="P156" s="813"/>
      <c r="Q156" s="814"/>
      <c r="R156" s="231"/>
      <c r="S156" s="236"/>
      <c r="T156" s="236"/>
      <c r="U156" s="236"/>
      <c r="V156" s="236"/>
      <c r="W156" s="236"/>
      <c r="X156" s="169"/>
      <c r="Y156" s="62"/>
      <c r="Z156" s="62"/>
      <c r="AA156" s="62"/>
      <c r="AB156" s="12">
        <v>4</v>
      </c>
      <c r="AC156" s="13" t="s">
        <v>360</v>
      </c>
      <c r="AD156" s="14">
        <v>0.25</v>
      </c>
      <c r="AE156" s="22">
        <v>43405</v>
      </c>
      <c r="AF156" s="22">
        <v>43462</v>
      </c>
      <c r="AG156" s="15" t="s">
        <v>351</v>
      </c>
      <c r="AI156" s="245"/>
      <c r="AJ156" s="245"/>
    </row>
    <row r="157" spans="2:36" ht="79.5" customHeight="1" thickBot="1" x14ac:dyDescent="0.3">
      <c r="B157" s="57" t="s">
        <v>388</v>
      </c>
      <c r="C157" s="58" t="s">
        <v>389</v>
      </c>
      <c r="D157" s="52" t="s">
        <v>23</v>
      </c>
      <c r="E157" s="229" t="s">
        <v>542</v>
      </c>
      <c r="F157" s="53" t="s">
        <v>186</v>
      </c>
      <c r="G157" s="873">
        <v>1</v>
      </c>
      <c r="H157" s="893" t="s">
        <v>361</v>
      </c>
      <c r="I157" s="840">
        <v>5.8799999999999998E-2</v>
      </c>
      <c r="J157" s="834">
        <v>100</v>
      </c>
      <c r="K157" s="835" t="s">
        <v>184</v>
      </c>
      <c r="L157" s="892" t="s">
        <v>187</v>
      </c>
      <c r="M157" s="28" t="s">
        <v>188</v>
      </c>
      <c r="N157" s="795">
        <v>0.3</v>
      </c>
      <c r="O157" s="795">
        <v>1</v>
      </c>
      <c r="P157" s="845"/>
      <c r="Q157" s="846"/>
      <c r="R157" s="231"/>
      <c r="S157" s="236"/>
      <c r="T157" s="236"/>
      <c r="U157" s="236"/>
      <c r="V157" s="236"/>
      <c r="W157" s="236"/>
      <c r="X157" s="172"/>
      <c r="Y157" s="60"/>
      <c r="Z157" s="60"/>
      <c r="AA157" s="60"/>
      <c r="AB157" s="29">
        <v>1</v>
      </c>
      <c r="AC157" s="25" t="s">
        <v>362</v>
      </c>
      <c r="AD157" s="14">
        <v>0.5</v>
      </c>
      <c r="AE157" s="30">
        <v>43115</v>
      </c>
      <c r="AF157" s="30">
        <v>43205</v>
      </c>
      <c r="AG157" s="31" t="s">
        <v>189</v>
      </c>
      <c r="AI157" s="245"/>
      <c r="AJ157" s="245"/>
    </row>
    <row r="158" spans="2:36" ht="63.75" thickBot="1" x14ac:dyDescent="0.3">
      <c r="B158" s="57" t="s">
        <v>388</v>
      </c>
      <c r="C158" s="58" t="s">
        <v>389</v>
      </c>
      <c r="D158" s="52" t="s">
        <v>23</v>
      </c>
      <c r="E158" s="229" t="s">
        <v>542</v>
      </c>
      <c r="F158" s="53" t="s">
        <v>186</v>
      </c>
      <c r="G158" s="875"/>
      <c r="H158" s="888"/>
      <c r="I158" s="819"/>
      <c r="J158" s="822"/>
      <c r="K158" s="809"/>
      <c r="L158" s="885"/>
      <c r="M158" s="32" t="s">
        <v>188</v>
      </c>
      <c r="N158" s="762"/>
      <c r="O158" s="762"/>
      <c r="P158" s="762"/>
      <c r="Q158" s="763"/>
      <c r="R158" s="231"/>
      <c r="S158" s="236"/>
      <c r="T158" s="236"/>
      <c r="U158" s="236"/>
      <c r="V158" s="236"/>
      <c r="W158" s="236"/>
      <c r="X158" s="168"/>
      <c r="Y158" s="61"/>
      <c r="Z158" s="61"/>
      <c r="AA158" s="61"/>
      <c r="AB158" s="29">
        <v>2</v>
      </c>
      <c r="AC158" s="25" t="s">
        <v>190</v>
      </c>
      <c r="AD158" s="14">
        <v>0.5</v>
      </c>
      <c r="AE158" s="30">
        <v>43206</v>
      </c>
      <c r="AF158" s="30">
        <v>43266</v>
      </c>
      <c r="AG158" s="31" t="s">
        <v>189</v>
      </c>
      <c r="AI158" s="245"/>
      <c r="AJ158" s="245"/>
    </row>
    <row r="159" spans="2:36" ht="79.5" customHeight="1" thickBot="1" x14ac:dyDescent="0.3">
      <c r="B159" s="57" t="s">
        <v>388</v>
      </c>
      <c r="C159" s="58" t="s">
        <v>389</v>
      </c>
      <c r="D159" s="52" t="s">
        <v>23</v>
      </c>
      <c r="E159" s="229" t="s">
        <v>542</v>
      </c>
      <c r="F159" s="53" t="s">
        <v>186</v>
      </c>
      <c r="G159" s="873">
        <v>2</v>
      </c>
      <c r="H159" s="890" t="s">
        <v>191</v>
      </c>
      <c r="I159" s="818">
        <v>5.8799999999999998E-2</v>
      </c>
      <c r="J159" s="757">
        <v>1</v>
      </c>
      <c r="K159" s="807" t="s">
        <v>184</v>
      </c>
      <c r="L159" s="841" t="s">
        <v>192</v>
      </c>
      <c r="M159" s="33" t="s">
        <v>193</v>
      </c>
      <c r="N159" s="775">
        <v>0.1</v>
      </c>
      <c r="O159" s="775">
        <v>0.35</v>
      </c>
      <c r="P159" s="775">
        <v>0.7</v>
      </c>
      <c r="Q159" s="777">
        <v>1</v>
      </c>
      <c r="R159" s="232"/>
      <c r="S159" s="238"/>
      <c r="T159" s="238"/>
      <c r="U159" s="238"/>
      <c r="V159" s="238"/>
      <c r="W159" s="238"/>
      <c r="X159" s="173"/>
      <c r="Y159" s="65"/>
      <c r="Z159" s="65"/>
      <c r="AA159" s="65"/>
      <c r="AB159" s="29">
        <v>1</v>
      </c>
      <c r="AC159" s="25" t="s">
        <v>194</v>
      </c>
      <c r="AD159" s="14">
        <v>0.5</v>
      </c>
      <c r="AE159" s="30">
        <v>43132</v>
      </c>
      <c r="AF159" s="30">
        <v>43311</v>
      </c>
      <c r="AG159" s="34" t="s">
        <v>193</v>
      </c>
      <c r="AI159" s="245"/>
      <c r="AJ159" s="245"/>
    </row>
    <row r="160" spans="2:36" ht="63.75" thickBot="1" x14ac:dyDescent="0.3">
      <c r="B160" s="57" t="s">
        <v>388</v>
      </c>
      <c r="C160" s="58" t="s">
        <v>389</v>
      </c>
      <c r="D160" s="52" t="s">
        <v>23</v>
      </c>
      <c r="E160" s="229" t="s">
        <v>542</v>
      </c>
      <c r="F160" s="53" t="s">
        <v>186</v>
      </c>
      <c r="G160" s="875"/>
      <c r="H160" s="891"/>
      <c r="I160" s="820"/>
      <c r="J160" s="758"/>
      <c r="K160" s="809"/>
      <c r="L160" s="842"/>
      <c r="M160" s="33" t="s">
        <v>193</v>
      </c>
      <c r="N160" s="861"/>
      <c r="O160" s="861"/>
      <c r="P160" s="861"/>
      <c r="Q160" s="852"/>
      <c r="R160" s="232"/>
      <c r="S160" s="238"/>
      <c r="T160" s="238"/>
      <c r="U160" s="238"/>
      <c r="V160" s="238"/>
      <c r="W160" s="238"/>
      <c r="X160" s="174"/>
      <c r="Y160" s="66"/>
      <c r="Z160" s="66"/>
      <c r="AA160" s="66"/>
      <c r="AB160" s="29">
        <v>2</v>
      </c>
      <c r="AC160" s="25" t="s">
        <v>195</v>
      </c>
      <c r="AD160" s="14">
        <v>0.5</v>
      </c>
      <c r="AE160" s="30">
        <v>43132</v>
      </c>
      <c r="AF160" s="30">
        <v>43311</v>
      </c>
      <c r="AG160" s="34" t="s">
        <v>193</v>
      </c>
      <c r="AI160" s="245"/>
      <c r="AJ160" s="245"/>
    </row>
    <row r="161" spans="2:36" ht="79.5" customHeight="1" thickBot="1" x14ac:dyDescent="0.3">
      <c r="B161" s="57" t="s">
        <v>388</v>
      </c>
      <c r="C161" s="58" t="s">
        <v>389</v>
      </c>
      <c r="D161" s="52" t="s">
        <v>23</v>
      </c>
      <c r="E161" s="229" t="s">
        <v>543</v>
      </c>
      <c r="F161" s="53" t="s">
        <v>186</v>
      </c>
      <c r="G161" s="847">
        <v>3</v>
      </c>
      <c r="H161" s="848" t="s">
        <v>196</v>
      </c>
      <c r="I161" s="818">
        <v>5.8799999999999998E-2</v>
      </c>
      <c r="J161" s="757">
        <v>1</v>
      </c>
      <c r="K161" s="850" t="s">
        <v>184</v>
      </c>
      <c r="L161" s="841" t="s">
        <v>197</v>
      </c>
      <c r="M161" s="35" t="s">
        <v>198</v>
      </c>
      <c r="N161" s="775">
        <v>0.25</v>
      </c>
      <c r="O161" s="775">
        <v>0.5</v>
      </c>
      <c r="P161" s="775">
        <v>0.75</v>
      </c>
      <c r="Q161" s="777">
        <v>1</v>
      </c>
      <c r="R161" s="232"/>
      <c r="S161" s="238"/>
      <c r="T161" s="238"/>
      <c r="U161" s="238"/>
      <c r="V161" s="238"/>
      <c r="W161" s="238"/>
      <c r="X161" s="173"/>
      <c r="Y161" s="65"/>
      <c r="Z161" s="65"/>
      <c r="AA161" s="65"/>
      <c r="AB161" s="29">
        <v>1</v>
      </c>
      <c r="AC161" s="25" t="s">
        <v>199</v>
      </c>
      <c r="AD161" s="14">
        <v>0.25</v>
      </c>
      <c r="AE161" s="30">
        <v>43102</v>
      </c>
      <c r="AF161" s="30">
        <v>43189</v>
      </c>
      <c r="AG161" s="34" t="s">
        <v>200</v>
      </c>
      <c r="AI161" s="245"/>
      <c r="AJ161" s="245"/>
    </row>
    <row r="162" spans="2:36" ht="63.75" thickBot="1" x14ac:dyDescent="0.3">
      <c r="B162" s="57" t="s">
        <v>388</v>
      </c>
      <c r="C162" s="58" t="s">
        <v>389</v>
      </c>
      <c r="D162" s="52" t="s">
        <v>23</v>
      </c>
      <c r="E162" s="229" t="s">
        <v>543</v>
      </c>
      <c r="F162" s="53" t="s">
        <v>186</v>
      </c>
      <c r="G162" s="847"/>
      <c r="H162" s="888"/>
      <c r="I162" s="819"/>
      <c r="J162" s="884"/>
      <c r="K162" s="884"/>
      <c r="L162" s="885"/>
      <c r="M162" s="35" t="s">
        <v>198</v>
      </c>
      <c r="N162" s="776"/>
      <c r="O162" s="776"/>
      <c r="P162" s="776"/>
      <c r="Q162" s="778"/>
      <c r="R162" s="232"/>
      <c r="S162" s="238"/>
      <c r="T162" s="238"/>
      <c r="U162" s="238"/>
      <c r="V162" s="238"/>
      <c r="W162" s="238"/>
      <c r="X162" s="175"/>
      <c r="Y162" s="67"/>
      <c r="Z162" s="67"/>
      <c r="AA162" s="67"/>
      <c r="AB162" s="29">
        <v>2</v>
      </c>
      <c r="AC162" s="25" t="s">
        <v>201</v>
      </c>
      <c r="AD162" s="14">
        <v>0.25</v>
      </c>
      <c r="AE162" s="30">
        <v>43102</v>
      </c>
      <c r="AF162" s="30">
        <v>43465</v>
      </c>
      <c r="AG162" s="34" t="s">
        <v>200</v>
      </c>
      <c r="AI162" s="245"/>
      <c r="AJ162" s="245"/>
    </row>
    <row r="163" spans="2:36" ht="63.75" thickBot="1" x14ac:dyDescent="0.3">
      <c r="B163" s="57" t="s">
        <v>388</v>
      </c>
      <c r="C163" s="58" t="s">
        <v>389</v>
      </c>
      <c r="D163" s="52" t="s">
        <v>23</v>
      </c>
      <c r="E163" s="229" t="s">
        <v>543</v>
      </c>
      <c r="F163" s="53" t="s">
        <v>186</v>
      </c>
      <c r="G163" s="847"/>
      <c r="H163" s="888"/>
      <c r="I163" s="819"/>
      <c r="J163" s="884"/>
      <c r="K163" s="884"/>
      <c r="L163" s="885"/>
      <c r="M163" s="35" t="s">
        <v>198</v>
      </c>
      <c r="N163" s="776"/>
      <c r="O163" s="776"/>
      <c r="P163" s="776"/>
      <c r="Q163" s="778"/>
      <c r="R163" s="232"/>
      <c r="S163" s="238"/>
      <c r="T163" s="238"/>
      <c r="U163" s="238"/>
      <c r="V163" s="238"/>
      <c r="W163" s="238"/>
      <c r="X163" s="175"/>
      <c r="Y163" s="67"/>
      <c r="Z163" s="67"/>
      <c r="AA163" s="67"/>
      <c r="AB163" s="29">
        <v>3</v>
      </c>
      <c r="AC163" s="25" t="s">
        <v>202</v>
      </c>
      <c r="AD163" s="14">
        <v>0.25</v>
      </c>
      <c r="AE163" s="30">
        <v>43102</v>
      </c>
      <c r="AF163" s="30">
        <v>43465</v>
      </c>
      <c r="AG163" s="34" t="s">
        <v>200</v>
      </c>
      <c r="AI163" s="245"/>
      <c r="AJ163" s="245"/>
    </row>
    <row r="164" spans="2:36" ht="63.75" thickBot="1" x14ac:dyDescent="0.3">
      <c r="B164" s="57" t="s">
        <v>388</v>
      </c>
      <c r="C164" s="58" t="s">
        <v>389</v>
      </c>
      <c r="D164" s="52" t="s">
        <v>23</v>
      </c>
      <c r="E164" s="229" t="s">
        <v>543</v>
      </c>
      <c r="F164" s="53" t="s">
        <v>186</v>
      </c>
      <c r="G164" s="847"/>
      <c r="H164" s="849"/>
      <c r="I164" s="820"/>
      <c r="J164" s="851"/>
      <c r="K164" s="851"/>
      <c r="L164" s="842"/>
      <c r="M164" s="35" t="s">
        <v>198</v>
      </c>
      <c r="N164" s="861"/>
      <c r="O164" s="861"/>
      <c r="P164" s="861"/>
      <c r="Q164" s="852"/>
      <c r="R164" s="232"/>
      <c r="S164" s="238"/>
      <c r="T164" s="238"/>
      <c r="U164" s="238"/>
      <c r="V164" s="238"/>
      <c r="W164" s="238"/>
      <c r="X164" s="174"/>
      <c r="Y164" s="66"/>
      <c r="Z164" s="66"/>
      <c r="AA164" s="66"/>
      <c r="AB164" s="29">
        <v>4</v>
      </c>
      <c r="AC164" s="25" t="s">
        <v>203</v>
      </c>
      <c r="AD164" s="14">
        <v>0.25</v>
      </c>
      <c r="AE164" s="30">
        <v>43102</v>
      </c>
      <c r="AF164" s="30">
        <v>43281</v>
      </c>
      <c r="AG164" s="34" t="s">
        <v>200</v>
      </c>
      <c r="AI164" s="245"/>
      <c r="AJ164" s="245"/>
    </row>
    <row r="165" spans="2:36" ht="79.5" customHeight="1" thickBot="1" x14ac:dyDescent="0.3">
      <c r="B165" s="57" t="s">
        <v>388</v>
      </c>
      <c r="C165" s="58" t="s">
        <v>389</v>
      </c>
      <c r="D165" s="52" t="s">
        <v>23</v>
      </c>
      <c r="E165" s="229" t="s">
        <v>543</v>
      </c>
      <c r="F165" s="53" t="s">
        <v>186</v>
      </c>
      <c r="G165" s="847">
        <v>4</v>
      </c>
      <c r="H165" s="881" t="s">
        <v>204</v>
      </c>
      <c r="I165" s="818">
        <v>5.8799999999999998E-2</v>
      </c>
      <c r="J165" s="757">
        <v>0.02</v>
      </c>
      <c r="K165" s="841" t="s">
        <v>184</v>
      </c>
      <c r="L165" s="841" t="s">
        <v>205</v>
      </c>
      <c r="M165" s="36" t="s">
        <v>198</v>
      </c>
      <c r="N165" s="889">
        <v>5.0000000000000001E-3</v>
      </c>
      <c r="O165" s="795">
        <v>0.01</v>
      </c>
      <c r="P165" s="889">
        <v>1.4999999999999999E-2</v>
      </c>
      <c r="Q165" s="797">
        <v>0.02</v>
      </c>
      <c r="R165" s="231"/>
      <c r="S165" s="236"/>
      <c r="T165" s="236"/>
      <c r="U165" s="236"/>
      <c r="V165" s="236"/>
      <c r="W165" s="236"/>
      <c r="X165" s="172"/>
      <c r="Y165" s="60"/>
      <c r="Z165" s="60"/>
      <c r="AA165" s="60"/>
      <c r="AB165" s="29">
        <v>1</v>
      </c>
      <c r="AC165" s="25" t="s">
        <v>206</v>
      </c>
      <c r="AD165" s="14">
        <v>0.25</v>
      </c>
      <c r="AE165" s="30">
        <v>43102</v>
      </c>
      <c r="AF165" s="30">
        <v>43281</v>
      </c>
      <c r="AG165" s="34" t="s">
        <v>200</v>
      </c>
      <c r="AI165" s="245"/>
      <c r="AJ165" s="245"/>
    </row>
    <row r="166" spans="2:36" ht="63.75" thickBot="1" x14ac:dyDescent="0.3">
      <c r="B166" s="57" t="s">
        <v>388</v>
      </c>
      <c r="C166" s="58" t="s">
        <v>389</v>
      </c>
      <c r="D166" s="52" t="s">
        <v>23</v>
      </c>
      <c r="E166" s="229" t="s">
        <v>543</v>
      </c>
      <c r="F166" s="53" t="s">
        <v>186</v>
      </c>
      <c r="G166" s="847"/>
      <c r="H166" s="883"/>
      <c r="I166" s="820"/>
      <c r="J166" s="851"/>
      <c r="K166" s="842"/>
      <c r="L166" s="842"/>
      <c r="M166" s="36" t="s">
        <v>198</v>
      </c>
      <c r="N166" s="813"/>
      <c r="O166" s="813"/>
      <c r="P166" s="813"/>
      <c r="Q166" s="814"/>
      <c r="R166" s="231"/>
      <c r="S166" s="236"/>
      <c r="T166" s="236"/>
      <c r="U166" s="236"/>
      <c r="V166" s="236"/>
      <c r="W166" s="236"/>
      <c r="X166" s="169"/>
      <c r="Y166" s="62"/>
      <c r="Z166" s="62"/>
      <c r="AA166" s="62"/>
      <c r="AB166" s="29">
        <v>2</v>
      </c>
      <c r="AC166" s="225" t="s">
        <v>207</v>
      </c>
      <c r="AD166" s="14">
        <v>0.75</v>
      </c>
      <c r="AE166" s="30">
        <v>43102</v>
      </c>
      <c r="AF166" s="30">
        <v>43465</v>
      </c>
      <c r="AG166" s="34" t="s">
        <v>200</v>
      </c>
      <c r="AI166" s="245"/>
      <c r="AJ166" s="245"/>
    </row>
    <row r="167" spans="2:36" ht="79.5" customHeight="1" thickBot="1" x14ac:dyDescent="0.3">
      <c r="B167" s="57" t="s">
        <v>388</v>
      </c>
      <c r="C167" s="58" t="s">
        <v>389</v>
      </c>
      <c r="D167" s="52" t="s">
        <v>23</v>
      </c>
      <c r="E167" s="229" t="s">
        <v>543</v>
      </c>
      <c r="F167" s="53" t="s">
        <v>186</v>
      </c>
      <c r="G167" s="847">
        <v>5</v>
      </c>
      <c r="H167" s="881" t="s">
        <v>363</v>
      </c>
      <c r="I167" s="818">
        <v>5.8799999999999998E-2</v>
      </c>
      <c r="J167" s="757">
        <v>0.2</v>
      </c>
      <c r="K167" s="841" t="s">
        <v>184</v>
      </c>
      <c r="L167" s="841" t="s">
        <v>208</v>
      </c>
      <c r="M167" s="36" t="s">
        <v>198</v>
      </c>
      <c r="N167" s="775">
        <v>0.05</v>
      </c>
      <c r="O167" s="775">
        <v>0.1</v>
      </c>
      <c r="P167" s="775">
        <v>0.15</v>
      </c>
      <c r="Q167" s="777">
        <v>0.2</v>
      </c>
      <c r="R167" s="234"/>
      <c r="S167" s="242"/>
      <c r="T167" s="242"/>
      <c r="U167" s="242"/>
      <c r="V167" s="242"/>
      <c r="W167" s="242"/>
      <c r="X167" s="176"/>
      <c r="Y167" s="68"/>
      <c r="Z167" s="68"/>
      <c r="AA167" s="68"/>
      <c r="AB167" s="29">
        <v>1</v>
      </c>
      <c r="AC167" s="225" t="s">
        <v>209</v>
      </c>
      <c r="AD167" s="14">
        <v>0.5</v>
      </c>
      <c r="AE167" s="30">
        <v>43102</v>
      </c>
      <c r="AF167" s="30">
        <v>43465</v>
      </c>
      <c r="AG167" s="34" t="s">
        <v>200</v>
      </c>
      <c r="AI167" s="245"/>
      <c r="AJ167" s="245"/>
    </row>
    <row r="168" spans="2:36" ht="79.5" customHeight="1" thickBot="1" x14ac:dyDescent="0.3">
      <c r="B168" s="57" t="s">
        <v>388</v>
      </c>
      <c r="C168" s="58" t="s">
        <v>389</v>
      </c>
      <c r="D168" s="52" t="s">
        <v>23</v>
      </c>
      <c r="E168" s="229" t="s">
        <v>543</v>
      </c>
      <c r="F168" s="53" t="s">
        <v>186</v>
      </c>
      <c r="G168" s="847"/>
      <c r="H168" s="882"/>
      <c r="I168" s="819"/>
      <c r="J168" s="884"/>
      <c r="K168" s="885"/>
      <c r="L168" s="885"/>
      <c r="M168" s="36" t="s">
        <v>198</v>
      </c>
      <c r="N168" s="886"/>
      <c r="O168" s="886"/>
      <c r="P168" s="886"/>
      <c r="Q168" s="879"/>
      <c r="R168" s="234"/>
      <c r="S168" s="242"/>
      <c r="T168" s="242"/>
      <c r="U168" s="242"/>
      <c r="V168" s="242"/>
      <c r="W168" s="242"/>
      <c r="X168" s="177"/>
      <c r="Y168" s="69"/>
      <c r="Z168" s="69"/>
      <c r="AA168" s="69"/>
      <c r="AB168" s="29">
        <v>2</v>
      </c>
      <c r="AC168" s="25" t="s">
        <v>210</v>
      </c>
      <c r="AD168" s="14">
        <v>0.25</v>
      </c>
      <c r="AE168" s="30">
        <v>43102</v>
      </c>
      <c r="AF168" s="30">
        <v>43465</v>
      </c>
      <c r="AG168" s="34" t="s">
        <v>200</v>
      </c>
      <c r="AI168" s="245"/>
      <c r="AJ168" s="245"/>
    </row>
    <row r="169" spans="2:36" ht="63.75" thickBot="1" x14ac:dyDescent="0.3">
      <c r="B169" s="57" t="s">
        <v>388</v>
      </c>
      <c r="C169" s="58" t="s">
        <v>389</v>
      </c>
      <c r="D169" s="52" t="s">
        <v>23</v>
      </c>
      <c r="E169" s="229" t="s">
        <v>543</v>
      </c>
      <c r="F169" s="53" t="s">
        <v>186</v>
      </c>
      <c r="G169" s="847"/>
      <c r="H169" s="883"/>
      <c r="I169" s="820"/>
      <c r="J169" s="851"/>
      <c r="K169" s="842"/>
      <c r="L169" s="842"/>
      <c r="M169" s="36" t="s">
        <v>198</v>
      </c>
      <c r="N169" s="887"/>
      <c r="O169" s="887"/>
      <c r="P169" s="887"/>
      <c r="Q169" s="880"/>
      <c r="R169" s="234"/>
      <c r="S169" s="242"/>
      <c r="T169" s="242"/>
      <c r="U169" s="242"/>
      <c r="V169" s="242"/>
      <c r="W169" s="242"/>
      <c r="X169" s="178"/>
      <c r="Y169" s="70"/>
      <c r="Z169" s="70"/>
      <c r="AA169" s="70"/>
      <c r="AB169" s="29">
        <v>3</v>
      </c>
      <c r="AC169" s="25" t="s">
        <v>364</v>
      </c>
      <c r="AD169" s="14">
        <v>0.25</v>
      </c>
      <c r="AE169" s="30">
        <v>43102</v>
      </c>
      <c r="AF169" s="30">
        <v>43465</v>
      </c>
      <c r="AG169" s="34" t="s">
        <v>200</v>
      </c>
      <c r="AI169" s="245"/>
      <c r="AJ169" s="245"/>
    </row>
    <row r="170" spans="2:36" ht="79.5" customHeight="1" thickBot="1" x14ac:dyDescent="0.3">
      <c r="B170" s="57" t="s">
        <v>388</v>
      </c>
      <c r="C170" s="58" t="s">
        <v>389</v>
      </c>
      <c r="D170" s="52" t="s">
        <v>23</v>
      </c>
      <c r="E170" s="229" t="s">
        <v>544</v>
      </c>
      <c r="F170" s="53" t="s">
        <v>186</v>
      </c>
      <c r="G170" s="873">
        <v>6</v>
      </c>
      <c r="H170" s="881" t="s">
        <v>211</v>
      </c>
      <c r="I170" s="818">
        <v>5.8799999999999998E-2</v>
      </c>
      <c r="J170" s="866">
        <v>2</v>
      </c>
      <c r="K170" s="859" t="s">
        <v>212</v>
      </c>
      <c r="L170" s="856" t="s">
        <v>213</v>
      </c>
      <c r="M170" s="870" t="s">
        <v>214</v>
      </c>
      <c r="N170" s="845">
        <v>0</v>
      </c>
      <c r="O170" s="845">
        <v>1</v>
      </c>
      <c r="P170" s="845">
        <v>0</v>
      </c>
      <c r="Q170" s="846">
        <v>2</v>
      </c>
      <c r="R170" s="231"/>
      <c r="S170" s="236"/>
      <c r="T170" s="236"/>
      <c r="U170" s="236"/>
      <c r="V170" s="236"/>
      <c r="W170" s="236"/>
      <c r="X170" s="172"/>
      <c r="Y170" s="60"/>
      <c r="Z170" s="60"/>
      <c r="AA170" s="60"/>
      <c r="AB170" s="29">
        <v>1</v>
      </c>
      <c r="AC170" s="25" t="s">
        <v>579</v>
      </c>
      <c r="AD170" s="14">
        <v>0.2</v>
      </c>
      <c r="AE170" s="30">
        <v>43146</v>
      </c>
      <c r="AF170" s="30">
        <v>43190</v>
      </c>
      <c r="AG170" s="31" t="s">
        <v>215</v>
      </c>
      <c r="AI170" s="245"/>
      <c r="AJ170" s="245"/>
    </row>
    <row r="171" spans="2:36" ht="79.5" customHeight="1" thickBot="1" x14ac:dyDescent="0.3">
      <c r="B171" s="57" t="s">
        <v>388</v>
      </c>
      <c r="C171" s="58" t="s">
        <v>389</v>
      </c>
      <c r="D171" s="52" t="s">
        <v>23</v>
      </c>
      <c r="E171" s="229" t="s">
        <v>544</v>
      </c>
      <c r="F171" s="53" t="s">
        <v>186</v>
      </c>
      <c r="G171" s="874"/>
      <c r="H171" s="882"/>
      <c r="I171" s="819"/>
      <c r="J171" s="867"/>
      <c r="K171" s="869"/>
      <c r="L171" s="857"/>
      <c r="M171" s="871"/>
      <c r="N171" s="762"/>
      <c r="O171" s="762"/>
      <c r="P171" s="762"/>
      <c r="Q171" s="763"/>
      <c r="R171" s="266"/>
      <c r="S171" s="263"/>
      <c r="T171" s="263"/>
      <c r="U171" s="263"/>
      <c r="V171" s="263"/>
      <c r="W171" s="263"/>
      <c r="X171" s="168"/>
      <c r="Y171" s="264"/>
      <c r="Z171" s="264"/>
      <c r="AA171" s="264"/>
      <c r="AB171" s="29">
        <v>2</v>
      </c>
      <c r="AC171" s="267" t="s">
        <v>580</v>
      </c>
      <c r="AD171" s="14">
        <v>0.4</v>
      </c>
      <c r="AE171" s="30">
        <v>43191</v>
      </c>
      <c r="AF171" s="30">
        <v>43465</v>
      </c>
      <c r="AG171" s="31" t="s">
        <v>215</v>
      </c>
      <c r="AI171" s="245"/>
      <c r="AJ171" s="245"/>
    </row>
    <row r="172" spans="2:36" ht="63.75" thickBot="1" x14ac:dyDescent="0.3">
      <c r="B172" s="57" t="s">
        <v>388</v>
      </c>
      <c r="C172" s="58" t="s">
        <v>389</v>
      </c>
      <c r="D172" s="52" t="s">
        <v>23</v>
      </c>
      <c r="E172" s="229" t="s">
        <v>544</v>
      </c>
      <c r="F172" s="53" t="s">
        <v>186</v>
      </c>
      <c r="G172" s="875"/>
      <c r="H172" s="883"/>
      <c r="I172" s="820"/>
      <c r="J172" s="868"/>
      <c r="K172" s="860"/>
      <c r="L172" s="858"/>
      <c r="M172" s="872"/>
      <c r="N172" s="813"/>
      <c r="O172" s="813"/>
      <c r="P172" s="813"/>
      <c r="Q172" s="814"/>
      <c r="R172" s="231"/>
      <c r="S172" s="236"/>
      <c r="T172" s="236"/>
      <c r="U172" s="236"/>
      <c r="V172" s="236"/>
      <c r="W172" s="236"/>
      <c r="X172" s="169"/>
      <c r="Y172" s="62"/>
      <c r="Z172" s="62"/>
      <c r="AA172" s="62"/>
      <c r="AB172" s="29">
        <v>3</v>
      </c>
      <c r="AC172" s="25" t="s">
        <v>581</v>
      </c>
      <c r="AD172" s="14">
        <v>0.4</v>
      </c>
      <c r="AE172" s="30">
        <v>43191</v>
      </c>
      <c r="AF172" s="30">
        <v>43465</v>
      </c>
      <c r="AG172" s="31" t="s">
        <v>215</v>
      </c>
      <c r="AI172" s="245"/>
      <c r="AJ172" s="245"/>
    </row>
    <row r="173" spans="2:36" ht="72.75" customHeight="1" thickBot="1" x14ac:dyDescent="0.3">
      <c r="B173" s="57" t="s">
        <v>388</v>
      </c>
      <c r="C173" s="58" t="s">
        <v>389</v>
      </c>
      <c r="D173" s="52" t="s">
        <v>23</v>
      </c>
      <c r="E173" s="229" t="s">
        <v>544</v>
      </c>
      <c r="F173" s="53" t="s">
        <v>186</v>
      </c>
      <c r="G173" s="873">
        <v>7</v>
      </c>
      <c r="H173" s="876" t="s">
        <v>582</v>
      </c>
      <c r="I173" s="818">
        <v>5.8799999999999998E-2</v>
      </c>
      <c r="J173" s="866">
        <v>7</v>
      </c>
      <c r="K173" s="859" t="s">
        <v>216</v>
      </c>
      <c r="L173" s="856" t="s">
        <v>217</v>
      </c>
      <c r="M173" s="870" t="s">
        <v>218</v>
      </c>
      <c r="N173" s="845">
        <v>0</v>
      </c>
      <c r="O173" s="845">
        <v>0</v>
      </c>
      <c r="P173" s="845">
        <v>7</v>
      </c>
      <c r="Q173" s="846">
        <v>0</v>
      </c>
      <c r="R173" s="231"/>
      <c r="S173" s="236"/>
      <c r="T173" s="236"/>
      <c r="U173" s="236"/>
      <c r="V173" s="236"/>
      <c r="W173" s="236"/>
      <c r="X173" s="172"/>
      <c r="Y173" s="60"/>
      <c r="Z173" s="60"/>
      <c r="AA173" s="60"/>
      <c r="AB173" s="29">
        <v>1</v>
      </c>
      <c r="AC173" s="25" t="s">
        <v>583</v>
      </c>
      <c r="AD173" s="14">
        <v>0.4</v>
      </c>
      <c r="AE173" s="30">
        <v>43132</v>
      </c>
      <c r="AF173" s="30">
        <v>43250</v>
      </c>
      <c r="AG173" s="31" t="s">
        <v>215</v>
      </c>
      <c r="AI173" s="245"/>
      <c r="AJ173" s="245"/>
    </row>
    <row r="174" spans="2:36" ht="63.75" thickBot="1" x14ac:dyDescent="0.3">
      <c r="B174" s="57" t="s">
        <v>388</v>
      </c>
      <c r="C174" s="58" t="s">
        <v>389</v>
      </c>
      <c r="D174" s="52" t="s">
        <v>23</v>
      </c>
      <c r="E174" s="229" t="s">
        <v>544</v>
      </c>
      <c r="F174" s="53" t="s">
        <v>186</v>
      </c>
      <c r="G174" s="874"/>
      <c r="H174" s="877"/>
      <c r="I174" s="819"/>
      <c r="J174" s="867"/>
      <c r="K174" s="869"/>
      <c r="L174" s="857"/>
      <c r="M174" s="871"/>
      <c r="N174" s="762"/>
      <c r="O174" s="762"/>
      <c r="P174" s="762"/>
      <c r="Q174" s="763"/>
      <c r="R174" s="266"/>
      <c r="S174" s="263"/>
      <c r="T174" s="263"/>
      <c r="U174" s="263"/>
      <c r="V174" s="263"/>
      <c r="W174" s="263"/>
      <c r="X174" s="168"/>
      <c r="Y174" s="264"/>
      <c r="Z174" s="264"/>
      <c r="AA174" s="264"/>
      <c r="AB174" s="29">
        <v>2</v>
      </c>
      <c r="AC174" s="37" t="s">
        <v>584</v>
      </c>
      <c r="AD174" s="14">
        <v>0.2</v>
      </c>
      <c r="AE174" s="30">
        <v>43252</v>
      </c>
      <c r="AF174" s="30">
        <v>43281</v>
      </c>
      <c r="AG174" s="31" t="s">
        <v>215</v>
      </c>
      <c r="AI174" s="245"/>
      <c r="AJ174" s="245"/>
    </row>
    <row r="175" spans="2:36" ht="63.75" thickBot="1" x14ac:dyDescent="0.3">
      <c r="B175" s="57" t="s">
        <v>388</v>
      </c>
      <c r="C175" s="58" t="s">
        <v>389</v>
      </c>
      <c r="D175" s="52" t="s">
        <v>23</v>
      </c>
      <c r="E175" s="229" t="s">
        <v>544</v>
      </c>
      <c r="F175" s="53" t="s">
        <v>186</v>
      </c>
      <c r="G175" s="875"/>
      <c r="H175" s="878"/>
      <c r="I175" s="820"/>
      <c r="J175" s="868"/>
      <c r="K175" s="860"/>
      <c r="L175" s="858"/>
      <c r="M175" s="872"/>
      <c r="N175" s="813"/>
      <c r="O175" s="813"/>
      <c r="P175" s="813"/>
      <c r="Q175" s="814"/>
      <c r="R175" s="231"/>
      <c r="S175" s="236"/>
      <c r="T175" s="236"/>
      <c r="U175" s="236"/>
      <c r="V175" s="236"/>
      <c r="W175" s="236"/>
      <c r="X175" s="169"/>
      <c r="Y175" s="62"/>
      <c r="Z175" s="62"/>
      <c r="AA175" s="62"/>
      <c r="AB175" s="29">
        <v>3</v>
      </c>
      <c r="AC175" s="37" t="s">
        <v>585</v>
      </c>
      <c r="AD175" s="14">
        <v>0.4</v>
      </c>
      <c r="AE175" s="30">
        <v>43282</v>
      </c>
      <c r="AF175" s="30">
        <v>43373</v>
      </c>
      <c r="AG175" s="31" t="s">
        <v>215</v>
      </c>
      <c r="AI175" s="245"/>
      <c r="AJ175" s="245"/>
    </row>
    <row r="176" spans="2:36" ht="79.5" customHeight="1" thickBot="1" x14ac:dyDescent="0.3">
      <c r="B176" s="57" t="s">
        <v>388</v>
      </c>
      <c r="C176" s="58" t="s">
        <v>389</v>
      </c>
      <c r="D176" s="52" t="s">
        <v>23</v>
      </c>
      <c r="E176" s="229" t="s">
        <v>542</v>
      </c>
      <c r="F176" s="53" t="s">
        <v>186</v>
      </c>
      <c r="G176" s="847">
        <v>8</v>
      </c>
      <c r="H176" s="862" t="s">
        <v>365</v>
      </c>
      <c r="I176" s="818">
        <v>5.8799999999999998E-2</v>
      </c>
      <c r="J176" s="864">
        <v>20</v>
      </c>
      <c r="K176" s="807" t="s">
        <v>220</v>
      </c>
      <c r="L176" s="859" t="s">
        <v>221</v>
      </c>
      <c r="M176" s="859" t="s">
        <v>222</v>
      </c>
      <c r="N176" s="775">
        <v>0.25</v>
      </c>
      <c r="O176" s="775">
        <v>0.5</v>
      </c>
      <c r="P176" s="775">
        <v>0.75</v>
      </c>
      <c r="Q176" s="777">
        <v>1</v>
      </c>
      <c r="R176" s="232"/>
      <c r="S176" s="238"/>
      <c r="T176" s="238"/>
      <c r="U176" s="238"/>
      <c r="V176" s="238"/>
      <c r="W176" s="238"/>
      <c r="X176" s="173"/>
      <c r="Y176" s="65"/>
      <c r="Z176" s="65"/>
      <c r="AA176" s="65"/>
      <c r="AB176" s="29">
        <v>1</v>
      </c>
      <c r="AC176" s="38" t="s">
        <v>223</v>
      </c>
      <c r="AD176" s="14">
        <v>0.5</v>
      </c>
      <c r="AE176" s="30">
        <v>43115</v>
      </c>
      <c r="AF176" s="30">
        <v>43465</v>
      </c>
      <c r="AG176" s="31" t="s">
        <v>222</v>
      </c>
      <c r="AI176" s="245"/>
      <c r="AJ176" s="245"/>
    </row>
    <row r="177" spans="2:36" ht="63.75" thickBot="1" x14ac:dyDescent="0.3">
      <c r="B177" s="57" t="s">
        <v>388</v>
      </c>
      <c r="C177" s="58" t="s">
        <v>389</v>
      </c>
      <c r="D177" s="52" t="s">
        <v>23</v>
      </c>
      <c r="E177" s="229" t="s">
        <v>542</v>
      </c>
      <c r="F177" s="53" t="s">
        <v>186</v>
      </c>
      <c r="G177" s="847"/>
      <c r="H177" s="863"/>
      <c r="I177" s="820"/>
      <c r="J177" s="865"/>
      <c r="K177" s="809"/>
      <c r="L177" s="860"/>
      <c r="M177" s="860"/>
      <c r="N177" s="861"/>
      <c r="O177" s="861">
        <v>0.5</v>
      </c>
      <c r="P177" s="861">
        <v>0.75</v>
      </c>
      <c r="Q177" s="852">
        <v>1</v>
      </c>
      <c r="R177" s="232"/>
      <c r="S177" s="238"/>
      <c r="T177" s="238"/>
      <c r="U177" s="238"/>
      <c r="V177" s="238"/>
      <c r="W177" s="238"/>
      <c r="X177" s="174"/>
      <c r="Y177" s="66"/>
      <c r="Z177" s="66"/>
      <c r="AA177" s="66"/>
      <c r="AB177" s="29">
        <v>2</v>
      </c>
      <c r="AC177" s="38" t="s">
        <v>224</v>
      </c>
      <c r="AD177" s="14">
        <v>0.5</v>
      </c>
      <c r="AE177" s="30">
        <v>43115</v>
      </c>
      <c r="AF177" s="30">
        <v>43465</v>
      </c>
      <c r="AG177" s="31" t="s">
        <v>222</v>
      </c>
      <c r="AI177" s="245"/>
      <c r="AJ177" s="245"/>
    </row>
    <row r="178" spans="2:36" ht="79.5" customHeight="1" thickBot="1" x14ac:dyDescent="0.3">
      <c r="B178" s="57" t="s">
        <v>388</v>
      </c>
      <c r="C178" s="58" t="s">
        <v>389</v>
      </c>
      <c r="D178" s="52" t="s">
        <v>23</v>
      </c>
      <c r="E178" s="229" t="s">
        <v>545</v>
      </c>
      <c r="F178" s="53" t="s">
        <v>186</v>
      </c>
      <c r="G178" s="847">
        <v>9</v>
      </c>
      <c r="H178" s="853" t="s">
        <v>225</v>
      </c>
      <c r="I178" s="818">
        <v>5.8799999999999998E-2</v>
      </c>
      <c r="J178" s="821">
        <v>4</v>
      </c>
      <c r="K178" s="807" t="s">
        <v>220</v>
      </c>
      <c r="L178" s="856" t="s">
        <v>226</v>
      </c>
      <c r="M178" s="39" t="s">
        <v>227</v>
      </c>
      <c r="N178" s="845">
        <v>1</v>
      </c>
      <c r="O178" s="845">
        <v>2</v>
      </c>
      <c r="P178" s="845">
        <v>3</v>
      </c>
      <c r="Q178" s="846">
        <v>4</v>
      </c>
      <c r="R178" s="231"/>
      <c r="S178" s="236"/>
      <c r="T178" s="236"/>
      <c r="U178" s="236"/>
      <c r="V178" s="236"/>
      <c r="W178" s="236"/>
      <c r="X178" s="172"/>
      <c r="Y178" s="60"/>
      <c r="Z178" s="60"/>
      <c r="AA178" s="60"/>
      <c r="AB178" s="29">
        <v>1</v>
      </c>
      <c r="AC178" s="40" t="s">
        <v>228</v>
      </c>
      <c r="AD178" s="14">
        <v>0.25</v>
      </c>
      <c r="AE178" s="30">
        <v>43102</v>
      </c>
      <c r="AF178" s="30">
        <v>43159</v>
      </c>
      <c r="AG178" s="31" t="s">
        <v>229</v>
      </c>
      <c r="AI178" s="245"/>
      <c r="AJ178" s="245"/>
    </row>
    <row r="179" spans="2:36" ht="63.75" thickBot="1" x14ac:dyDescent="0.3">
      <c r="B179" s="57" t="s">
        <v>388</v>
      </c>
      <c r="C179" s="58" t="s">
        <v>389</v>
      </c>
      <c r="D179" s="52" t="s">
        <v>23</v>
      </c>
      <c r="E179" s="229" t="s">
        <v>545</v>
      </c>
      <c r="F179" s="53" t="s">
        <v>186</v>
      </c>
      <c r="G179" s="847"/>
      <c r="H179" s="854"/>
      <c r="I179" s="819"/>
      <c r="J179" s="822"/>
      <c r="K179" s="808"/>
      <c r="L179" s="857"/>
      <c r="M179" s="39" t="s">
        <v>227</v>
      </c>
      <c r="N179" s="762"/>
      <c r="O179" s="762"/>
      <c r="P179" s="762"/>
      <c r="Q179" s="763"/>
      <c r="R179" s="231"/>
      <c r="S179" s="236"/>
      <c r="T179" s="236"/>
      <c r="U179" s="236"/>
      <c r="V179" s="236"/>
      <c r="W179" s="236"/>
      <c r="X179" s="168"/>
      <c r="Y179" s="61"/>
      <c r="Z179" s="61"/>
      <c r="AA179" s="61"/>
      <c r="AB179" s="29">
        <v>2</v>
      </c>
      <c r="AC179" s="40" t="s">
        <v>230</v>
      </c>
      <c r="AD179" s="14">
        <v>0.25</v>
      </c>
      <c r="AE179" s="30">
        <v>43102</v>
      </c>
      <c r="AF179" s="30">
        <v>43190</v>
      </c>
      <c r="AG179" s="31" t="s">
        <v>229</v>
      </c>
      <c r="AI179" s="245"/>
      <c r="AJ179" s="245"/>
    </row>
    <row r="180" spans="2:36" ht="63.75" thickBot="1" x14ac:dyDescent="0.3">
      <c r="B180" s="57" t="s">
        <v>388</v>
      </c>
      <c r="C180" s="58" t="s">
        <v>389</v>
      </c>
      <c r="D180" s="52" t="s">
        <v>23</v>
      </c>
      <c r="E180" s="229" t="s">
        <v>545</v>
      </c>
      <c r="F180" s="53" t="s">
        <v>186</v>
      </c>
      <c r="G180" s="847"/>
      <c r="H180" s="855"/>
      <c r="I180" s="820"/>
      <c r="J180" s="823"/>
      <c r="K180" s="809"/>
      <c r="L180" s="858"/>
      <c r="M180" s="39" t="s">
        <v>227</v>
      </c>
      <c r="N180" s="813"/>
      <c r="O180" s="813"/>
      <c r="P180" s="813"/>
      <c r="Q180" s="814"/>
      <c r="R180" s="231"/>
      <c r="S180" s="236"/>
      <c r="T180" s="236"/>
      <c r="U180" s="236"/>
      <c r="V180" s="236"/>
      <c r="W180" s="236"/>
      <c r="X180" s="169"/>
      <c r="Y180" s="62"/>
      <c r="Z180" s="62"/>
      <c r="AA180" s="62"/>
      <c r="AB180" s="29">
        <v>3</v>
      </c>
      <c r="AC180" s="40" t="s">
        <v>231</v>
      </c>
      <c r="AD180" s="14">
        <v>0.5</v>
      </c>
      <c r="AE180" s="30">
        <v>43191</v>
      </c>
      <c r="AF180" s="30">
        <v>43465</v>
      </c>
      <c r="AG180" s="31" t="s">
        <v>229</v>
      </c>
      <c r="AI180" s="245"/>
      <c r="AJ180" s="245"/>
    </row>
    <row r="181" spans="2:36" ht="79.5" customHeight="1" thickBot="1" x14ac:dyDescent="0.3">
      <c r="B181" s="57" t="s">
        <v>388</v>
      </c>
      <c r="C181" s="58" t="s">
        <v>389</v>
      </c>
      <c r="D181" s="52" t="s">
        <v>23</v>
      </c>
      <c r="E181" s="229" t="s">
        <v>543</v>
      </c>
      <c r="F181" s="53" t="s">
        <v>186</v>
      </c>
      <c r="G181" s="847">
        <v>10</v>
      </c>
      <c r="H181" s="848" t="s">
        <v>232</v>
      </c>
      <c r="I181" s="818">
        <v>5.8799999999999998E-2</v>
      </c>
      <c r="J181" s="807">
        <v>1</v>
      </c>
      <c r="K181" s="807" t="s">
        <v>233</v>
      </c>
      <c r="L181" s="841" t="s">
        <v>234</v>
      </c>
      <c r="M181" s="841" t="s">
        <v>235</v>
      </c>
      <c r="N181" s="795">
        <v>0.5</v>
      </c>
      <c r="O181" s="795">
        <v>1</v>
      </c>
      <c r="P181" s="845"/>
      <c r="Q181" s="846"/>
      <c r="R181" s="231"/>
      <c r="S181" s="236"/>
      <c r="T181" s="236"/>
      <c r="U181" s="236"/>
      <c r="V181" s="236"/>
      <c r="W181" s="236"/>
      <c r="X181" s="172"/>
      <c r="Y181" s="60"/>
      <c r="Z181" s="60"/>
      <c r="AA181" s="60"/>
      <c r="AB181" s="29">
        <v>1</v>
      </c>
      <c r="AC181" s="40" t="s">
        <v>236</v>
      </c>
      <c r="AD181" s="14">
        <v>0.5</v>
      </c>
      <c r="AE181" s="30">
        <v>43133</v>
      </c>
      <c r="AF181" s="30">
        <v>43222</v>
      </c>
      <c r="AG181" s="31" t="s">
        <v>235</v>
      </c>
      <c r="AI181" s="245"/>
      <c r="AJ181" s="245"/>
    </row>
    <row r="182" spans="2:36" ht="63.75" thickBot="1" x14ac:dyDescent="0.3">
      <c r="B182" s="57" t="s">
        <v>388</v>
      </c>
      <c r="C182" s="58" t="s">
        <v>389</v>
      </c>
      <c r="D182" s="52" t="s">
        <v>23</v>
      </c>
      <c r="E182" s="229" t="s">
        <v>543</v>
      </c>
      <c r="F182" s="53" t="s">
        <v>186</v>
      </c>
      <c r="G182" s="847"/>
      <c r="H182" s="849"/>
      <c r="I182" s="820"/>
      <c r="J182" s="823"/>
      <c r="K182" s="809"/>
      <c r="L182" s="842"/>
      <c r="M182" s="842"/>
      <c r="N182" s="813"/>
      <c r="O182" s="813"/>
      <c r="P182" s="813"/>
      <c r="Q182" s="814"/>
      <c r="R182" s="231"/>
      <c r="S182" s="236"/>
      <c r="T182" s="236"/>
      <c r="U182" s="236"/>
      <c r="V182" s="236"/>
      <c r="W182" s="236"/>
      <c r="X182" s="169"/>
      <c r="Y182" s="62"/>
      <c r="Z182" s="62"/>
      <c r="AA182" s="62"/>
      <c r="AB182" s="29">
        <v>2</v>
      </c>
      <c r="AC182" s="40" t="s">
        <v>219</v>
      </c>
      <c r="AD182" s="14">
        <v>0.5</v>
      </c>
      <c r="AE182" s="30">
        <v>43133</v>
      </c>
      <c r="AF182" s="30">
        <v>43222</v>
      </c>
      <c r="AG182" s="31" t="s">
        <v>235</v>
      </c>
      <c r="AI182" s="245"/>
      <c r="AJ182" s="245"/>
    </row>
    <row r="183" spans="2:36" ht="90.75" thickBot="1" x14ac:dyDescent="0.3">
      <c r="B183" s="57" t="s">
        <v>388</v>
      </c>
      <c r="C183" s="58" t="s">
        <v>389</v>
      </c>
      <c r="D183" s="52" t="s">
        <v>23</v>
      </c>
      <c r="E183" s="229" t="s">
        <v>543</v>
      </c>
      <c r="F183" s="53" t="s">
        <v>186</v>
      </c>
      <c r="G183" s="847">
        <v>11</v>
      </c>
      <c r="H183" s="848" t="s">
        <v>237</v>
      </c>
      <c r="I183" s="818">
        <v>5.8799999999999998E-2</v>
      </c>
      <c r="J183" s="807">
        <v>1</v>
      </c>
      <c r="K183" s="850" t="s">
        <v>233</v>
      </c>
      <c r="L183" s="841" t="s">
        <v>366</v>
      </c>
      <c r="M183" s="843" t="s">
        <v>235</v>
      </c>
      <c r="N183" s="795">
        <v>0.5</v>
      </c>
      <c r="O183" s="795">
        <v>1</v>
      </c>
      <c r="P183" s="845"/>
      <c r="Q183" s="846"/>
      <c r="R183" s="231"/>
      <c r="S183" s="236"/>
      <c r="T183" s="236"/>
      <c r="U183" s="236"/>
      <c r="V183" s="236"/>
      <c r="W183" s="236"/>
      <c r="X183" s="172"/>
      <c r="Y183" s="60"/>
      <c r="Z183" s="60"/>
      <c r="AA183" s="60"/>
      <c r="AB183" s="29">
        <v>1</v>
      </c>
      <c r="AC183" s="40" t="s">
        <v>238</v>
      </c>
      <c r="AD183" s="14">
        <v>0.5</v>
      </c>
      <c r="AE183" s="30">
        <v>43133</v>
      </c>
      <c r="AF183" s="30">
        <v>43222</v>
      </c>
      <c r="AG183" s="31" t="s">
        <v>235</v>
      </c>
      <c r="AI183" s="245"/>
      <c r="AJ183" s="245"/>
    </row>
    <row r="184" spans="2:36" ht="63.75" thickBot="1" x14ac:dyDescent="0.3">
      <c r="B184" s="57" t="s">
        <v>388</v>
      </c>
      <c r="C184" s="58" t="s">
        <v>389</v>
      </c>
      <c r="D184" s="52" t="s">
        <v>23</v>
      </c>
      <c r="E184" s="229" t="s">
        <v>543</v>
      </c>
      <c r="F184" s="53" t="s">
        <v>186</v>
      </c>
      <c r="G184" s="847"/>
      <c r="H184" s="849"/>
      <c r="I184" s="820"/>
      <c r="J184" s="823"/>
      <c r="K184" s="851"/>
      <c r="L184" s="842"/>
      <c r="M184" s="844"/>
      <c r="N184" s="813"/>
      <c r="O184" s="813">
        <v>1</v>
      </c>
      <c r="P184" s="813"/>
      <c r="Q184" s="814"/>
      <c r="R184" s="231"/>
      <c r="S184" s="236"/>
      <c r="T184" s="236"/>
      <c r="U184" s="236"/>
      <c r="V184" s="236"/>
      <c r="W184" s="236"/>
      <c r="X184" s="168"/>
      <c r="Y184" s="61"/>
      <c r="Z184" s="61"/>
      <c r="AA184" s="61"/>
      <c r="AB184" s="41">
        <v>2</v>
      </c>
      <c r="AC184" s="40" t="s">
        <v>239</v>
      </c>
      <c r="AD184" s="14">
        <v>0.5</v>
      </c>
      <c r="AE184" s="30">
        <v>43133</v>
      </c>
      <c r="AF184" s="30">
        <v>43222</v>
      </c>
      <c r="AG184" s="31" t="s">
        <v>235</v>
      </c>
      <c r="AI184" s="245"/>
      <c r="AJ184" s="245"/>
    </row>
    <row r="185" spans="2:36" ht="79.5" customHeight="1" thickBot="1" x14ac:dyDescent="0.3">
      <c r="B185" s="57" t="s">
        <v>391</v>
      </c>
      <c r="C185" s="57" t="s">
        <v>395</v>
      </c>
      <c r="D185" s="52" t="s">
        <v>23</v>
      </c>
      <c r="E185" s="229" t="s">
        <v>546</v>
      </c>
      <c r="F185" s="53" t="s">
        <v>186</v>
      </c>
      <c r="G185" s="785">
        <v>12</v>
      </c>
      <c r="H185" s="837" t="s">
        <v>240</v>
      </c>
      <c r="I185" s="840">
        <v>5.8799999999999998E-2</v>
      </c>
      <c r="J185" s="834">
        <v>100</v>
      </c>
      <c r="K185" s="835" t="s">
        <v>184</v>
      </c>
      <c r="L185" s="836" t="s">
        <v>241</v>
      </c>
      <c r="M185" s="833" t="s">
        <v>242</v>
      </c>
      <c r="N185" s="795">
        <v>0.2</v>
      </c>
      <c r="O185" s="795">
        <v>0.5</v>
      </c>
      <c r="P185" s="795">
        <v>0.9</v>
      </c>
      <c r="Q185" s="797">
        <v>1</v>
      </c>
      <c r="R185" s="230"/>
      <c r="S185" s="237"/>
      <c r="T185" s="237"/>
      <c r="U185" s="237"/>
      <c r="V185" s="237"/>
      <c r="W185" s="237"/>
      <c r="X185" s="74"/>
      <c r="Y185" s="74"/>
      <c r="Z185" s="74"/>
      <c r="AA185" s="74"/>
      <c r="AB185" s="42">
        <v>1</v>
      </c>
      <c r="AC185" s="220" t="s">
        <v>243</v>
      </c>
      <c r="AD185" s="14">
        <v>0.2</v>
      </c>
      <c r="AE185" s="23">
        <v>43101</v>
      </c>
      <c r="AF185" s="23">
        <v>43190</v>
      </c>
      <c r="AG185" s="43" t="s">
        <v>244</v>
      </c>
      <c r="AI185" s="245"/>
      <c r="AJ185" s="245"/>
    </row>
    <row r="186" spans="2:36" ht="64.5" thickBot="1" x14ac:dyDescent="0.3">
      <c r="B186" s="57" t="s">
        <v>391</v>
      </c>
      <c r="C186" s="57" t="s">
        <v>395</v>
      </c>
      <c r="D186" s="52" t="s">
        <v>23</v>
      </c>
      <c r="E186" s="229" t="s">
        <v>546</v>
      </c>
      <c r="F186" s="53" t="s">
        <v>186</v>
      </c>
      <c r="G186" s="786"/>
      <c r="H186" s="838"/>
      <c r="I186" s="819"/>
      <c r="J186" s="822"/>
      <c r="K186" s="808"/>
      <c r="L186" s="828"/>
      <c r="M186" s="811"/>
      <c r="N186" s="761"/>
      <c r="O186" s="761"/>
      <c r="P186" s="761"/>
      <c r="Q186" s="798"/>
      <c r="R186" s="230"/>
      <c r="S186" s="237"/>
      <c r="T186" s="237"/>
      <c r="U186" s="237"/>
      <c r="V186" s="237"/>
      <c r="W186" s="237"/>
      <c r="X186" s="74"/>
      <c r="Y186" s="74"/>
      <c r="Z186" s="74"/>
      <c r="AA186" s="74"/>
      <c r="AB186" s="42">
        <v>2</v>
      </c>
      <c r="AC186" s="217" t="s">
        <v>245</v>
      </c>
      <c r="AD186" s="14">
        <v>0.3</v>
      </c>
      <c r="AE186" s="23">
        <v>43191</v>
      </c>
      <c r="AF186" s="23">
        <v>43281</v>
      </c>
      <c r="AG186" s="43" t="s">
        <v>246</v>
      </c>
      <c r="AI186" s="245"/>
      <c r="AJ186" s="245"/>
    </row>
    <row r="187" spans="2:36" ht="64.5" thickBot="1" x14ac:dyDescent="0.3">
      <c r="B187" s="57" t="s">
        <v>391</v>
      </c>
      <c r="C187" s="57" t="s">
        <v>395</v>
      </c>
      <c r="D187" s="52" t="s">
        <v>23</v>
      </c>
      <c r="E187" s="229" t="s">
        <v>546</v>
      </c>
      <c r="F187" s="53" t="s">
        <v>186</v>
      </c>
      <c r="G187" s="786"/>
      <c r="H187" s="838"/>
      <c r="I187" s="819"/>
      <c r="J187" s="822"/>
      <c r="K187" s="808"/>
      <c r="L187" s="828"/>
      <c r="M187" s="811"/>
      <c r="N187" s="761"/>
      <c r="O187" s="761"/>
      <c r="P187" s="761"/>
      <c r="Q187" s="798"/>
      <c r="R187" s="230"/>
      <c r="S187" s="237"/>
      <c r="T187" s="237"/>
      <c r="U187" s="237"/>
      <c r="V187" s="237"/>
      <c r="W187" s="237"/>
      <c r="X187" s="74"/>
      <c r="Y187" s="74"/>
      <c r="Z187" s="74"/>
      <c r="AA187" s="74"/>
      <c r="AB187" s="42">
        <v>3</v>
      </c>
      <c r="AC187" s="217" t="s">
        <v>247</v>
      </c>
      <c r="AD187" s="14">
        <v>0.4</v>
      </c>
      <c r="AE187" s="23">
        <v>43282</v>
      </c>
      <c r="AF187" s="23">
        <v>43373</v>
      </c>
      <c r="AG187" s="43" t="s">
        <v>248</v>
      </c>
      <c r="AI187" s="245"/>
      <c r="AJ187" s="245"/>
    </row>
    <row r="188" spans="2:36" ht="64.5" thickBot="1" x14ac:dyDescent="0.3">
      <c r="B188" s="57" t="s">
        <v>391</v>
      </c>
      <c r="C188" s="57" t="s">
        <v>395</v>
      </c>
      <c r="D188" s="52" t="s">
        <v>23</v>
      </c>
      <c r="E188" s="229" t="s">
        <v>546</v>
      </c>
      <c r="F188" s="53" t="s">
        <v>186</v>
      </c>
      <c r="G188" s="787"/>
      <c r="H188" s="839"/>
      <c r="I188" s="820"/>
      <c r="J188" s="823"/>
      <c r="K188" s="809"/>
      <c r="L188" s="829"/>
      <c r="M188" s="812"/>
      <c r="N188" s="796"/>
      <c r="O188" s="796"/>
      <c r="P188" s="796"/>
      <c r="Q188" s="799"/>
      <c r="R188" s="230"/>
      <c r="S188" s="237"/>
      <c r="T188" s="237"/>
      <c r="U188" s="237"/>
      <c r="V188" s="237"/>
      <c r="W188" s="237"/>
      <c r="X188" s="74"/>
      <c r="Y188" s="74"/>
      <c r="Z188" s="74"/>
      <c r="AA188" s="74"/>
      <c r="AB188" s="42">
        <v>4</v>
      </c>
      <c r="AC188" s="217" t="s">
        <v>249</v>
      </c>
      <c r="AD188" s="14">
        <v>0.1</v>
      </c>
      <c r="AE188" s="23">
        <v>43374</v>
      </c>
      <c r="AF188" s="23">
        <v>43465</v>
      </c>
      <c r="AG188" s="43" t="s">
        <v>248</v>
      </c>
      <c r="AI188" s="245"/>
      <c r="AJ188" s="245"/>
    </row>
    <row r="189" spans="2:36" ht="79.5" customHeight="1" thickBot="1" x14ac:dyDescent="0.3">
      <c r="B189" s="57" t="s">
        <v>391</v>
      </c>
      <c r="C189" s="58" t="s">
        <v>392</v>
      </c>
      <c r="D189" s="52" t="s">
        <v>23</v>
      </c>
      <c r="E189" s="229" t="s">
        <v>546</v>
      </c>
      <c r="F189" s="53" t="s">
        <v>186</v>
      </c>
      <c r="G189" s="785">
        <v>13</v>
      </c>
      <c r="H189" s="830" t="s">
        <v>250</v>
      </c>
      <c r="I189" s="818">
        <v>5.8799999999999998E-2</v>
      </c>
      <c r="J189" s="821">
        <v>100</v>
      </c>
      <c r="K189" s="807" t="s">
        <v>184</v>
      </c>
      <c r="L189" s="827" t="s">
        <v>251</v>
      </c>
      <c r="M189" s="833" t="s">
        <v>242</v>
      </c>
      <c r="N189" s="795">
        <v>0.25</v>
      </c>
      <c r="O189" s="795">
        <v>0.5</v>
      </c>
      <c r="P189" s="795">
        <v>0.9</v>
      </c>
      <c r="Q189" s="797">
        <v>1</v>
      </c>
      <c r="R189" s="230"/>
      <c r="S189" s="237"/>
      <c r="T189" s="237"/>
      <c r="U189" s="237"/>
      <c r="V189" s="237"/>
      <c r="W189" s="237"/>
      <c r="X189" s="74"/>
      <c r="Y189" s="74"/>
      <c r="Z189" s="74"/>
      <c r="AA189" s="74"/>
      <c r="AB189" s="42">
        <v>1</v>
      </c>
      <c r="AC189" s="44" t="s">
        <v>252</v>
      </c>
      <c r="AD189" s="14">
        <v>0.25</v>
      </c>
      <c r="AE189" s="23">
        <v>43101</v>
      </c>
      <c r="AF189" s="23">
        <v>43190</v>
      </c>
      <c r="AG189" s="43" t="s">
        <v>253</v>
      </c>
      <c r="AI189" s="245"/>
      <c r="AJ189" s="245"/>
    </row>
    <row r="190" spans="2:36" ht="63.75" thickBot="1" x14ac:dyDescent="0.3">
      <c r="B190" s="57" t="s">
        <v>391</v>
      </c>
      <c r="C190" s="58" t="s">
        <v>392</v>
      </c>
      <c r="D190" s="52" t="s">
        <v>23</v>
      </c>
      <c r="E190" s="229" t="s">
        <v>546</v>
      </c>
      <c r="F190" s="53" t="s">
        <v>186</v>
      </c>
      <c r="G190" s="786"/>
      <c r="H190" s="831"/>
      <c r="I190" s="819"/>
      <c r="J190" s="822"/>
      <c r="K190" s="808"/>
      <c r="L190" s="828"/>
      <c r="M190" s="811"/>
      <c r="N190" s="761"/>
      <c r="O190" s="761"/>
      <c r="P190" s="761"/>
      <c r="Q190" s="798"/>
      <c r="R190" s="230"/>
      <c r="S190" s="237"/>
      <c r="T190" s="237"/>
      <c r="U190" s="237"/>
      <c r="V190" s="237"/>
      <c r="W190" s="237"/>
      <c r="X190" s="74"/>
      <c r="Y190" s="74"/>
      <c r="Z190" s="74"/>
      <c r="AA190" s="74"/>
      <c r="AB190" s="42">
        <v>2</v>
      </c>
      <c r="AC190" s="44" t="s">
        <v>254</v>
      </c>
      <c r="AD190" s="14">
        <v>0.25</v>
      </c>
      <c r="AE190" s="23">
        <v>43191</v>
      </c>
      <c r="AF190" s="23">
        <v>43281</v>
      </c>
      <c r="AG190" s="43" t="s">
        <v>253</v>
      </c>
      <c r="AI190" s="245"/>
      <c r="AJ190" s="245"/>
    </row>
    <row r="191" spans="2:36" ht="75.75" thickBot="1" x14ac:dyDescent="0.3">
      <c r="B191" s="57" t="s">
        <v>391</v>
      </c>
      <c r="C191" s="58" t="s">
        <v>392</v>
      </c>
      <c r="D191" s="52" t="s">
        <v>23</v>
      </c>
      <c r="E191" s="229" t="s">
        <v>546</v>
      </c>
      <c r="F191" s="53" t="s">
        <v>186</v>
      </c>
      <c r="G191" s="786"/>
      <c r="H191" s="831"/>
      <c r="I191" s="819"/>
      <c r="J191" s="822"/>
      <c r="K191" s="808"/>
      <c r="L191" s="828"/>
      <c r="M191" s="811"/>
      <c r="N191" s="761"/>
      <c r="O191" s="761"/>
      <c r="P191" s="761"/>
      <c r="Q191" s="798"/>
      <c r="R191" s="230"/>
      <c r="S191" s="237"/>
      <c r="T191" s="237"/>
      <c r="U191" s="237"/>
      <c r="V191" s="237"/>
      <c r="W191" s="237"/>
      <c r="X191" s="74"/>
      <c r="Y191" s="74"/>
      <c r="Z191" s="74"/>
      <c r="AA191" s="74"/>
      <c r="AB191" s="42">
        <v>3</v>
      </c>
      <c r="AC191" s="44" t="s">
        <v>367</v>
      </c>
      <c r="AD191" s="14">
        <v>0.4</v>
      </c>
      <c r="AE191" s="23">
        <v>43282</v>
      </c>
      <c r="AF191" s="23">
        <v>43373</v>
      </c>
      <c r="AG191" s="43" t="s">
        <v>368</v>
      </c>
      <c r="AI191" s="245"/>
      <c r="AJ191" s="245"/>
    </row>
    <row r="192" spans="2:36" ht="63.75" thickBot="1" x14ac:dyDescent="0.3">
      <c r="B192" s="57" t="s">
        <v>391</v>
      </c>
      <c r="C192" s="58" t="s">
        <v>392</v>
      </c>
      <c r="D192" s="52" t="s">
        <v>23</v>
      </c>
      <c r="E192" s="229" t="s">
        <v>546</v>
      </c>
      <c r="F192" s="53" t="s">
        <v>186</v>
      </c>
      <c r="G192" s="787"/>
      <c r="H192" s="832"/>
      <c r="I192" s="820"/>
      <c r="J192" s="823"/>
      <c r="K192" s="809"/>
      <c r="L192" s="829"/>
      <c r="M192" s="812"/>
      <c r="N192" s="796"/>
      <c r="O192" s="796"/>
      <c r="P192" s="796"/>
      <c r="Q192" s="799"/>
      <c r="R192" s="230"/>
      <c r="S192" s="237"/>
      <c r="T192" s="237"/>
      <c r="U192" s="237"/>
      <c r="V192" s="237"/>
      <c r="W192" s="237"/>
      <c r="X192" s="74"/>
      <c r="Y192" s="74"/>
      <c r="Z192" s="74"/>
      <c r="AA192" s="74"/>
      <c r="AB192" s="42">
        <v>4</v>
      </c>
      <c r="AC192" s="44" t="s">
        <v>255</v>
      </c>
      <c r="AD192" s="14">
        <v>0.1</v>
      </c>
      <c r="AE192" s="23">
        <v>43374</v>
      </c>
      <c r="AF192" s="23">
        <v>43465</v>
      </c>
      <c r="AG192" s="43" t="s">
        <v>248</v>
      </c>
      <c r="AI192" s="245"/>
      <c r="AJ192" s="245"/>
    </row>
    <row r="193" spans="2:36" ht="79.5" customHeight="1" thickBot="1" x14ac:dyDescent="0.3">
      <c r="B193" s="57" t="s">
        <v>391</v>
      </c>
      <c r="C193" s="58" t="s">
        <v>392</v>
      </c>
      <c r="D193" s="52" t="s">
        <v>23</v>
      </c>
      <c r="E193" s="229" t="s">
        <v>546</v>
      </c>
      <c r="F193" s="53" t="s">
        <v>186</v>
      </c>
      <c r="G193" s="785">
        <v>14</v>
      </c>
      <c r="H193" s="830" t="s">
        <v>369</v>
      </c>
      <c r="I193" s="818">
        <v>5.8799999999999998E-2</v>
      </c>
      <c r="J193" s="821">
        <v>100</v>
      </c>
      <c r="K193" s="807" t="s">
        <v>184</v>
      </c>
      <c r="L193" s="827" t="s">
        <v>370</v>
      </c>
      <c r="M193" s="810" t="s">
        <v>242</v>
      </c>
      <c r="N193" s="795">
        <v>0.25</v>
      </c>
      <c r="O193" s="795">
        <v>0.5</v>
      </c>
      <c r="P193" s="795">
        <v>0.75</v>
      </c>
      <c r="Q193" s="797">
        <v>1</v>
      </c>
      <c r="R193" s="230"/>
      <c r="S193" s="237"/>
      <c r="T193" s="237"/>
      <c r="U193" s="237"/>
      <c r="V193" s="237"/>
      <c r="W193" s="237"/>
      <c r="X193" s="74"/>
      <c r="Y193" s="74"/>
      <c r="Z193" s="74"/>
      <c r="AA193" s="74"/>
      <c r="AB193" s="42">
        <v>1</v>
      </c>
      <c r="AC193" s="217" t="s">
        <v>371</v>
      </c>
      <c r="AD193" s="14">
        <v>0.25</v>
      </c>
      <c r="AE193" s="23">
        <v>43101</v>
      </c>
      <c r="AF193" s="23">
        <v>43190</v>
      </c>
      <c r="AG193" s="43" t="s">
        <v>244</v>
      </c>
      <c r="AI193" s="245"/>
      <c r="AJ193" s="245"/>
    </row>
    <row r="194" spans="2:36" ht="63.75" thickBot="1" x14ac:dyDescent="0.3">
      <c r="B194" s="57" t="s">
        <v>391</v>
      </c>
      <c r="C194" s="58" t="s">
        <v>392</v>
      </c>
      <c r="D194" s="52" t="s">
        <v>23</v>
      </c>
      <c r="E194" s="229" t="s">
        <v>546</v>
      </c>
      <c r="F194" s="53" t="s">
        <v>186</v>
      </c>
      <c r="G194" s="786"/>
      <c r="H194" s="831"/>
      <c r="I194" s="819"/>
      <c r="J194" s="822"/>
      <c r="K194" s="808"/>
      <c r="L194" s="828"/>
      <c r="M194" s="811"/>
      <c r="N194" s="761"/>
      <c r="O194" s="761"/>
      <c r="P194" s="761"/>
      <c r="Q194" s="798"/>
      <c r="R194" s="230"/>
      <c r="S194" s="237"/>
      <c r="T194" s="237"/>
      <c r="U194" s="237"/>
      <c r="V194" s="237"/>
      <c r="W194" s="237"/>
      <c r="X194" s="74"/>
      <c r="Y194" s="74"/>
      <c r="Z194" s="74"/>
      <c r="AA194" s="74"/>
      <c r="AB194" s="42">
        <v>2</v>
      </c>
      <c r="AC194" s="217" t="s">
        <v>371</v>
      </c>
      <c r="AD194" s="14">
        <v>0.25</v>
      </c>
      <c r="AE194" s="23">
        <v>43191</v>
      </c>
      <c r="AF194" s="23">
        <v>43281</v>
      </c>
      <c r="AG194" s="43" t="s">
        <v>244</v>
      </c>
      <c r="AI194" s="245"/>
      <c r="AJ194" s="245"/>
    </row>
    <row r="195" spans="2:36" ht="63.75" thickBot="1" x14ac:dyDescent="0.3">
      <c r="B195" s="57" t="s">
        <v>391</v>
      </c>
      <c r="C195" s="58" t="s">
        <v>392</v>
      </c>
      <c r="D195" s="52" t="s">
        <v>23</v>
      </c>
      <c r="E195" s="229" t="s">
        <v>546</v>
      </c>
      <c r="F195" s="53" t="s">
        <v>186</v>
      </c>
      <c r="G195" s="786"/>
      <c r="H195" s="831"/>
      <c r="I195" s="819"/>
      <c r="J195" s="822"/>
      <c r="K195" s="808"/>
      <c r="L195" s="828"/>
      <c r="M195" s="811"/>
      <c r="N195" s="761"/>
      <c r="O195" s="761"/>
      <c r="P195" s="761"/>
      <c r="Q195" s="798"/>
      <c r="R195" s="230"/>
      <c r="S195" s="237"/>
      <c r="T195" s="237"/>
      <c r="U195" s="237"/>
      <c r="V195" s="237"/>
      <c r="W195" s="237"/>
      <c r="X195" s="74"/>
      <c r="Y195" s="74"/>
      <c r="Z195" s="74"/>
      <c r="AA195" s="74"/>
      <c r="AB195" s="42">
        <v>3</v>
      </c>
      <c r="AC195" s="217" t="s">
        <v>372</v>
      </c>
      <c r="AD195" s="14">
        <v>0.25</v>
      </c>
      <c r="AE195" s="23">
        <v>43282</v>
      </c>
      <c r="AF195" s="23">
        <v>43373</v>
      </c>
      <c r="AG195" s="43" t="s">
        <v>244</v>
      </c>
      <c r="AI195" s="245"/>
      <c r="AJ195" s="245"/>
    </row>
    <row r="196" spans="2:36" ht="63.75" thickBot="1" x14ac:dyDescent="0.3">
      <c r="B196" s="57" t="s">
        <v>391</v>
      </c>
      <c r="C196" s="58" t="s">
        <v>392</v>
      </c>
      <c r="D196" s="52" t="s">
        <v>23</v>
      </c>
      <c r="E196" s="229" t="s">
        <v>546</v>
      </c>
      <c r="F196" s="53" t="s">
        <v>186</v>
      </c>
      <c r="G196" s="787"/>
      <c r="H196" s="832"/>
      <c r="I196" s="820"/>
      <c r="J196" s="823"/>
      <c r="K196" s="809"/>
      <c r="L196" s="829"/>
      <c r="M196" s="812"/>
      <c r="N196" s="796"/>
      <c r="O196" s="796"/>
      <c r="P196" s="796"/>
      <c r="Q196" s="799"/>
      <c r="R196" s="230"/>
      <c r="S196" s="237"/>
      <c r="T196" s="237"/>
      <c r="U196" s="237"/>
      <c r="V196" s="237"/>
      <c r="W196" s="237"/>
      <c r="X196" s="74"/>
      <c r="Y196" s="74"/>
      <c r="Z196" s="74"/>
      <c r="AA196" s="74"/>
      <c r="AB196" s="42">
        <v>4</v>
      </c>
      <c r="AC196" s="217" t="s">
        <v>371</v>
      </c>
      <c r="AD196" s="14">
        <v>0.25</v>
      </c>
      <c r="AE196" s="23">
        <v>43374</v>
      </c>
      <c r="AF196" s="23">
        <v>43465</v>
      </c>
      <c r="AG196" s="43" t="s">
        <v>244</v>
      </c>
      <c r="AI196" s="245"/>
      <c r="AJ196" s="245"/>
    </row>
    <row r="197" spans="2:36" ht="79.5" customHeight="1" thickBot="1" x14ac:dyDescent="0.3">
      <c r="B197" s="57" t="s">
        <v>391</v>
      </c>
      <c r="C197" s="57" t="s">
        <v>393</v>
      </c>
      <c r="D197" s="52" t="s">
        <v>23</v>
      </c>
      <c r="E197" s="229" t="s">
        <v>546</v>
      </c>
      <c r="F197" s="53" t="s">
        <v>186</v>
      </c>
      <c r="G197" s="785">
        <v>15</v>
      </c>
      <c r="H197" s="824" t="s">
        <v>256</v>
      </c>
      <c r="I197" s="818">
        <v>5.8799999999999998E-2</v>
      </c>
      <c r="J197" s="821">
        <v>100</v>
      </c>
      <c r="K197" s="807" t="s">
        <v>184</v>
      </c>
      <c r="L197" s="807" t="s">
        <v>373</v>
      </c>
      <c r="M197" s="810" t="s">
        <v>242</v>
      </c>
      <c r="N197" s="795">
        <v>0.2</v>
      </c>
      <c r="O197" s="795">
        <v>0.4</v>
      </c>
      <c r="P197" s="795">
        <v>0.8</v>
      </c>
      <c r="Q197" s="797">
        <v>1</v>
      </c>
      <c r="R197" s="230"/>
      <c r="S197" s="237"/>
      <c r="T197" s="237"/>
      <c r="U197" s="237"/>
      <c r="V197" s="237"/>
      <c r="W197" s="237"/>
      <c r="X197" s="74"/>
      <c r="Y197" s="74"/>
      <c r="Z197" s="74"/>
      <c r="AA197" s="74"/>
      <c r="AB197" s="42">
        <v>1</v>
      </c>
      <c r="AC197" s="44" t="s">
        <v>257</v>
      </c>
      <c r="AD197" s="14">
        <v>0.2</v>
      </c>
      <c r="AE197" s="23">
        <v>43101</v>
      </c>
      <c r="AF197" s="23">
        <v>43190</v>
      </c>
      <c r="AG197" s="43" t="s">
        <v>244</v>
      </c>
      <c r="AI197" s="245"/>
      <c r="AJ197" s="245"/>
    </row>
    <row r="198" spans="2:36" ht="63.75" thickBot="1" x14ac:dyDescent="0.3">
      <c r="B198" s="57" t="s">
        <v>391</v>
      </c>
      <c r="C198" s="57" t="s">
        <v>393</v>
      </c>
      <c r="D198" s="52" t="s">
        <v>23</v>
      </c>
      <c r="E198" s="229" t="s">
        <v>546</v>
      </c>
      <c r="F198" s="53" t="s">
        <v>186</v>
      </c>
      <c r="G198" s="786"/>
      <c r="H198" s="825"/>
      <c r="I198" s="819"/>
      <c r="J198" s="822"/>
      <c r="K198" s="808"/>
      <c r="L198" s="808"/>
      <c r="M198" s="811"/>
      <c r="N198" s="762"/>
      <c r="O198" s="762"/>
      <c r="P198" s="762"/>
      <c r="Q198" s="763"/>
      <c r="R198" s="231"/>
      <c r="S198" s="236"/>
      <c r="T198" s="236"/>
      <c r="U198" s="236"/>
      <c r="V198" s="236"/>
      <c r="W198" s="236"/>
      <c r="X198" s="73"/>
      <c r="Y198" s="73"/>
      <c r="Z198" s="73"/>
      <c r="AA198" s="73"/>
      <c r="AB198" s="42">
        <v>2</v>
      </c>
      <c r="AC198" s="44" t="s">
        <v>258</v>
      </c>
      <c r="AD198" s="14">
        <v>0.2</v>
      </c>
      <c r="AE198" s="23">
        <v>43191</v>
      </c>
      <c r="AF198" s="23">
        <v>43281</v>
      </c>
      <c r="AG198" s="43" t="s">
        <v>244</v>
      </c>
      <c r="AI198" s="245"/>
      <c r="AJ198" s="245"/>
    </row>
    <row r="199" spans="2:36" ht="63.75" thickBot="1" x14ac:dyDescent="0.3">
      <c r="B199" s="57" t="s">
        <v>391</v>
      </c>
      <c r="C199" s="57" t="s">
        <v>393</v>
      </c>
      <c r="D199" s="52" t="s">
        <v>23</v>
      </c>
      <c r="E199" s="229" t="s">
        <v>546</v>
      </c>
      <c r="F199" s="53" t="s">
        <v>186</v>
      </c>
      <c r="G199" s="786"/>
      <c r="H199" s="825"/>
      <c r="I199" s="819"/>
      <c r="J199" s="822"/>
      <c r="K199" s="808"/>
      <c r="L199" s="808"/>
      <c r="M199" s="811"/>
      <c r="N199" s="762"/>
      <c r="O199" s="762"/>
      <c r="P199" s="762"/>
      <c r="Q199" s="763"/>
      <c r="R199" s="231"/>
      <c r="S199" s="236"/>
      <c r="T199" s="236"/>
      <c r="U199" s="236"/>
      <c r="V199" s="236"/>
      <c r="W199" s="236"/>
      <c r="X199" s="73"/>
      <c r="Y199" s="73"/>
      <c r="Z199" s="73"/>
      <c r="AA199" s="73"/>
      <c r="AB199" s="42">
        <v>3</v>
      </c>
      <c r="AC199" s="44" t="s">
        <v>259</v>
      </c>
      <c r="AD199" s="14">
        <v>0.4</v>
      </c>
      <c r="AE199" s="23">
        <v>43282</v>
      </c>
      <c r="AF199" s="23">
        <v>43373</v>
      </c>
      <c r="AG199" s="43" t="s">
        <v>244</v>
      </c>
      <c r="AI199" s="245"/>
      <c r="AJ199" s="245"/>
    </row>
    <row r="200" spans="2:36" ht="63.75" thickBot="1" x14ac:dyDescent="0.3">
      <c r="B200" s="57" t="s">
        <v>391</v>
      </c>
      <c r="C200" s="57" t="s">
        <v>393</v>
      </c>
      <c r="D200" s="52" t="s">
        <v>23</v>
      </c>
      <c r="E200" s="229" t="s">
        <v>546</v>
      </c>
      <c r="F200" s="53" t="s">
        <v>186</v>
      </c>
      <c r="G200" s="787"/>
      <c r="H200" s="826"/>
      <c r="I200" s="820"/>
      <c r="J200" s="823"/>
      <c r="K200" s="809"/>
      <c r="L200" s="809"/>
      <c r="M200" s="812"/>
      <c r="N200" s="813"/>
      <c r="O200" s="813"/>
      <c r="P200" s="813"/>
      <c r="Q200" s="814"/>
      <c r="R200" s="231"/>
      <c r="S200" s="236"/>
      <c r="T200" s="236"/>
      <c r="U200" s="236"/>
      <c r="V200" s="236"/>
      <c r="W200" s="236"/>
      <c r="X200" s="73"/>
      <c r="Y200" s="73"/>
      <c r="Z200" s="73"/>
      <c r="AA200" s="73"/>
      <c r="AB200" s="42">
        <v>4</v>
      </c>
      <c r="AC200" s="44" t="s">
        <v>260</v>
      </c>
      <c r="AD200" s="14">
        <v>0.2</v>
      </c>
      <c r="AE200" s="23">
        <v>43374</v>
      </c>
      <c r="AF200" s="23">
        <v>43465</v>
      </c>
      <c r="AG200" s="43" t="s">
        <v>244</v>
      </c>
      <c r="AI200" s="245"/>
      <c r="AJ200" s="245"/>
    </row>
    <row r="201" spans="2:36" ht="79.5" customHeight="1" thickBot="1" x14ac:dyDescent="0.3">
      <c r="B201" s="57" t="s">
        <v>391</v>
      </c>
      <c r="C201" s="57" t="s">
        <v>394</v>
      </c>
      <c r="D201" s="52" t="s">
        <v>23</v>
      </c>
      <c r="E201" s="229" t="s">
        <v>546</v>
      </c>
      <c r="F201" s="53" t="s">
        <v>186</v>
      </c>
      <c r="G201" s="785">
        <v>16</v>
      </c>
      <c r="H201" s="815" t="s">
        <v>261</v>
      </c>
      <c r="I201" s="818">
        <v>5.8799999999999998E-2</v>
      </c>
      <c r="J201" s="821">
        <v>100</v>
      </c>
      <c r="K201" s="807" t="s">
        <v>184</v>
      </c>
      <c r="L201" s="807" t="s">
        <v>374</v>
      </c>
      <c r="M201" s="810" t="s">
        <v>242</v>
      </c>
      <c r="N201" s="795">
        <v>0.2</v>
      </c>
      <c r="O201" s="795">
        <v>0.6</v>
      </c>
      <c r="P201" s="795">
        <v>0.8</v>
      </c>
      <c r="Q201" s="797">
        <v>1</v>
      </c>
      <c r="R201" s="230"/>
      <c r="S201" s="237"/>
      <c r="T201" s="237"/>
      <c r="U201" s="237"/>
      <c r="V201" s="237"/>
      <c r="W201" s="237"/>
      <c r="X201" s="74"/>
      <c r="Y201" s="74"/>
      <c r="Z201" s="74"/>
      <c r="AA201" s="74"/>
      <c r="AB201" s="42">
        <v>1</v>
      </c>
      <c r="AC201" s="221" t="s">
        <v>262</v>
      </c>
      <c r="AD201" s="14">
        <v>0.2</v>
      </c>
      <c r="AE201" s="23">
        <v>43101</v>
      </c>
      <c r="AF201" s="23">
        <v>43190</v>
      </c>
      <c r="AG201" s="43" t="s">
        <v>253</v>
      </c>
      <c r="AI201" s="245"/>
      <c r="AJ201" s="245"/>
    </row>
    <row r="202" spans="2:36" ht="63.75" thickBot="1" x14ac:dyDescent="0.3">
      <c r="B202" s="57" t="s">
        <v>391</v>
      </c>
      <c r="C202" s="57" t="s">
        <v>394</v>
      </c>
      <c r="D202" s="52" t="s">
        <v>23</v>
      </c>
      <c r="E202" s="229" t="s">
        <v>546</v>
      </c>
      <c r="F202" s="53" t="s">
        <v>186</v>
      </c>
      <c r="G202" s="786"/>
      <c r="H202" s="816"/>
      <c r="I202" s="819"/>
      <c r="J202" s="822"/>
      <c r="K202" s="808"/>
      <c r="L202" s="808"/>
      <c r="M202" s="811"/>
      <c r="N202" s="762"/>
      <c r="O202" s="762"/>
      <c r="P202" s="762"/>
      <c r="Q202" s="763"/>
      <c r="R202" s="231"/>
      <c r="S202" s="236"/>
      <c r="T202" s="236"/>
      <c r="U202" s="236"/>
      <c r="V202" s="236"/>
      <c r="W202" s="236"/>
      <c r="X202" s="73"/>
      <c r="Y202" s="73"/>
      <c r="Z202" s="73"/>
      <c r="AA202" s="73"/>
      <c r="AB202" s="42">
        <v>2</v>
      </c>
      <c r="AC202" s="217" t="s">
        <v>263</v>
      </c>
      <c r="AD202" s="14">
        <v>0.4</v>
      </c>
      <c r="AE202" s="23">
        <v>43191</v>
      </c>
      <c r="AF202" s="23">
        <v>43281</v>
      </c>
      <c r="AG202" s="43" t="s">
        <v>248</v>
      </c>
      <c r="AI202" s="245"/>
      <c r="AJ202" s="245"/>
    </row>
    <row r="203" spans="2:36" ht="63.75" thickBot="1" x14ac:dyDescent="0.3">
      <c r="B203" s="57" t="s">
        <v>391</v>
      </c>
      <c r="C203" s="57" t="s">
        <v>394</v>
      </c>
      <c r="D203" s="52" t="s">
        <v>23</v>
      </c>
      <c r="E203" s="229" t="s">
        <v>546</v>
      </c>
      <c r="F203" s="53" t="s">
        <v>186</v>
      </c>
      <c r="G203" s="786"/>
      <c r="H203" s="816"/>
      <c r="I203" s="819"/>
      <c r="J203" s="822"/>
      <c r="K203" s="808"/>
      <c r="L203" s="808"/>
      <c r="M203" s="811"/>
      <c r="N203" s="762"/>
      <c r="O203" s="762"/>
      <c r="P203" s="762"/>
      <c r="Q203" s="763"/>
      <c r="R203" s="231"/>
      <c r="S203" s="236"/>
      <c r="T203" s="236"/>
      <c r="U203" s="236"/>
      <c r="V203" s="236"/>
      <c r="W203" s="236"/>
      <c r="X203" s="73"/>
      <c r="Y203" s="73"/>
      <c r="Z203" s="73"/>
      <c r="AA203" s="73"/>
      <c r="AB203" s="42">
        <v>3</v>
      </c>
      <c r="AC203" s="44" t="s">
        <v>264</v>
      </c>
      <c r="AD203" s="14">
        <v>0.2</v>
      </c>
      <c r="AE203" s="23">
        <v>43282</v>
      </c>
      <c r="AF203" s="23">
        <v>43373</v>
      </c>
      <c r="AG203" s="43" t="s">
        <v>248</v>
      </c>
      <c r="AI203" s="245"/>
      <c r="AJ203" s="245"/>
    </row>
    <row r="204" spans="2:36" ht="63.75" thickBot="1" x14ac:dyDescent="0.3">
      <c r="B204" s="57" t="s">
        <v>391</v>
      </c>
      <c r="C204" s="57" t="s">
        <v>394</v>
      </c>
      <c r="D204" s="52" t="s">
        <v>23</v>
      </c>
      <c r="E204" s="229" t="s">
        <v>546</v>
      </c>
      <c r="F204" s="53" t="s">
        <v>186</v>
      </c>
      <c r="G204" s="787"/>
      <c r="H204" s="817"/>
      <c r="I204" s="820"/>
      <c r="J204" s="823"/>
      <c r="K204" s="809"/>
      <c r="L204" s="809"/>
      <c r="M204" s="812"/>
      <c r="N204" s="813"/>
      <c r="O204" s="813"/>
      <c r="P204" s="813"/>
      <c r="Q204" s="814"/>
      <c r="R204" s="231"/>
      <c r="S204" s="236"/>
      <c r="T204" s="236"/>
      <c r="U204" s="236"/>
      <c r="V204" s="236"/>
      <c r="W204" s="236"/>
      <c r="X204" s="73"/>
      <c r="Y204" s="73"/>
      <c r="Z204" s="73"/>
      <c r="AA204" s="73"/>
      <c r="AB204" s="42">
        <v>4</v>
      </c>
      <c r="AC204" s="217" t="s">
        <v>265</v>
      </c>
      <c r="AD204" s="14">
        <v>0.2</v>
      </c>
      <c r="AE204" s="23">
        <v>43374</v>
      </c>
      <c r="AF204" s="23">
        <v>43465</v>
      </c>
      <c r="AG204" s="43" t="s">
        <v>248</v>
      </c>
      <c r="AI204" s="245"/>
      <c r="AJ204" s="245"/>
    </row>
    <row r="205" spans="2:36" ht="79.5" customHeight="1" thickBot="1" x14ac:dyDescent="0.3">
      <c r="B205" s="57" t="s">
        <v>391</v>
      </c>
      <c r="C205" s="58" t="s">
        <v>392</v>
      </c>
      <c r="D205" s="52" t="s">
        <v>23</v>
      </c>
      <c r="E205" s="229" t="s">
        <v>546</v>
      </c>
      <c r="F205" s="53" t="s">
        <v>186</v>
      </c>
      <c r="G205" s="785">
        <v>17</v>
      </c>
      <c r="H205" s="815" t="s">
        <v>266</v>
      </c>
      <c r="I205" s="818">
        <v>5.9200000000000003E-2</v>
      </c>
      <c r="J205" s="821">
        <v>100</v>
      </c>
      <c r="K205" s="807" t="s">
        <v>184</v>
      </c>
      <c r="L205" s="807" t="s">
        <v>267</v>
      </c>
      <c r="M205" s="810" t="s">
        <v>242</v>
      </c>
      <c r="N205" s="795">
        <v>0.2</v>
      </c>
      <c r="O205" s="795">
        <v>0.4</v>
      </c>
      <c r="P205" s="795">
        <v>0.8</v>
      </c>
      <c r="Q205" s="797">
        <v>1</v>
      </c>
      <c r="R205" s="230"/>
      <c r="S205" s="237"/>
      <c r="T205" s="237"/>
      <c r="U205" s="237"/>
      <c r="V205" s="237"/>
      <c r="W205" s="237"/>
      <c r="X205" s="74"/>
      <c r="Y205" s="74"/>
      <c r="Z205" s="74"/>
      <c r="AA205" s="74"/>
      <c r="AB205" s="42">
        <v>1</v>
      </c>
      <c r="AC205" s="44" t="s">
        <v>268</v>
      </c>
      <c r="AD205" s="14">
        <v>0.2</v>
      </c>
      <c r="AE205" s="23">
        <v>43101</v>
      </c>
      <c r="AF205" s="23">
        <v>43190</v>
      </c>
      <c r="AG205" s="43" t="s">
        <v>248</v>
      </c>
      <c r="AI205" s="245"/>
      <c r="AJ205" s="245"/>
    </row>
    <row r="206" spans="2:36" ht="63.75" thickBot="1" x14ac:dyDescent="0.3">
      <c r="B206" s="57" t="s">
        <v>391</v>
      </c>
      <c r="C206" s="58" t="s">
        <v>392</v>
      </c>
      <c r="D206" s="52" t="s">
        <v>23</v>
      </c>
      <c r="E206" s="229" t="s">
        <v>546</v>
      </c>
      <c r="F206" s="53" t="s">
        <v>186</v>
      </c>
      <c r="G206" s="786"/>
      <c r="H206" s="816"/>
      <c r="I206" s="819"/>
      <c r="J206" s="822"/>
      <c r="K206" s="808"/>
      <c r="L206" s="808"/>
      <c r="M206" s="811"/>
      <c r="N206" s="762"/>
      <c r="O206" s="762"/>
      <c r="P206" s="762"/>
      <c r="Q206" s="763"/>
      <c r="R206" s="231"/>
      <c r="S206" s="236"/>
      <c r="T206" s="236"/>
      <c r="U206" s="236"/>
      <c r="V206" s="236"/>
      <c r="W206" s="236"/>
      <c r="X206" s="73"/>
      <c r="Y206" s="73"/>
      <c r="Z206" s="73"/>
      <c r="AA206" s="73"/>
      <c r="AB206" s="42">
        <v>2</v>
      </c>
      <c r="AC206" s="44" t="s">
        <v>264</v>
      </c>
      <c r="AD206" s="14">
        <v>0.2</v>
      </c>
      <c r="AE206" s="23">
        <v>43191</v>
      </c>
      <c r="AF206" s="23">
        <v>43281</v>
      </c>
      <c r="AG206" s="43" t="s">
        <v>248</v>
      </c>
      <c r="AI206" s="245"/>
      <c r="AJ206" s="245"/>
    </row>
    <row r="207" spans="2:36" ht="63.75" thickBot="1" x14ac:dyDescent="0.3">
      <c r="B207" s="57" t="s">
        <v>391</v>
      </c>
      <c r="C207" s="58" t="s">
        <v>392</v>
      </c>
      <c r="D207" s="52" t="s">
        <v>23</v>
      </c>
      <c r="E207" s="229" t="s">
        <v>546</v>
      </c>
      <c r="F207" s="53" t="s">
        <v>186</v>
      </c>
      <c r="G207" s="786"/>
      <c r="H207" s="816"/>
      <c r="I207" s="819"/>
      <c r="J207" s="822"/>
      <c r="K207" s="808"/>
      <c r="L207" s="808"/>
      <c r="M207" s="811"/>
      <c r="N207" s="762"/>
      <c r="O207" s="762"/>
      <c r="P207" s="762"/>
      <c r="Q207" s="763"/>
      <c r="R207" s="231"/>
      <c r="S207" s="236"/>
      <c r="T207" s="236"/>
      <c r="U207" s="236"/>
      <c r="V207" s="236"/>
      <c r="W207" s="236"/>
      <c r="X207" s="73"/>
      <c r="Y207" s="73"/>
      <c r="Z207" s="73"/>
      <c r="AA207" s="73"/>
      <c r="AB207" s="42">
        <v>3</v>
      </c>
      <c r="AC207" s="44" t="s">
        <v>269</v>
      </c>
      <c r="AD207" s="14">
        <v>0.4</v>
      </c>
      <c r="AE207" s="23">
        <v>43282</v>
      </c>
      <c r="AF207" s="23">
        <v>43373</v>
      </c>
      <c r="AG207" s="43" t="s">
        <v>248</v>
      </c>
      <c r="AI207" s="245"/>
      <c r="AJ207" s="245"/>
    </row>
    <row r="208" spans="2:36" ht="63.75" thickBot="1" x14ac:dyDescent="0.3">
      <c r="B208" s="57" t="s">
        <v>391</v>
      </c>
      <c r="C208" s="58" t="s">
        <v>392</v>
      </c>
      <c r="D208" s="52" t="s">
        <v>23</v>
      </c>
      <c r="E208" s="229" t="s">
        <v>546</v>
      </c>
      <c r="F208" s="53" t="s">
        <v>186</v>
      </c>
      <c r="G208" s="787"/>
      <c r="H208" s="817"/>
      <c r="I208" s="820"/>
      <c r="J208" s="823"/>
      <c r="K208" s="809"/>
      <c r="L208" s="809"/>
      <c r="M208" s="812"/>
      <c r="N208" s="813"/>
      <c r="O208" s="813"/>
      <c r="P208" s="813"/>
      <c r="Q208" s="814"/>
      <c r="R208" s="231"/>
      <c r="S208" s="236"/>
      <c r="T208" s="236"/>
      <c r="U208" s="236"/>
      <c r="V208" s="236"/>
      <c r="W208" s="236"/>
      <c r="X208" s="73"/>
      <c r="Y208" s="73"/>
      <c r="Z208" s="73"/>
      <c r="AA208" s="73"/>
      <c r="AB208" s="42">
        <v>4</v>
      </c>
      <c r="AC208" s="44" t="s">
        <v>270</v>
      </c>
      <c r="AD208" s="14">
        <v>0.2</v>
      </c>
      <c r="AE208" s="23">
        <v>43374</v>
      </c>
      <c r="AF208" s="23">
        <v>43465</v>
      </c>
      <c r="AG208" s="43" t="s">
        <v>244</v>
      </c>
      <c r="AI208" s="245"/>
      <c r="AJ208" s="245"/>
    </row>
    <row r="209" spans="2:43" ht="76.5" hidden="1" customHeight="1" thickBot="1" x14ac:dyDescent="0.3">
      <c r="B209" s="57" t="s">
        <v>388</v>
      </c>
      <c r="C209" s="58" t="s">
        <v>389</v>
      </c>
      <c r="D209" s="52" t="s">
        <v>23</v>
      </c>
      <c r="E209" s="229" t="s">
        <v>547</v>
      </c>
      <c r="F209" s="53" t="s">
        <v>271</v>
      </c>
      <c r="G209" s="785">
        <v>1</v>
      </c>
      <c r="H209" s="788" t="s">
        <v>272</v>
      </c>
      <c r="I209" s="755">
        <v>0.2</v>
      </c>
      <c r="J209" s="768">
        <v>100</v>
      </c>
      <c r="K209" s="755" t="s">
        <v>184</v>
      </c>
      <c r="L209" s="755" t="s">
        <v>273</v>
      </c>
      <c r="M209" s="783" t="s">
        <v>375</v>
      </c>
      <c r="N209" s="795">
        <v>0.15</v>
      </c>
      <c r="O209" s="795">
        <v>0.5</v>
      </c>
      <c r="P209" s="795">
        <v>0.85</v>
      </c>
      <c r="Q209" s="797">
        <v>1</v>
      </c>
      <c r="R209" s="230"/>
      <c r="S209" s="237"/>
      <c r="T209" s="237"/>
      <c r="U209" s="237"/>
      <c r="V209" s="237"/>
      <c r="W209" s="237"/>
      <c r="X209" s="170"/>
      <c r="Y209" s="63"/>
      <c r="Z209" s="63"/>
      <c r="AA209" s="63"/>
      <c r="AB209" s="12">
        <v>1</v>
      </c>
      <c r="AC209" s="13" t="s">
        <v>274</v>
      </c>
      <c r="AD209" s="14">
        <v>0.15</v>
      </c>
      <c r="AE209" s="22">
        <v>43132</v>
      </c>
      <c r="AF209" s="22">
        <v>43190</v>
      </c>
      <c r="AG209" s="15" t="s">
        <v>375</v>
      </c>
      <c r="AI209" s="245"/>
      <c r="AJ209" s="245"/>
      <c r="AM209" s="1"/>
      <c r="AN209" s="1"/>
      <c r="AO209" s="1"/>
      <c r="AP209" s="1"/>
      <c r="AQ209" s="1"/>
    </row>
    <row r="210" spans="2:43" ht="43.5" hidden="1" customHeight="1" thickBot="1" x14ac:dyDescent="0.3">
      <c r="B210" s="57" t="s">
        <v>388</v>
      </c>
      <c r="C210" s="58" t="s">
        <v>389</v>
      </c>
      <c r="D210" s="52" t="s">
        <v>23</v>
      </c>
      <c r="E210" s="229" t="s">
        <v>547</v>
      </c>
      <c r="F210" s="53" t="s">
        <v>271</v>
      </c>
      <c r="G210" s="786"/>
      <c r="H210" s="789"/>
      <c r="I210" s="771"/>
      <c r="J210" s="770"/>
      <c r="K210" s="771"/>
      <c r="L210" s="771"/>
      <c r="M210" s="784"/>
      <c r="N210" s="761"/>
      <c r="O210" s="761"/>
      <c r="P210" s="761"/>
      <c r="Q210" s="798"/>
      <c r="R210" s="230"/>
      <c r="S210" s="237"/>
      <c r="T210" s="237"/>
      <c r="U210" s="237"/>
      <c r="V210" s="237"/>
      <c r="W210" s="237"/>
      <c r="X210" s="170"/>
      <c r="Y210" s="63"/>
      <c r="Z210" s="63"/>
      <c r="AA210" s="63"/>
      <c r="AB210" s="12">
        <v>2</v>
      </c>
      <c r="AC210" s="13" t="s">
        <v>275</v>
      </c>
      <c r="AD210" s="14">
        <v>0.35</v>
      </c>
      <c r="AE210" s="22">
        <v>43191</v>
      </c>
      <c r="AF210" s="22">
        <v>43281</v>
      </c>
      <c r="AG210" s="15" t="s">
        <v>375</v>
      </c>
      <c r="AI210" s="245"/>
      <c r="AJ210" s="245"/>
      <c r="AM210" s="803"/>
      <c r="AN210" s="803"/>
      <c r="AO210" s="803"/>
      <c r="AP210" s="803"/>
      <c r="AQ210" s="803"/>
    </row>
    <row r="211" spans="2:43" ht="43.5" hidden="1" customHeight="1" thickBot="1" x14ac:dyDescent="0.3">
      <c r="B211" s="57" t="s">
        <v>388</v>
      </c>
      <c r="C211" s="58" t="s">
        <v>389</v>
      </c>
      <c r="D211" s="52" t="s">
        <v>23</v>
      </c>
      <c r="E211" s="229" t="s">
        <v>547</v>
      </c>
      <c r="F211" s="53" t="s">
        <v>271</v>
      </c>
      <c r="G211" s="786"/>
      <c r="H211" s="789"/>
      <c r="I211" s="771"/>
      <c r="J211" s="770"/>
      <c r="K211" s="771"/>
      <c r="L211" s="771"/>
      <c r="M211" s="784"/>
      <c r="N211" s="761"/>
      <c r="O211" s="761"/>
      <c r="P211" s="761"/>
      <c r="Q211" s="798"/>
      <c r="R211" s="230"/>
      <c r="S211" s="237"/>
      <c r="T211" s="237"/>
      <c r="U211" s="237"/>
      <c r="V211" s="237"/>
      <c r="W211" s="237"/>
      <c r="X211" s="170"/>
      <c r="Y211" s="63"/>
      <c r="Z211" s="63"/>
      <c r="AA211" s="63"/>
      <c r="AB211" s="12">
        <v>3</v>
      </c>
      <c r="AC211" s="13" t="s">
        <v>276</v>
      </c>
      <c r="AD211" s="14">
        <v>0.35</v>
      </c>
      <c r="AE211" s="22">
        <v>43282</v>
      </c>
      <c r="AF211" s="22">
        <v>43373</v>
      </c>
      <c r="AG211" s="15" t="s">
        <v>375</v>
      </c>
      <c r="AI211" s="245"/>
      <c r="AJ211" s="245"/>
      <c r="AM211" s="803"/>
      <c r="AN211" s="803"/>
      <c r="AO211" s="803"/>
      <c r="AP211" s="803"/>
      <c r="AQ211" s="803"/>
    </row>
    <row r="212" spans="2:43" ht="79.5" hidden="1" customHeight="1" thickBot="1" x14ac:dyDescent="0.3">
      <c r="B212" s="57" t="s">
        <v>388</v>
      </c>
      <c r="C212" s="58" t="s">
        <v>389</v>
      </c>
      <c r="D212" s="52" t="s">
        <v>23</v>
      </c>
      <c r="E212" s="229" t="s">
        <v>547</v>
      </c>
      <c r="F212" s="53" t="s">
        <v>271</v>
      </c>
      <c r="G212" s="787"/>
      <c r="H212" s="790"/>
      <c r="I212" s="756"/>
      <c r="J212" s="769"/>
      <c r="K212" s="756"/>
      <c r="L212" s="756"/>
      <c r="M212" s="791"/>
      <c r="N212" s="796"/>
      <c r="O212" s="796"/>
      <c r="P212" s="796"/>
      <c r="Q212" s="799"/>
      <c r="R212" s="230"/>
      <c r="S212" s="237"/>
      <c r="T212" s="237"/>
      <c r="U212" s="237"/>
      <c r="V212" s="237"/>
      <c r="W212" s="237"/>
      <c r="X212" s="171"/>
      <c r="Y212" s="64"/>
      <c r="Z212" s="64"/>
      <c r="AA212" s="64"/>
      <c r="AB212" s="12">
        <v>4</v>
      </c>
      <c r="AC212" s="13" t="s">
        <v>277</v>
      </c>
      <c r="AD212" s="14">
        <v>0.15</v>
      </c>
      <c r="AE212" s="22">
        <v>43374</v>
      </c>
      <c r="AF212" s="22">
        <v>43465</v>
      </c>
      <c r="AG212" s="15" t="s">
        <v>375</v>
      </c>
      <c r="AI212" s="245"/>
      <c r="AJ212" s="245"/>
      <c r="AM212" s="803"/>
      <c r="AN212" s="803"/>
      <c r="AO212" s="803"/>
      <c r="AP212" s="803"/>
      <c r="AQ212" s="803"/>
    </row>
    <row r="213" spans="2:43" ht="79.5" hidden="1" customHeight="1" thickBot="1" x14ac:dyDescent="0.3">
      <c r="B213" s="57" t="s">
        <v>388</v>
      </c>
      <c r="C213" s="58" t="s">
        <v>389</v>
      </c>
      <c r="D213" s="52" t="s">
        <v>23</v>
      </c>
      <c r="E213" s="229" t="s">
        <v>547</v>
      </c>
      <c r="F213" s="53" t="s">
        <v>271</v>
      </c>
      <c r="G213" s="785">
        <v>2</v>
      </c>
      <c r="H213" s="788" t="s">
        <v>278</v>
      </c>
      <c r="I213" s="755">
        <v>0.2</v>
      </c>
      <c r="J213" s="768">
        <v>100</v>
      </c>
      <c r="K213" s="755" t="s">
        <v>184</v>
      </c>
      <c r="L213" s="755" t="s">
        <v>279</v>
      </c>
      <c r="M213" s="783" t="s">
        <v>375</v>
      </c>
      <c r="N213" s="804">
        <v>0.25</v>
      </c>
      <c r="O213" s="804">
        <v>0.5</v>
      </c>
      <c r="P213" s="804">
        <v>0.85</v>
      </c>
      <c r="Q213" s="800">
        <v>1</v>
      </c>
      <c r="R213" s="233"/>
      <c r="S213" s="239"/>
      <c r="T213" s="239"/>
      <c r="U213" s="239"/>
      <c r="V213" s="239"/>
      <c r="W213" s="239"/>
      <c r="X213" s="179"/>
      <c r="Y213" s="71"/>
      <c r="Z213" s="71"/>
      <c r="AA213" s="71"/>
      <c r="AB213" s="12">
        <v>1</v>
      </c>
      <c r="AC213" s="13" t="s">
        <v>280</v>
      </c>
      <c r="AD213" s="14">
        <v>0.15</v>
      </c>
      <c r="AE213" s="22">
        <v>43132</v>
      </c>
      <c r="AF213" s="22">
        <v>43190</v>
      </c>
      <c r="AG213" s="15" t="s">
        <v>375</v>
      </c>
      <c r="AI213" s="245"/>
      <c r="AJ213" s="245"/>
      <c r="AM213" s="1"/>
      <c r="AN213" s="1"/>
      <c r="AO213" s="1"/>
      <c r="AP213" s="1"/>
      <c r="AQ213" s="1"/>
    </row>
    <row r="214" spans="2:43" ht="79.5" hidden="1" customHeight="1" thickBot="1" x14ac:dyDescent="0.3">
      <c r="B214" s="57" t="s">
        <v>388</v>
      </c>
      <c r="C214" s="58" t="s">
        <v>389</v>
      </c>
      <c r="D214" s="52" t="s">
        <v>23</v>
      </c>
      <c r="E214" s="229" t="s">
        <v>547</v>
      </c>
      <c r="F214" s="53" t="s">
        <v>271</v>
      </c>
      <c r="G214" s="786"/>
      <c r="H214" s="789"/>
      <c r="I214" s="771"/>
      <c r="J214" s="770"/>
      <c r="K214" s="771"/>
      <c r="L214" s="771"/>
      <c r="M214" s="784"/>
      <c r="N214" s="805"/>
      <c r="O214" s="805"/>
      <c r="P214" s="805"/>
      <c r="Q214" s="801"/>
      <c r="R214" s="233"/>
      <c r="S214" s="239"/>
      <c r="T214" s="239"/>
      <c r="U214" s="239"/>
      <c r="V214" s="239"/>
      <c r="W214" s="239"/>
      <c r="X214" s="179"/>
      <c r="Y214" s="71"/>
      <c r="Z214" s="71"/>
      <c r="AA214" s="71"/>
      <c r="AB214" s="12">
        <v>2</v>
      </c>
      <c r="AC214" s="13" t="s">
        <v>275</v>
      </c>
      <c r="AD214" s="14">
        <v>0.35</v>
      </c>
      <c r="AE214" s="22">
        <v>43191</v>
      </c>
      <c r="AF214" s="22">
        <v>43281</v>
      </c>
      <c r="AG214" s="15" t="s">
        <v>375</v>
      </c>
      <c r="AI214" s="245"/>
      <c r="AJ214" s="245"/>
      <c r="AM214" s="803"/>
      <c r="AN214" s="803"/>
      <c r="AO214" s="803"/>
      <c r="AP214" s="803"/>
      <c r="AQ214" s="803"/>
    </row>
    <row r="215" spans="2:43" ht="79.5" hidden="1" customHeight="1" thickBot="1" x14ac:dyDescent="0.3">
      <c r="B215" s="57" t="s">
        <v>388</v>
      </c>
      <c r="C215" s="58" t="s">
        <v>389</v>
      </c>
      <c r="D215" s="52" t="s">
        <v>23</v>
      </c>
      <c r="E215" s="229" t="s">
        <v>547</v>
      </c>
      <c r="F215" s="53" t="s">
        <v>271</v>
      </c>
      <c r="G215" s="786"/>
      <c r="H215" s="789"/>
      <c r="I215" s="771"/>
      <c r="J215" s="770"/>
      <c r="K215" s="771"/>
      <c r="L215" s="771"/>
      <c r="M215" s="784"/>
      <c r="N215" s="805"/>
      <c r="O215" s="805"/>
      <c r="P215" s="805"/>
      <c r="Q215" s="801"/>
      <c r="R215" s="233"/>
      <c r="S215" s="239"/>
      <c r="T215" s="239"/>
      <c r="U215" s="239"/>
      <c r="V215" s="239"/>
      <c r="W215" s="239"/>
      <c r="X215" s="179"/>
      <c r="Y215" s="71"/>
      <c r="Z215" s="71"/>
      <c r="AA215" s="71"/>
      <c r="AB215" s="12">
        <v>3</v>
      </c>
      <c r="AC215" s="13" t="s">
        <v>276</v>
      </c>
      <c r="AD215" s="14">
        <v>0.35</v>
      </c>
      <c r="AE215" s="22">
        <v>43282</v>
      </c>
      <c r="AF215" s="22">
        <v>43373</v>
      </c>
      <c r="AG215" s="15" t="s">
        <v>375</v>
      </c>
      <c r="AI215" s="245"/>
      <c r="AJ215" s="245"/>
      <c r="AM215" s="803"/>
      <c r="AN215" s="803"/>
      <c r="AO215" s="803"/>
      <c r="AP215" s="803"/>
      <c r="AQ215" s="803"/>
    </row>
    <row r="216" spans="2:43" ht="79.5" hidden="1" customHeight="1" thickBot="1" x14ac:dyDescent="0.3">
      <c r="B216" s="57" t="s">
        <v>388</v>
      </c>
      <c r="C216" s="58" t="s">
        <v>389</v>
      </c>
      <c r="D216" s="52" t="s">
        <v>23</v>
      </c>
      <c r="E216" s="229" t="s">
        <v>547</v>
      </c>
      <c r="F216" s="53" t="s">
        <v>271</v>
      </c>
      <c r="G216" s="787"/>
      <c r="H216" s="790"/>
      <c r="I216" s="756"/>
      <c r="J216" s="769"/>
      <c r="K216" s="756"/>
      <c r="L216" s="756"/>
      <c r="M216" s="791"/>
      <c r="N216" s="806"/>
      <c r="O216" s="806"/>
      <c r="P216" s="806"/>
      <c r="Q216" s="802"/>
      <c r="R216" s="233"/>
      <c r="S216" s="239"/>
      <c r="T216" s="239"/>
      <c r="U216" s="239"/>
      <c r="V216" s="239"/>
      <c r="W216" s="239"/>
      <c r="X216" s="180"/>
      <c r="Y216" s="72"/>
      <c r="Z216" s="72"/>
      <c r="AA216" s="72"/>
      <c r="AB216" s="12">
        <v>4</v>
      </c>
      <c r="AC216" s="13" t="s">
        <v>277</v>
      </c>
      <c r="AD216" s="14">
        <v>0.15</v>
      </c>
      <c r="AE216" s="22">
        <v>43374</v>
      </c>
      <c r="AF216" s="22">
        <v>43465</v>
      </c>
      <c r="AG216" s="15" t="s">
        <v>375</v>
      </c>
      <c r="AI216" s="245"/>
      <c r="AJ216" s="245"/>
    </row>
    <row r="217" spans="2:43" ht="79.5" hidden="1" customHeight="1" thickBot="1" x14ac:dyDescent="0.3">
      <c r="B217" s="57" t="s">
        <v>388</v>
      </c>
      <c r="C217" s="58" t="s">
        <v>389</v>
      </c>
      <c r="D217" s="52" t="s">
        <v>23</v>
      </c>
      <c r="E217" s="229" t="s">
        <v>547</v>
      </c>
      <c r="F217" s="53" t="s">
        <v>271</v>
      </c>
      <c r="G217" s="785">
        <v>3</v>
      </c>
      <c r="H217" s="788" t="s">
        <v>281</v>
      </c>
      <c r="I217" s="755">
        <v>0.2</v>
      </c>
      <c r="J217" s="768">
        <v>100</v>
      </c>
      <c r="K217" s="755" t="s">
        <v>282</v>
      </c>
      <c r="L217" s="755" t="s">
        <v>376</v>
      </c>
      <c r="M217" s="783" t="s">
        <v>377</v>
      </c>
      <c r="N217" s="792">
        <v>0.25</v>
      </c>
      <c r="O217" s="795">
        <v>0.5</v>
      </c>
      <c r="P217" s="792">
        <v>0.75</v>
      </c>
      <c r="Q217" s="797">
        <v>1</v>
      </c>
      <c r="R217" s="230"/>
      <c r="S217" s="237"/>
      <c r="T217" s="237"/>
      <c r="U217" s="237"/>
      <c r="V217" s="237"/>
      <c r="W217" s="237"/>
      <c r="X217" s="170"/>
      <c r="Y217" s="63"/>
      <c r="Z217" s="63"/>
      <c r="AA217" s="63"/>
      <c r="AB217" s="12">
        <v>1</v>
      </c>
      <c r="AC217" s="45" t="s">
        <v>378</v>
      </c>
      <c r="AD217" s="46">
        <v>0.2</v>
      </c>
      <c r="AE217" s="47">
        <v>43132</v>
      </c>
      <c r="AF217" s="47">
        <v>43190</v>
      </c>
      <c r="AG217" s="48" t="s">
        <v>377</v>
      </c>
      <c r="AI217" s="245"/>
      <c r="AJ217" s="245"/>
    </row>
    <row r="218" spans="2:43" ht="62.25" hidden="1" customHeight="1" thickBot="1" x14ac:dyDescent="0.3">
      <c r="B218" s="57" t="s">
        <v>388</v>
      </c>
      <c r="C218" s="58" t="s">
        <v>389</v>
      </c>
      <c r="D218" s="52" t="s">
        <v>23</v>
      </c>
      <c r="E218" s="229" t="s">
        <v>547</v>
      </c>
      <c r="F218" s="53" t="s">
        <v>271</v>
      </c>
      <c r="G218" s="786"/>
      <c r="H218" s="789"/>
      <c r="I218" s="771"/>
      <c r="J218" s="770"/>
      <c r="K218" s="771"/>
      <c r="L218" s="771"/>
      <c r="M218" s="784"/>
      <c r="N218" s="793"/>
      <c r="O218" s="761"/>
      <c r="P218" s="793"/>
      <c r="Q218" s="798"/>
      <c r="R218" s="230"/>
      <c r="S218" s="237"/>
      <c r="T218" s="237"/>
      <c r="U218" s="237"/>
      <c r="V218" s="237"/>
      <c r="W218" s="237"/>
      <c r="X218" s="170"/>
      <c r="Y218" s="63"/>
      <c r="Z218" s="63"/>
      <c r="AA218" s="63"/>
      <c r="AB218" s="12">
        <v>2</v>
      </c>
      <c r="AC218" s="49" t="s">
        <v>379</v>
      </c>
      <c r="AD218" s="46">
        <v>0.2</v>
      </c>
      <c r="AE218" s="47">
        <v>43191</v>
      </c>
      <c r="AF218" s="47">
        <v>43281</v>
      </c>
      <c r="AG218" s="48" t="s">
        <v>377</v>
      </c>
      <c r="AH218" s="50"/>
      <c r="AI218" s="246"/>
      <c r="AJ218" s="245"/>
    </row>
    <row r="219" spans="2:43" ht="61.5" hidden="1" customHeight="1" thickBot="1" x14ac:dyDescent="0.3">
      <c r="B219" s="57" t="s">
        <v>388</v>
      </c>
      <c r="C219" s="58" t="s">
        <v>389</v>
      </c>
      <c r="D219" s="52" t="s">
        <v>23</v>
      </c>
      <c r="E219" s="229" t="s">
        <v>547</v>
      </c>
      <c r="F219" s="53" t="s">
        <v>271</v>
      </c>
      <c r="G219" s="786"/>
      <c r="H219" s="789"/>
      <c r="I219" s="771"/>
      <c r="J219" s="770"/>
      <c r="K219" s="771"/>
      <c r="L219" s="771"/>
      <c r="M219" s="784"/>
      <c r="N219" s="793"/>
      <c r="O219" s="761"/>
      <c r="P219" s="793"/>
      <c r="Q219" s="798"/>
      <c r="R219" s="230"/>
      <c r="S219" s="237"/>
      <c r="T219" s="237"/>
      <c r="U219" s="237"/>
      <c r="V219" s="237"/>
      <c r="W219" s="237"/>
      <c r="X219" s="170"/>
      <c r="Y219" s="63"/>
      <c r="Z219" s="63"/>
      <c r="AA219" s="63"/>
      <c r="AB219" s="12">
        <v>3</v>
      </c>
      <c r="AC219" s="45" t="s">
        <v>283</v>
      </c>
      <c r="AD219" s="46">
        <v>0.2</v>
      </c>
      <c r="AE219" s="47">
        <v>43282</v>
      </c>
      <c r="AF219" s="47">
        <v>43373</v>
      </c>
      <c r="AG219" s="48" t="s">
        <v>377</v>
      </c>
      <c r="AI219" s="245"/>
      <c r="AJ219" s="245"/>
    </row>
    <row r="220" spans="2:43" ht="61.5" hidden="1" customHeight="1" thickBot="1" x14ac:dyDescent="0.3">
      <c r="B220" s="57" t="s">
        <v>388</v>
      </c>
      <c r="C220" s="58" t="s">
        <v>389</v>
      </c>
      <c r="D220" s="52" t="s">
        <v>23</v>
      </c>
      <c r="E220" s="229" t="s">
        <v>547</v>
      </c>
      <c r="F220" s="53" t="s">
        <v>271</v>
      </c>
      <c r="G220" s="787"/>
      <c r="H220" s="790"/>
      <c r="I220" s="756"/>
      <c r="J220" s="769"/>
      <c r="K220" s="756"/>
      <c r="L220" s="756"/>
      <c r="M220" s="791"/>
      <c r="N220" s="794"/>
      <c r="O220" s="796"/>
      <c r="P220" s="794"/>
      <c r="Q220" s="799"/>
      <c r="R220" s="230"/>
      <c r="S220" s="237"/>
      <c r="T220" s="237"/>
      <c r="U220" s="237"/>
      <c r="V220" s="237"/>
      <c r="W220" s="237"/>
      <c r="X220" s="171"/>
      <c r="Y220" s="64"/>
      <c r="Z220" s="64"/>
      <c r="AA220" s="64"/>
      <c r="AB220" s="12">
        <v>4</v>
      </c>
      <c r="AC220" s="45" t="s">
        <v>380</v>
      </c>
      <c r="AD220" s="46">
        <v>0.4</v>
      </c>
      <c r="AE220" s="47">
        <v>43374</v>
      </c>
      <c r="AF220" s="47">
        <v>43465</v>
      </c>
      <c r="AG220" s="48" t="s">
        <v>377</v>
      </c>
      <c r="AI220" s="245"/>
      <c r="AJ220" s="245"/>
    </row>
    <row r="221" spans="2:43" ht="79.5" hidden="1" customHeight="1" thickBot="1" x14ac:dyDescent="0.3">
      <c r="B221" s="57" t="s">
        <v>391</v>
      </c>
      <c r="C221" s="57" t="s">
        <v>396</v>
      </c>
      <c r="D221" s="52" t="s">
        <v>23</v>
      </c>
      <c r="E221" s="229" t="s">
        <v>547</v>
      </c>
      <c r="F221" s="53" t="s">
        <v>271</v>
      </c>
      <c r="G221" s="785">
        <v>4</v>
      </c>
      <c r="H221" s="788" t="s">
        <v>381</v>
      </c>
      <c r="I221" s="755">
        <v>0.2</v>
      </c>
      <c r="J221" s="768">
        <v>100</v>
      </c>
      <c r="K221" s="755" t="s">
        <v>284</v>
      </c>
      <c r="L221" s="755" t="s">
        <v>285</v>
      </c>
      <c r="M221" s="783" t="s">
        <v>377</v>
      </c>
      <c r="N221" s="775">
        <v>0.25</v>
      </c>
      <c r="O221" s="775">
        <v>0.5</v>
      </c>
      <c r="P221" s="775">
        <v>0.75</v>
      </c>
      <c r="Q221" s="777">
        <v>1</v>
      </c>
      <c r="R221" s="232"/>
      <c r="S221" s="238"/>
      <c r="T221" s="238"/>
      <c r="U221" s="238"/>
      <c r="V221" s="238"/>
      <c r="W221" s="238"/>
      <c r="X221" s="175"/>
      <c r="Y221" s="67"/>
      <c r="Z221" s="67"/>
      <c r="AA221" s="67"/>
      <c r="AB221" s="12">
        <v>1</v>
      </c>
      <c r="AC221" s="218" t="s">
        <v>382</v>
      </c>
      <c r="AD221" s="46">
        <v>0.25</v>
      </c>
      <c r="AE221" s="47">
        <v>43132</v>
      </c>
      <c r="AF221" s="47">
        <v>43190</v>
      </c>
      <c r="AG221" s="48" t="s">
        <v>377</v>
      </c>
      <c r="AI221" s="245"/>
      <c r="AJ221" s="245"/>
    </row>
    <row r="222" spans="2:43" ht="63.75" hidden="1" thickBot="1" x14ac:dyDescent="0.3">
      <c r="B222" s="57" t="s">
        <v>391</v>
      </c>
      <c r="C222" s="57" t="s">
        <v>396</v>
      </c>
      <c r="D222" s="52" t="s">
        <v>23</v>
      </c>
      <c r="E222" s="229" t="s">
        <v>547</v>
      </c>
      <c r="F222" s="53" t="s">
        <v>271</v>
      </c>
      <c r="G222" s="786"/>
      <c r="H222" s="789"/>
      <c r="I222" s="771"/>
      <c r="J222" s="770"/>
      <c r="K222" s="771"/>
      <c r="L222" s="771"/>
      <c r="M222" s="784"/>
      <c r="N222" s="776"/>
      <c r="O222" s="776"/>
      <c r="P222" s="776"/>
      <c r="Q222" s="778"/>
      <c r="R222" s="232"/>
      <c r="S222" s="238"/>
      <c r="T222" s="238"/>
      <c r="U222" s="238"/>
      <c r="V222" s="238"/>
      <c r="W222" s="238"/>
      <c r="X222" s="175"/>
      <c r="Y222" s="67"/>
      <c r="Z222" s="67"/>
      <c r="AA222" s="67"/>
      <c r="AB222" s="12">
        <v>2</v>
      </c>
      <c r="AC222" s="218" t="s">
        <v>286</v>
      </c>
      <c r="AD222" s="46">
        <v>0.25</v>
      </c>
      <c r="AE222" s="47">
        <v>43191</v>
      </c>
      <c r="AF222" s="47">
        <v>43281</v>
      </c>
      <c r="AG222" s="48" t="s">
        <v>377</v>
      </c>
      <c r="AI222" s="245"/>
      <c r="AJ222" s="245"/>
    </row>
    <row r="223" spans="2:43" ht="63.75" hidden="1" thickBot="1" x14ac:dyDescent="0.3">
      <c r="B223" s="57" t="s">
        <v>391</v>
      </c>
      <c r="C223" s="57" t="s">
        <v>396</v>
      </c>
      <c r="D223" s="52" t="s">
        <v>23</v>
      </c>
      <c r="E223" s="229" t="s">
        <v>547</v>
      </c>
      <c r="F223" s="53" t="s">
        <v>271</v>
      </c>
      <c r="G223" s="786"/>
      <c r="H223" s="789"/>
      <c r="I223" s="771"/>
      <c r="J223" s="770"/>
      <c r="K223" s="771"/>
      <c r="L223" s="771"/>
      <c r="M223" s="784"/>
      <c r="N223" s="776"/>
      <c r="O223" s="776"/>
      <c r="P223" s="776"/>
      <c r="Q223" s="778"/>
      <c r="R223" s="232"/>
      <c r="S223" s="238"/>
      <c r="T223" s="238"/>
      <c r="U223" s="238"/>
      <c r="V223" s="238"/>
      <c r="W223" s="238"/>
      <c r="X223" s="175"/>
      <c r="Y223" s="67"/>
      <c r="Z223" s="67"/>
      <c r="AA223" s="67"/>
      <c r="AB223" s="12">
        <v>3</v>
      </c>
      <c r="AC223" s="219" t="s">
        <v>383</v>
      </c>
      <c r="AD223" s="46">
        <v>0.25</v>
      </c>
      <c r="AE223" s="47">
        <v>43282</v>
      </c>
      <c r="AF223" s="47">
        <v>43373</v>
      </c>
      <c r="AG223" s="48" t="s">
        <v>377</v>
      </c>
      <c r="AI223" s="245"/>
      <c r="AJ223" s="245"/>
    </row>
    <row r="224" spans="2:43" ht="63.75" hidden="1" thickBot="1" x14ac:dyDescent="0.3">
      <c r="B224" s="57" t="s">
        <v>391</v>
      </c>
      <c r="C224" s="57" t="s">
        <v>396</v>
      </c>
      <c r="D224" s="52" t="s">
        <v>23</v>
      </c>
      <c r="E224" s="229" t="s">
        <v>547</v>
      </c>
      <c r="F224" s="53" t="s">
        <v>271</v>
      </c>
      <c r="G224" s="787"/>
      <c r="H224" s="790"/>
      <c r="I224" s="756"/>
      <c r="J224" s="769"/>
      <c r="K224" s="756"/>
      <c r="L224" s="756"/>
      <c r="M224" s="784"/>
      <c r="N224" s="776"/>
      <c r="O224" s="776"/>
      <c r="P224" s="776"/>
      <c r="Q224" s="778"/>
      <c r="R224" s="232"/>
      <c r="S224" s="238"/>
      <c r="T224" s="238"/>
      <c r="U224" s="238"/>
      <c r="V224" s="238"/>
      <c r="W224" s="238"/>
      <c r="X224" s="175"/>
      <c r="Y224" s="67"/>
      <c r="Z224" s="67"/>
      <c r="AA224" s="67"/>
      <c r="AB224" s="12">
        <v>4</v>
      </c>
      <c r="AC224" s="219" t="s">
        <v>287</v>
      </c>
      <c r="AD224" s="46">
        <v>0.25</v>
      </c>
      <c r="AE224" s="47">
        <v>43374</v>
      </c>
      <c r="AF224" s="47">
        <v>43465</v>
      </c>
      <c r="AG224" s="48" t="s">
        <v>377</v>
      </c>
      <c r="AI224" s="245"/>
      <c r="AJ224" s="245"/>
    </row>
    <row r="225" spans="2:36" ht="79.5" hidden="1" customHeight="1" thickBot="1" x14ac:dyDescent="0.3">
      <c r="B225" s="57" t="s">
        <v>388</v>
      </c>
      <c r="C225" s="58" t="s">
        <v>389</v>
      </c>
      <c r="D225" s="52" t="s">
        <v>23</v>
      </c>
      <c r="E225" s="229" t="s">
        <v>547</v>
      </c>
      <c r="F225" s="53" t="s">
        <v>271</v>
      </c>
      <c r="G225" s="779">
        <v>5</v>
      </c>
      <c r="H225" s="766" t="s">
        <v>384</v>
      </c>
      <c r="I225" s="755">
        <v>0.2</v>
      </c>
      <c r="J225" s="768">
        <v>100</v>
      </c>
      <c r="K225" s="755" t="s">
        <v>284</v>
      </c>
      <c r="L225" s="755" t="s">
        <v>285</v>
      </c>
      <c r="M225" s="772" t="s">
        <v>377</v>
      </c>
      <c r="N225" s="773">
        <v>0.25</v>
      </c>
      <c r="O225" s="773">
        <v>0.5</v>
      </c>
      <c r="P225" s="773">
        <v>0.75</v>
      </c>
      <c r="Q225" s="774">
        <v>1</v>
      </c>
      <c r="R225" s="232"/>
      <c r="S225" s="238"/>
      <c r="T225" s="238"/>
      <c r="U225" s="238"/>
      <c r="V225" s="238"/>
      <c r="W225" s="238"/>
      <c r="X225" s="75"/>
      <c r="Y225" s="75"/>
      <c r="Z225" s="75"/>
      <c r="AA225" s="75"/>
      <c r="AB225" s="12">
        <v>1</v>
      </c>
      <c r="AC225" s="27" t="s">
        <v>288</v>
      </c>
      <c r="AD225" s="46">
        <v>0.5</v>
      </c>
      <c r="AE225" s="47">
        <v>43133</v>
      </c>
      <c r="AF225" s="47" t="s">
        <v>289</v>
      </c>
      <c r="AG225" s="48" t="s">
        <v>377</v>
      </c>
      <c r="AI225" s="245"/>
      <c r="AJ225" s="245"/>
    </row>
    <row r="226" spans="2:36" ht="63.75" hidden="1" thickBot="1" x14ac:dyDescent="0.3">
      <c r="B226" s="57" t="s">
        <v>388</v>
      </c>
      <c r="C226" s="58" t="s">
        <v>389</v>
      </c>
      <c r="D226" s="52" t="s">
        <v>23</v>
      </c>
      <c r="E226" s="229" t="s">
        <v>547</v>
      </c>
      <c r="F226" s="53" t="s">
        <v>271</v>
      </c>
      <c r="G226" s="780"/>
      <c r="H226" s="782"/>
      <c r="I226" s="771"/>
      <c r="J226" s="770"/>
      <c r="K226" s="771"/>
      <c r="L226" s="771"/>
      <c r="M226" s="772"/>
      <c r="N226" s="773"/>
      <c r="O226" s="773"/>
      <c r="P226" s="773"/>
      <c r="Q226" s="774"/>
      <c r="R226" s="232"/>
      <c r="S226" s="238"/>
      <c r="T226" s="238"/>
      <c r="U226" s="238"/>
      <c r="V226" s="238"/>
      <c r="W226" s="238"/>
      <c r="X226" s="75"/>
      <c r="Y226" s="75"/>
      <c r="Z226" s="75"/>
      <c r="AA226" s="75"/>
      <c r="AB226" s="12">
        <v>2</v>
      </c>
      <c r="AC226" s="51" t="s">
        <v>290</v>
      </c>
      <c r="AD226" s="46">
        <v>0.3</v>
      </c>
      <c r="AE226" s="47">
        <v>43282</v>
      </c>
      <c r="AF226" s="47" t="s">
        <v>291</v>
      </c>
      <c r="AG226" s="48" t="s">
        <v>377</v>
      </c>
      <c r="AI226" s="245"/>
      <c r="AJ226" s="245"/>
    </row>
    <row r="227" spans="2:36" ht="63.75" hidden="1" thickBot="1" x14ac:dyDescent="0.3">
      <c r="B227" s="57" t="s">
        <v>388</v>
      </c>
      <c r="C227" s="58" t="s">
        <v>389</v>
      </c>
      <c r="D227" s="55" t="s">
        <v>23</v>
      </c>
      <c r="E227" s="229" t="s">
        <v>547</v>
      </c>
      <c r="F227" s="56" t="s">
        <v>271</v>
      </c>
      <c r="G227" s="781"/>
      <c r="H227" s="767"/>
      <c r="I227" s="756"/>
      <c r="J227" s="769"/>
      <c r="K227" s="756"/>
      <c r="L227" s="756"/>
      <c r="M227" s="772"/>
      <c r="N227" s="773"/>
      <c r="O227" s="773"/>
      <c r="P227" s="773"/>
      <c r="Q227" s="774"/>
      <c r="R227" s="232"/>
      <c r="S227" s="238"/>
      <c r="T227" s="238"/>
      <c r="U227" s="238"/>
      <c r="V227" s="238"/>
      <c r="W227" s="238"/>
      <c r="X227" s="75"/>
      <c r="Y227" s="75"/>
      <c r="Z227" s="75"/>
      <c r="AA227" s="75"/>
      <c r="AB227" s="12">
        <v>3</v>
      </c>
      <c r="AC227" s="51" t="s">
        <v>385</v>
      </c>
      <c r="AD227" s="46">
        <v>0.2</v>
      </c>
      <c r="AE227" s="47">
        <v>43110</v>
      </c>
      <c r="AF227" s="47" t="s">
        <v>292</v>
      </c>
      <c r="AG227" s="48" t="s">
        <v>377</v>
      </c>
      <c r="AI227" s="245"/>
      <c r="AJ227" s="245"/>
    </row>
    <row r="228" spans="2:36" ht="15.75" thickBot="1" x14ac:dyDescent="0.3"/>
    <row r="229" spans="2:36" ht="63.75" thickBot="1" x14ac:dyDescent="0.3">
      <c r="B229" s="258" t="s">
        <v>391</v>
      </c>
      <c r="C229" s="259" t="s">
        <v>529</v>
      </c>
      <c r="D229" s="260" t="s">
        <v>23</v>
      </c>
      <c r="E229" s="261" t="s">
        <v>548</v>
      </c>
      <c r="F229" s="262" t="s">
        <v>531</v>
      </c>
      <c r="G229" s="1020" t="s">
        <v>578</v>
      </c>
      <c r="H229" s="1021"/>
      <c r="I229" s="1021"/>
      <c r="J229" s="1021"/>
      <c r="K229" s="1021"/>
      <c r="L229" s="1021"/>
      <c r="M229" s="1021"/>
      <c r="N229" s="1021"/>
      <c r="O229" s="1021"/>
      <c r="P229" s="1021"/>
      <c r="Q229" s="1021"/>
      <c r="R229" s="1021"/>
      <c r="S229" s="1021"/>
      <c r="T229" s="1021"/>
      <c r="U229" s="1021"/>
      <c r="V229" s="1021"/>
      <c r="W229" s="1022"/>
      <c r="AB229" s="227">
        <v>1</v>
      </c>
      <c r="AC229" s="223" t="s">
        <v>530</v>
      </c>
      <c r="AD229" s="46">
        <v>0.2</v>
      </c>
      <c r="AE229" s="47">
        <v>43252</v>
      </c>
      <c r="AF229" s="47">
        <v>43465</v>
      </c>
      <c r="AG229" s="59" t="s">
        <v>528</v>
      </c>
      <c r="AI229" s="245"/>
      <c r="AJ229" s="245"/>
    </row>
    <row r="232" spans="2:36" x14ac:dyDescent="0.25">
      <c r="F232" s="228"/>
    </row>
    <row r="233" spans="2:36" x14ac:dyDescent="0.25">
      <c r="E233" s="228"/>
    </row>
  </sheetData>
  <autoFilter ref="B8:AQ227">
    <filterColumn colId="4">
      <filters>
        <filter val="8. Subdirección de Gestión Corporativa"/>
      </filters>
    </filterColumn>
  </autoFilter>
  <mergeCells count="897">
    <mergeCell ref="G229:W229"/>
    <mergeCell ref="Q138:Q139"/>
    <mergeCell ref="Q140:Q142"/>
    <mergeCell ref="Q143:Q148"/>
    <mergeCell ref="Q111:Q113"/>
    <mergeCell ref="Q114:Q116"/>
    <mergeCell ref="Q117:Q119"/>
    <mergeCell ref="Q120:Q122"/>
    <mergeCell ref="Q123:Q125"/>
    <mergeCell ref="Q129:Q130"/>
    <mergeCell ref="Q131:Q134"/>
    <mergeCell ref="G143:G148"/>
    <mergeCell ref="H143:H148"/>
    <mergeCell ref="I143:I148"/>
    <mergeCell ref="J143:J148"/>
    <mergeCell ref="K143:K148"/>
    <mergeCell ref="L143:L148"/>
    <mergeCell ref="M143:M148"/>
    <mergeCell ref="N143:N148"/>
    <mergeCell ref="G140:G142"/>
    <mergeCell ref="H140:H142"/>
    <mergeCell ref="I140:I142"/>
    <mergeCell ref="J140:J142"/>
    <mergeCell ref="K140:K142"/>
    <mergeCell ref="G135:G137"/>
    <mergeCell ref="H135:H137"/>
    <mergeCell ref="G138:G139"/>
    <mergeCell ref="H138:H139"/>
    <mergeCell ref="I138:I139"/>
    <mergeCell ref="J138:J139"/>
    <mergeCell ref="K138:K139"/>
    <mergeCell ref="L138:L139"/>
    <mergeCell ref="M138:M139"/>
    <mergeCell ref="G120:G122"/>
    <mergeCell ref="H120:H122"/>
    <mergeCell ref="I120:I122"/>
    <mergeCell ref="J120:J122"/>
    <mergeCell ref="K120:K122"/>
    <mergeCell ref="P138:P139"/>
    <mergeCell ref="G131:G134"/>
    <mergeCell ref="H131:H134"/>
    <mergeCell ref="I131:I134"/>
    <mergeCell ref="J131:J134"/>
    <mergeCell ref="K131:K134"/>
    <mergeCell ref="G129:G130"/>
    <mergeCell ref="H129:H130"/>
    <mergeCell ref="I129:I130"/>
    <mergeCell ref="J129:J130"/>
    <mergeCell ref="K129:K130"/>
    <mergeCell ref="L129:L130"/>
    <mergeCell ref="M129:M130"/>
    <mergeCell ref="N129:N130"/>
    <mergeCell ref="O129:O130"/>
    <mergeCell ref="P129:P130"/>
    <mergeCell ref="J135:J137"/>
    <mergeCell ref="K135:K137"/>
    <mergeCell ref="L135:L137"/>
    <mergeCell ref="G117:G119"/>
    <mergeCell ref="H117:H119"/>
    <mergeCell ref="I117:I119"/>
    <mergeCell ref="J117:J119"/>
    <mergeCell ref="K117:K119"/>
    <mergeCell ref="G114:G116"/>
    <mergeCell ref="H114:H116"/>
    <mergeCell ref="I114:I116"/>
    <mergeCell ref="J114:J116"/>
    <mergeCell ref="K114:K116"/>
    <mergeCell ref="L114:L116"/>
    <mergeCell ref="M114:M116"/>
    <mergeCell ref="N114:N116"/>
    <mergeCell ref="O114:O116"/>
    <mergeCell ref="P114:P116"/>
    <mergeCell ref="G111:G113"/>
    <mergeCell ref="H111:H113"/>
    <mergeCell ref="I111:I113"/>
    <mergeCell ref="J111:J113"/>
    <mergeCell ref="K111:K113"/>
    <mergeCell ref="L111:L113"/>
    <mergeCell ref="M111:M113"/>
    <mergeCell ref="N111:N113"/>
    <mergeCell ref="O111:O113"/>
    <mergeCell ref="P111:P113"/>
    <mergeCell ref="S47:S51"/>
    <mergeCell ref="T47:T51"/>
    <mergeCell ref="U47:U51"/>
    <mergeCell ref="V47:V51"/>
    <mergeCell ref="W47:W51"/>
    <mergeCell ref="S12:S14"/>
    <mergeCell ref="T12:T14"/>
    <mergeCell ref="U12:U14"/>
    <mergeCell ref="V12:V14"/>
    <mergeCell ref="W12:W14"/>
    <mergeCell ref="S41:S42"/>
    <mergeCell ref="T41:T42"/>
    <mergeCell ref="U41:U42"/>
    <mergeCell ref="V41:V42"/>
    <mergeCell ref="W41:W42"/>
    <mergeCell ref="S43:S45"/>
    <mergeCell ref="T43:T45"/>
    <mergeCell ref="U43:U45"/>
    <mergeCell ref="V43:V45"/>
    <mergeCell ref="W43:W45"/>
    <mergeCell ref="S37:S38"/>
    <mergeCell ref="T37:T38"/>
    <mergeCell ref="U37:U38"/>
    <mergeCell ref="V37:V38"/>
    <mergeCell ref="W37:W38"/>
    <mergeCell ref="S39:S40"/>
    <mergeCell ref="T39:T40"/>
    <mergeCell ref="U39:U40"/>
    <mergeCell ref="V39:V40"/>
    <mergeCell ref="W39:W40"/>
    <mergeCell ref="S30:S32"/>
    <mergeCell ref="T30:T32"/>
    <mergeCell ref="U30:U32"/>
    <mergeCell ref="V30:V32"/>
    <mergeCell ref="W30:W32"/>
    <mergeCell ref="S33:S34"/>
    <mergeCell ref="T33:T34"/>
    <mergeCell ref="U33:U34"/>
    <mergeCell ref="V33:V34"/>
    <mergeCell ref="W33:W34"/>
    <mergeCell ref="AE9:AE11"/>
    <mergeCell ref="AF9:AF11"/>
    <mergeCell ref="AG9:AG11"/>
    <mergeCell ref="I9:I11"/>
    <mergeCell ref="J9:J11"/>
    <mergeCell ref="K9:K11"/>
    <mergeCell ref="L9:L11"/>
    <mergeCell ref="M9:M11"/>
    <mergeCell ref="N9:N11"/>
    <mergeCell ref="S9:S11"/>
    <mergeCell ref="T9:T11"/>
    <mergeCell ref="X9:X11"/>
    <mergeCell ref="Z9:Z11"/>
    <mergeCell ref="AA9:AA11"/>
    <mergeCell ref="U9:U11"/>
    <mergeCell ref="V9:V11"/>
    <mergeCell ref="Y9:Y11"/>
    <mergeCell ref="P9:P11"/>
    <mergeCell ref="Q9:Q11"/>
    <mergeCell ref="G7:M7"/>
    <mergeCell ref="N7:Q7"/>
    <mergeCell ref="AB7:AG7"/>
    <mergeCell ref="G9:G11"/>
    <mergeCell ref="H9:H11"/>
    <mergeCell ref="G15:G18"/>
    <mergeCell ref="H15:H18"/>
    <mergeCell ref="J12:J14"/>
    <mergeCell ref="K12:K14"/>
    <mergeCell ref="L12:L14"/>
    <mergeCell ref="M12:M14"/>
    <mergeCell ref="N12:N14"/>
    <mergeCell ref="O12:O14"/>
    <mergeCell ref="G12:G14"/>
    <mergeCell ref="H12:H14"/>
    <mergeCell ref="I12:I14"/>
    <mergeCell ref="O15:O18"/>
    <mergeCell ref="P15:P18"/>
    <mergeCell ref="Q15:Q18"/>
    <mergeCell ref="AE15:AE18"/>
    <mergeCell ref="AF15:AF18"/>
    <mergeCell ref="AG15:AG17"/>
    <mergeCell ref="I15:I18"/>
    <mergeCell ref="O9:O11"/>
    <mergeCell ref="J15:J18"/>
    <mergeCell ref="K15:K18"/>
    <mergeCell ref="L15:L18"/>
    <mergeCell ref="M15:M18"/>
    <mergeCell ref="N15:N18"/>
    <mergeCell ref="P12:P14"/>
    <mergeCell ref="Q12:Q14"/>
    <mergeCell ref="AE12:AE14"/>
    <mergeCell ref="AF12:AF14"/>
    <mergeCell ref="S15:S18"/>
    <mergeCell ref="T15:T18"/>
    <mergeCell ref="U15:U18"/>
    <mergeCell ref="V15:V18"/>
    <mergeCell ref="W15:W18"/>
    <mergeCell ref="AG12:AG14"/>
    <mergeCell ref="G22:G24"/>
    <mergeCell ref="H22:H24"/>
    <mergeCell ref="J19:J21"/>
    <mergeCell ref="K19:K21"/>
    <mergeCell ref="L19:L21"/>
    <mergeCell ref="M19:M21"/>
    <mergeCell ref="N19:N21"/>
    <mergeCell ref="O19:O21"/>
    <mergeCell ref="G19:G21"/>
    <mergeCell ref="H19:H21"/>
    <mergeCell ref="I19:I21"/>
    <mergeCell ref="O22:O24"/>
    <mergeCell ref="P22:P24"/>
    <mergeCell ref="Q22:Q24"/>
    <mergeCell ref="AE22:AE24"/>
    <mergeCell ref="AF22:AF24"/>
    <mergeCell ref="AG22:AG24"/>
    <mergeCell ref="I22:I24"/>
    <mergeCell ref="J22:J24"/>
    <mergeCell ref="K22:K24"/>
    <mergeCell ref="L22:L24"/>
    <mergeCell ref="M22:M24"/>
    <mergeCell ref="N22:N24"/>
    <mergeCell ref="AG19:AG21"/>
    <mergeCell ref="L28:L29"/>
    <mergeCell ref="M28:M29"/>
    <mergeCell ref="N28:N29"/>
    <mergeCell ref="O28:O29"/>
    <mergeCell ref="P28:P29"/>
    <mergeCell ref="Q28:Q29"/>
    <mergeCell ref="P26:P27"/>
    <mergeCell ref="Q26:Q27"/>
    <mergeCell ref="N26:N27"/>
    <mergeCell ref="O26:O27"/>
    <mergeCell ref="R26:R27"/>
    <mergeCell ref="S26:S27"/>
    <mergeCell ref="T26:T27"/>
    <mergeCell ref="X26:X27"/>
    <mergeCell ref="P19:P21"/>
    <mergeCell ref="Q19:Q21"/>
    <mergeCell ref="U26:U27"/>
    <mergeCell ref="V26:V27"/>
    <mergeCell ref="W26:W27"/>
    <mergeCell ref="J26:J27"/>
    <mergeCell ref="K26:K27"/>
    <mergeCell ref="L26:L27"/>
    <mergeCell ref="M26:M27"/>
    <mergeCell ref="G26:G27"/>
    <mergeCell ref="H26:H27"/>
    <mergeCell ref="I26:I27"/>
    <mergeCell ref="AE19:AE21"/>
    <mergeCell ref="AF19:AF21"/>
    <mergeCell ref="S19:S21"/>
    <mergeCell ref="T19:T21"/>
    <mergeCell ref="U19:U21"/>
    <mergeCell ref="V19:V21"/>
    <mergeCell ref="W19:W21"/>
    <mergeCell ref="S22:S24"/>
    <mergeCell ref="T22:T24"/>
    <mergeCell ref="U22:U24"/>
    <mergeCell ref="V22:V24"/>
    <mergeCell ref="W22:W24"/>
    <mergeCell ref="L30:L32"/>
    <mergeCell ref="M30:M32"/>
    <mergeCell ref="N30:N32"/>
    <mergeCell ref="O30:O32"/>
    <mergeCell ref="G30:G32"/>
    <mergeCell ref="H30:H32"/>
    <mergeCell ref="I30:I32"/>
    <mergeCell ref="G28:G29"/>
    <mergeCell ref="H28:H29"/>
    <mergeCell ref="I28:I29"/>
    <mergeCell ref="J28:J29"/>
    <mergeCell ref="K28:K29"/>
    <mergeCell ref="L37:L38"/>
    <mergeCell ref="M37:M38"/>
    <mergeCell ref="N37:N38"/>
    <mergeCell ref="O37:O38"/>
    <mergeCell ref="P37:P38"/>
    <mergeCell ref="Q37:Q38"/>
    <mergeCell ref="P35:P36"/>
    <mergeCell ref="Q35:Q36"/>
    <mergeCell ref="G37:G38"/>
    <mergeCell ref="H37:H38"/>
    <mergeCell ref="I37:I38"/>
    <mergeCell ref="J37:J38"/>
    <mergeCell ref="K37:K38"/>
    <mergeCell ref="J35:J36"/>
    <mergeCell ref="K35:K36"/>
    <mergeCell ref="L35:L36"/>
    <mergeCell ref="M35:M36"/>
    <mergeCell ref="N35:N36"/>
    <mergeCell ref="O35:O36"/>
    <mergeCell ref="G35:G36"/>
    <mergeCell ref="H35:H36"/>
    <mergeCell ref="I35:I36"/>
    <mergeCell ref="L41:L42"/>
    <mergeCell ref="M41:M42"/>
    <mergeCell ref="N41:N42"/>
    <mergeCell ref="O41:O42"/>
    <mergeCell ref="P41:P42"/>
    <mergeCell ref="Q41:Q42"/>
    <mergeCell ref="P39:P40"/>
    <mergeCell ref="Q39:Q40"/>
    <mergeCell ref="G41:G42"/>
    <mergeCell ref="H41:H42"/>
    <mergeCell ref="I41:I42"/>
    <mergeCell ref="J41:J42"/>
    <mergeCell ref="K41:K42"/>
    <mergeCell ref="J39:J40"/>
    <mergeCell ref="K39:K40"/>
    <mergeCell ref="L39:L40"/>
    <mergeCell ref="M39:M40"/>
    <mergeCell ref="N39:N40"/>
    <mergeCell ref="O39:O40"/>
    <mergeCell ref="G39:G40"/>
    <mergeCell ref="H39:H40"/>
    <mergeCell ref="I39:I40"/>
    <mergeCell ref="L46:L51"/>
    <mergeCell ref="M46:M51"/>
    <mergeCell ref="N46:N51"/>
    <mergeCell ref="O46:O51"/>
    <mergeCell ref="P46:P51"/>
    <mergeCell ref="Q46:Q51"/>
    <mergeCell ref="P43:P45"/>
    <mergeCell ref="Q43:Q45"/>
    <mergeCell ref="G46:G51"/>
    <mergeCell ref="H46:H51"/>
    <mergeCell ref="I46:I51"/>
    <mergeCell ref="J46:J51"/>
    <mergeCell ref="K46:K51"/>
    <mergeCell ref="J43:J45"/>
    <mergeCell ref="K43:K45"/>
    <mergeCell ref="L43:L45"/>
    <mergeCell ref="M43:M45"/>
    <mergeCell ref="N43:N45"/>
    <mergeCell ref="O43:O45"/>
    <mergeCell ref="G43:G45"/>
    <mergeCell ref="H43:H45"/>
    <mergeCell ref="I43:I45"/>
    <mergeCell ref="L54:L55"/>
    <mergeCell ref="M54:M55"/>
    <mergeCell ref="N54:N55"/>
    <mergeCell ref="O54:O55"/>
    <mergeCell ref="P54:P55"/>
    <mergeCell ref="Q54:Q55"/>
    <mergeCell ref="P52:P53"/>
    <mergeCell ref="Q52:Q53"/>
    <mergeCell ref="G54:G55"/>
    <mergeCell ref="H54:H55"/>
    <mergeCell ref="I54:I55"/>
    <mergeCell ref="J54:J55"/>
    <mergeCell ref="K54:K55"/>
    <mergeCell ref="J52:J53"/>
    <mergeCell ref="K52:K53"/>
    <mergeCell ref="L52:L53"/>
    <mergeCell ref="M52:M53"/>
    <mergeCell ref="N52:N53"/>
    <mergeCell ref="O52:O53"/>
    <mergeCell ref="G52:G53"/>
    <mergeCell ref="H52:H53"/>
    <mergeCell ref="I52:I53"/>
    <mergeCell ref="L59:L61"/>
    <mergeCell ref="M59:M61"/>
    <mergeCell ref="N59:N61"/>
    <mergeCell ref="O59:O61"/>
    <mergeCell ref="P59:P61"/>
    <mergeCell ref="Q59:Q61"/>
    <mergeCell ref="P56:P58"/>
    <mergeCell ref="Q56:Q58"/>
    <mergeCell ref="G59:G61"/>
    <mergeCell ref="H59:H61"/>
    <mergeCell ref="I59:I61"/>
    <mergeCell ref="J59:J61"/>
    <mergeCell ref="K59:K61"/>
    <mergeCell ref="J56:J58"/>
    <mergeCell ref="K56:K58"/>
    <mergeCell ref="L56:L58"/>
    <mergeCell ref="M56:M58"/>
    <mergeCell ref="N56:N58"/>
    <mergeCell ref="O56:O58"/>
    <mergeCell ref="G56:G58"/>
    <mergeCell ref="H56:H58"/>
    <mergeCell ref="I56:I58"/>
    <mergeCell ref="L64:L65"/>
    <mergeCell ref="M64:M65"/>
    <mergeCell ref="N64:N65"/>
    <mergeCell ref="O64:O65"/>
    <mergeCell ref="P64:P65"/>
    <mergeCell ref="Q64:Q65"/>
    <mergeCell ref="P62:P63"/>
    <mergeCell ref="Q62:Q63"/>
    <mergeCell ref="G64:G65"/>
    <mergeCell ref="H64:H65"/>
    <mergeCell ref="I64:I65"/>
    <mergeCell ref="J64:J65"/>
    <mergeCell ref="K64:K65"/>
    <mergeCell ref="J62:J63"/>
    <mergeCell ref="K62:K63"/>
    <mergeCell ref="L62:L63"/>
    <mergeCell ref="M62:M63"/>
    <mergeCell ref="N62:N63"/>
    <mergeCell ref="O62:O63"/>
    <mergeCell ref="G62:G63"/>
    <mergeCell ref="H62:H63"/>
    <mergeCell ref="I62:I63"/>
    <mergeCell ref="L68:L69"/>
    <mergeCell ref="M68:M69"/>
    <mergeCell ref="N68:N69"/>
    <mergeCell ref="O68:O69"/>
    <mergeCell ref="P68:P69"/>
    <mergeCell ref="Q68:Q69"/>
    <mergeCell ref="P66:P67"/>
    <mergeCell ref="Q66:Q67"/>
    <mergeCell ref="G68:G69"/>
    <mergeCell ref="H68:H69"/>
    <mergeCell ref="I68:I69"/>
    <mergeCell ref="J68:J69"/>
    <mergeCell ref="K68:K69"/>
    <mergeCell ref="J66:J67"/>
    <mergeCell ref="K66:K67"/>
    <mergeCell ref="L66:L67"/>
    <mergeCell ref="M66:M67"/>
    <mergeCell ref="N66:N67"/>
    <mergeCell ref="O66:O67"/>
    <mergeCell ref="G66:G67"/>
    <mergeCell ref="H66:H67"/>
    <mergeCell ref="I66:I67"/>
    <mergeCell ref="L73:L75"/>
    <mergeCell ref="M73:M75"/>
    <mergeCell ref="N73:N75"/>
    <mergeCell ref="O73:O75"/>
    <mergeCell ref="P73:P75"/>
    <mergeCell ref="Q73:Q75"/>
    <mergeCell ref="P70:P72"/>
    <mergeCell ref="Q70:Q72"/>
    <mergeCell ref="G73:G75"/>
    <mergeCell ref="H73:H75"/>
    <mergeCell ref="I73:I75"/>
    <mergeCell ref="J73:J75"/>
    <mergeCell ref="K73:K75"/>
    <mergeCell ref="J70:J72"/>
    <mergeCell ref="K70:K72"/>
    <mergeCell ref="L70:L72"/>
    <mergeCell ref="M70:M72"/>
    <mergeCell ref="N70:N72"/>
    <mergeCell ref="O70:O72"/>
    <mergeCell ref="G70:G72"/>
    <mergeCell ref="H70:H72"/>
    <mergeCell ref="I70:I72"/>
    <mergeCell ref="L79:L81"/>
    <mergeCell ref="M79:M81"/>
    <mergeCell ref="N79:N81"/>
    <mergeCell ref="O79:O81"/>
    <mergeCell ref="P79:P81"/>
    <mergeCell ref="Q79:Q81"/>
    <mergeCell ref="P76:P78"/>
    <mergeCell ref="Q76:Q78"/>
    <mergeCell ref="G79:G81"/>
    <mergeCell ref="H79:H81"/>
    <mergeCell ref="I79:I81"/>
    <mergeCell ref="J79:J81"/>
    <mergeCell ref="K79:K81"/>
    <mergeCell ref="J76:J78"/>
    <mergeCell ref="K76:K78"/>
    <mergeCell ref="L76:L78"/>
    <mergeCell ref="M76:M78"/>
    <mergeCell ref="N76:N78"/>
    <mergeCell ref="O76:O78"/>
    <mergeCell ref="G76:G78"/>
    <mergeCell ref="H76:H78"/>
    <mergeCell ref="I76:I78"/>
    <mergeCell ref="L84:L86"/>
    <mergeCell ref="M84:M86"/>
    <mergeCell ref="N84:N86"/>
    <mergeCell ref="O84:O86"/>
    <mergeCell ref="P84:P86"/>
    <mergeCell ref="Q84:Q86"/>
    <mergeCell ref="P82:P83"/>
    <mergeCell ref="Q82:Q83"/>
    <mergeCell ref="G84:G86"/>
    <mergeCell ref="H84:H86"/>
    <mergeCell ref="I84:I86"/>
    <mergeCell ref="J84:J86"/>
    <mergeCell ref="K84:K86"/>
    <mergeCell ref="J82:J83"/>
    <mergeCell ref="K82:K83"/>
    <mergeCell ref="L82:L83"/>
    <mergeCell ref="M82:M83"/>
    <mergeCell ref="N82:N83"/>
    <mergeCell ref="O82:O83"/>
    <mergeCell ref="G82:G83"/>
    <mergeCell ref="H82:H83"/>
    <mergeCell ref="I82:I83"/>
    <mergeCell ref="L90:L92"/>
    <mergeCell ref="M90:M92"/>
    <mergeCell ref="N90:N92"/>
    <mergeCell ref="O90:O92"/>
    <mergeCell ref="P90:P92"/>
    <mergeCell ref="Q90:Q92"/>
    <mergeCell ref="P87:P89"/>
    <mergeCell ref="Q87:Q89"/>
    <mergeCell ref="G90:G92"/>
    <mergeCell ref="H90:H92"/>
    <mergeCell ref="I90:I92"/>
    <mergeCell ref="J90:J92"/>
    <mergeCell ref="K90:K92"/>
    <mergeCell ref="J87:J89"/>
    <mergeCell ref="K87:K89"/>
    <mergeCell ref="L87:L89"/>
    <mergeCell ref="M87:M89"/>
    <mergeCell ref="N87:N89"/>
    <mergeCell ref="O87:O89"/>
    <mergeCell ref="G87:G89"/>
    <mergeCell ref="H87:H89"/>
    <mergeCell ref="I87:I89"/>
    <mergeCell ref="L96:L98"/>
    <mergeCell ref="M96:M98"/>
    <mergeCell ref="N96:N98"/>
    <mergeCell ref="O96:O98"/>
    <mergeCell ref="P96:P98"/>
    <mergeCell ref="Q96:Q98"/>
    <mergeCell ref="P93:P95"/>
    <mergeCell ref="Q93:Q95"/>
    <mergeCell ref="G96:G98"/>
    <mergeCell ref="H96:H98"/>
    <mergeCell ref="I96:I98"/>
    <mergeCell ref="J96:J98"/>
    <mergeCell ref="K96:K98"/>
    <mergeCell ref="J93:J95"/>
    <mergeCell ref="K93:K95"/>
    <mergeCell ref="L93:L95"/>
    <mergeCell ref="M93:M95"/>
    <mergeCell ref="N93:N95"/>
    <mergeCell ref="O93:O95"/>
    <mergeCell ref="G93:G95"/>
    <mergeCell ref="H93:H95"/>
    <mergeCell ref="I93:I95"/>
    <mergeCell ref="L103:L105"/>
    <mergeCell ref="M103:M105"/>
    <mergeCell ref="N103:N105"/>
    <mergeCell ref="O103:O105"/>
    <mergeCell ref="P103:P105"/>
    <mergeCell ref="Q103:Q105"/>
    <mergeCell ref="P99:P102"/>
    <mergeCell ref="Q99:Q102"/>
    <mergeCell ref="G103:G105"/>
    <mergeCell ref="H103:H105"/>
    <mergeCell ref="I103:I105"/>
    <mergeCell ref="J103:J105"/>
    <mergeCell ref="K103:K105"/>
    <mergeCell ref="J99:J102"/>
    <mergeCell ref="K99:K102"/>
    <mergeCell ref="L99:L102"/>
    <mergeCell ref="M99:M102"/>
    <mergeCell ref="N99:N102"/>
    <mergeCell ref="O99:O102"/>
    <mergeCell ref="G99:G102"/>
    <mergeCell ref="H99:H102"/>
    <mergeCell ref="I99:I102"/>
    <mergeCell ref="L109:L110"/>
    <mergeCell ref="M109:M110"/>
    <mergeCell ref="N109:N110"/>
    <mergeCell ref="O109:O110"/>
    <mergeCell ref="P109:P110"/>
    <mergeCell ref="Q109:Q110"/>
    <mergeCell ref="P106:P108"/>
    <mergeCell ref="Q106:Q108"/>
    <mergeCell ref="G109:G110"/>
    <mergeCell ref="H109:H110"/>
    <mergeCell ref="I109:I110"/>
    <mergeCell ref="J109:J110"/>
    <mergeCell ref="K109:K110"/>
    <mergeCell ref="J106:J108"/>
    <mergeCell ref="K106:K108"/>
    <mergeCell ref="L106:L108"/>
    <mergeCell ref="M106:M108"/>
    <mergeCell ref="N106:N108"/>
    <mergeCell ref="O106:O108"/>
    <mergeCell ref="G106:G108"/>
    <mergeCell ref="H106:H108"/>
    <mergeCell ref="I106:I108"/>
    <mergeCell ref="L117:L119"/>
    <mergeCell ref="M117:M119"/>
    <mergeCell ref="N117:N119"/>
    <mergeCell ref="O117:O119"/>
    <mergeCell ref="P117:P119"/>
    <mergeCell ref="L120:L122"/>
    <mergeCell ref="M120:M122"/>
    <mergeCell ref="N120:N122"/>
    <mergeCell ref="O120:O122"/>
    <mergeCell ref="P120:P122"/>
    <mergeCell ref="L123:L125"/>
    <mergeCell ref="M123:M125"/>
    <mergeCell ref="N123:N125"/>
    <mergeCell ref="O123:O125"/>
    <mergeCell ref="P123:P125"/>
    <mergeCell ref="G126:G128"/>
    <mergeCell ref="H126:H128"/>
    <mergeCell ref="O126:O128"/>
    <mergeCell ref="P126:P128"/>
    <mergeCell ref="G123:G125"/>
    <mergeCell ref="H123:H125"/>
    <mergeCell ref="I123:I125"/>
    <mergeCell ref="J123:J125"/>
    <mergeCell ref="K123:K125"/>
    <mergeCell ref="Q126:Q128"/>
    <mergeCell ref="I126:I128"/>
    <mergeCell ref="J126:J128"/>
    <mergeCell ref="K126:K128"/>
    <mergeCell ref="L126:L128"/>
    <mergeCell ref="M126:M128"/>
    <mergeCell ref="N126:N128"/>
    <mergeCell ref="L131:L134"/>
    <mergeCell ref="M131:M134"/>
    <mergeCell ref="N131:N134"/>
    <mergeCell ref="O131:O134"/>
    <mergeCell ref="P131:P134"/>
    <mergeCell ref="N153:N156"/>
    <mergeCell ref="O153:O156"/>
    <mergeCell ref="P153:P156"/>
    <mergeCell ref="Q153:Q156"/>
    <mergeCell ref="P149:P152"/>
    <mergeCell ref="Q149:Q152"/>
    <mergeCell ref="N149:N152"/>
    <mergeCell ref="O149:O152"/>
    <mergeCell ref="I135:I137"/>
    <mergeCell ref="L140:L142"/>
    <mergeCell ref="M140:M142"/>
    <mergeCell ref="N140:N142"/>
    <mergeCell ref="O140:O142"/>
    <mergeCell ref="P140:P142"/>
    <mergeCell ref="P135:P137"/>
    <mergeCell ref="Q135:Q137"/>
    <mergeCell ref="O143:O148"/>
    <mergeCell ref="P143:P148"/>
    <mergeCell ref="M135:M137"/>
    <mergeCell ref="N135:N137"/>
    <mergeCell ref="O135:O137"/>
    <mergeCell ref="N138:N139"/>
    <mergeCell ref="O138:O139"/>
    <mergeCell ref="G153:G156"/>
    <mergeCell ref="H153:H156"/>
    <mergeCell ref="I153:I156"/>
    <mergeCell ref="J153:J156"/>
    <mergeCell ref="K153:K156"/>
    <mergeCell ref="J149:J152"/>
    <mergeCell ref="K149:K152"/>
    <mergeCell ref="L149:L152"/>
    <mergeCell ref="M149:M152"/>
    <mergeCell ref="G149:G152"/>
    <mergeCell ref="H149:H152"/>
    <mergeCell ref="I149:I152"/>
    <mergeCell ref="L153:L156"/>
    <mergeCell ref="M153:M156"/>
    <mergeCell ref="Q157:Q158"/>
    <mergeCell ref="G159:G160"/>
    <mergeCell ref="H159:H160"/>
    <mergeCell ref="I159:I160"/>
    <mergeCell ref="J159:J160"/>
    <mergeCell ref="K159:K160"/>
    <mergeCell ref="L159:L160"/>
    <mergeCell ref="J157:J158"/>
    <mergeCell ref="K157:K158"/>
    <mergeCell ref="L157:L158"/>
    <mergeCell ref="N157:N158"/>
    <mergeCell ref="O157:O158"/>
    <mergeCell ref="P157:P158"/>
    <mergeCell ref="G157:G158"/>
    <mergeCell ref="H157:H158"/>
    <mergeCell ref="I157:I158"/>
    <mergeCell ref="N159:N160"/>
    <mergeCell ref="O159:O160"/>
    <mergeCell ref="P159:P160"/>
    <mergeCell ref="Q159:Q160"/>
    <mergeCell ref="Q161:Q164"/>
    <mergeCell ref="G165:G166"/>
    <mergeCell ref="H165:H166"/>
    <mergeCell ref="I165:I166"/>
    <mergeCell ref="J165:J166"/>
    <mergeCell ref="K165:K166"/>
    <mergeCell ref="L165:L166"/>
    <mergeCell ref="J161:J164"/>
    <mergeCell ref="K161:K164"/>
    <mergeCell ref="L161:L164"/>
    <mergeCell ref="N161:N164"/>
    <mergeCell ref="O161:O164"/>
    <mergeCell ref="P161:P164"/>
    <mergeCell ref="G161:G164"/>
    <mergeCell ref="H161:H164"/>
    <mergeCell ref="I161:I164"/>
    <mergeCell ref="N165:N166"/>
    <mergeCell ref="O165:O166"/>
    <mergeCell ref="P165:P166"/>
    <mergeCell ref="Q165:Q166"/>
    <mergeCell ref="Q167:Q169"/>
    <mergeCell ref="G170:G172"/>
    <mergeCell ref="H170:H172"/>
    <mergeCell ref="I170:I172"/>
    <mergeCell ref="J170:J172"/>
    <mergeCell ref="K170:K172"/>
    <mergeCell ref="L170:L172"/>
    <mergeCell ref="J167:J169"/>
    <mergeCell ref="K167:K169"/>
    <mergeCell ref="L167:L169"/>
    <mergeCell ref="N167:N169"/>
    <mergeCell ref="O167:O169"/>
    <mergeCell ref="P167:P169"/>
    <mergeCell ref="G167:G169"/>
    <mergeCell ref="H167:H169"/>
    <mergeCell ref="I167:I169"/>
    <mergeCell ref="M170:M172"/>
    <mergeCell ref="N170:N172"/>
    <mergeCell ref="O170:O172"/>
    <mergeCell ref="P170:P172"/>
    <mergeCell ref="Q170:Q172"/>
    <mergeCell ref="O173:O175"/>
    <mergeCell ref="P173:P175"/>
    <mergeCell ref="Q173:Q175"/>
    <mergeCell ref="G176:G177"/>
    <mergeCell ref="H176:H177"/>
    <mergeCell ref="I176:I177"/>
    <mergeCell ref="J176:J177"/>
    <mergeCell ref="I173:I175"/>
    <mergeCell ref="J173:J175"/>
    <mergeCell ref="K173:K175"/>
    <mergeCell ref="L173:L175"/>
    <mergeCell ref="M173:M175"/>
    <mergeCell ref="N173:N175"/>
    <mergeCell ref="G173:G175"/>
    <mergeCell ref="H173:H175"/>
    <mergeCell ref="N178:N180"/>
    <mergeCell ref="O178:O180"/>
    <mergeCell ref="P178:P180"/>
    <mergeCell ref="Q178:Q180"/>
    <mergeCell ref="G181:G182"/>
    <mergeCell ref="H181:H182"/>
    <mergeCell ref="I181:I182"/>
    <mergeCell ref="Q176:Q177"/>
    <mergeCell ref="G178:G180"/>
    <mergeCell ref="H178:H180"/>
    <mergeCell ref="I178:I180"/>
    <mergeCell ref="J178:J180"/>
    <mergeCell ref="K178:K180"/>
    <mergeCell ref="L178:L180"/>
    <mergeCell ref="K176:K177"/>
    <mergeCell ref="L176:L177"/>
    <mergeCell ref="M176:M177"/>
    <mergeCell ref="N176:N177"/>
    <mergeCell ref="O176:O177"/>
    <mergeCell ref="P176:P177"/>
    <mergeCell ref="L183:L184"/>
    <mergeCell ref="M183:M184"/>
    <mergeCell ref="N183:N184"/>
    <mergeCell ref="O183:O184"/>
    <mergeCell ref="P183:P184"/>
    <mergeCell ref="Q183:Q184"/>
    <mergeCell ref="P181:P182"/>
    <mergeCell ref="Q181:Q182"/>
    <mergeCell ref="G183:G184"/>
    <mergeCell ref="H183:H184"/>
    <mergeCell ref="I183:I184"/>
    <mergeCell ref="J183:J184"/>
    <mergeCell ref="K183:K184"/>
    <mergeCell ref="J181:J182"/>
    <mergeCell ref="K181:K182"/>
    <mergeCell ref="L181:L182"/>
    <mergeCell ref="M181:M182"/>
    <mergeCell ref="N181:N182"/>
    <mergeCell ref="O181:O182"/>
    <mergeCell ref="L189:L192"/>
    <mergeCell ref="M189:M192"/>
    <mergeCell ref="N189:N192"/>
    <mergeCell ref="O189:O192"/>
    <mergeCell ref="P189:P192"/>
    <mergeCell ref="Q189:Q192"/>
    <mergeCell ref="P185:P188"/>
    <mergeCell ref="Q185:Q188"/>
    <mergeCell ref="G189:G192"/>
    <mergeCell ref="H189:H192"/>
    <mergeCell ref="I189:I192"/>
    <mergeCell ref="J189:J192"/>
    <mergeCell ref="K189:K192"/>
    <mergeCell ref="J185:J188"/>
    <mergeCell ref="K185:K188"/>
    <mergeCell ref="L185:L188"/>
    <mergeCell ref="M185:M188"/>
    <mergeCell ref="N185:N188"/>
    <mergeCell ref="O185:O188"/>
    <mergeCell ref="G185:G188"/>
    <mergeCell ref="H185:H188"/>
    <mergeCell ref="I185:I188"/>
    <mergeCell ref="L197:L200"/>
    <mergeCell ref="M197:M200"/>
    <mergeCell ref="N197:N200"/>
    <mergeCell ref="O197:O200"/>
    <mergeCell ref="P197:P200"/>
    <mergeCell ref="Q197:Q200"/>
    <mergeCell ref="P193:P196"/>
    <mergeCell ref="Q193:Q196"/>
    <mergeCell ref="G197:G200"/>
    <mergeCell ref="H197:H200"/>
    <mergeCell ref="I197:I200"/>
    <mergeCell ref="J197:J200"/>
    <mergeCell ref="K197:K200"/>
    <mergeCell ref="J193:J196"/>
    <mergeCell ref="K193:K196"/>
    <mergeCell ref="L193:L196"/>
    <mergeCell ref="M193:M196"/>
    <mergeCell ref="N193:N196"/>
    <mergeCell ref="O193:O196"/>
    <mergeCell ref="G193:G196"/>
    <mergeCell ref="H193:H196"/>
    <mergeCell ref="I193:I196"/>
    <mergeCell ref="L205:L208"/>
    <mergeCell ref="M205:M208"/>
    <mergeCell ref="N205:N208"/>
    <mergeCell ref="O205:O208"/>
    <mergeCell ref="P205:P208"/>
    <mergeCell ref="Q205:Q208"/>
    <mergeCell ref="P201:P204"/>
    <mergeCell ref="Q201:Q204"/>
    <mergeCell ref="G205:G208"/>
    <mergeCell ref="H205:H208"/>
    <mergeCell ref="I205:I208"/>
    <mergeCell ref="J205:J208"/>
    <mergeCell ref="K205:K208"/>
    <mergeCell ref="J201:J204"/>
    <mergeCell ref="K201:K204"/>
    <mergeCell ref="L201:L204"/>
    <mergeCell ref="M201:M204"/>
    <mergeCell ref="N201:N204"/>
    <mergeCell ref="O201:O204"/>
    <mergeCell ref="G201:G204"/>
    <mergeCell ref="H201:H204"/>
    <mergeCell ref="I201:I204"/>
    <mergeCell ref="P209:P212"/>
    <mergeCell ref="Q209:Q212"/>
    <mergeCell ref="AM210:AQ212"/>
    <mergeCell ref="G213:G216"/>
    <mergeCell ref="H213:H216"/>
    <mergeCell ref="I213:I216"/>
    <mergeCell ref="J213:J216"/>
    <mergeCell ref="J209:J212"/>
    <mergeCell ref="K209:K212"/>
    <mergeCell ref="L209:L212"/>
    <mergeCell ref="M209:M212"/>
    <mergeCell ref="N209:N212"/>
    <mergeCell ref="O209:O212"/>
    <mergeCell ref="G209:G212"/>
    <mergeCell ref="H209:H212"/>
    <mergeCell ref="I209:I212"/>
    <mergeCell ref="L217:L220"/>
    <mergeCell ref="M217:M220"/>
    <mergeCell ref="N217:N220"/>
    <mergeCell ref="O217:O220"/>
    <mergeCell ref="P217:P220"/>
    <mergeCell ref="Q217:Q220"/>
    <mergeCell ref="Q213:Q216"/>
    <mergeCell ref="AM214:AQ215"/>
    <mergeCell ref="G217:G220"/>
    <mergeCell ref="H217:H220"/>
    <mergeCell ref="I217:I220"/>
    <mergeCell ref="J217:J220"/>
    <mergeCell ref="K217:K220"/>
    <mergeCell ref="K213:K216"/>
    <mergeCell ref="L213:L216"/>
    <mergeCell ref="M213:M216"/>
    <mergeCell ref="N213:N216"/>
    <mergeCell ref="O213:O216"/>
    <mergeCell ref="P213:P216"/>
    <mergeCell ref="L225:L227"/>
    <mergeCell ref="M225:M227"/>
    <mergeCell ref="N225:N227"/>
    <mergeCell ref="O225:O227"/>
    <mergeCell ref="P225:P227"/>
    <mergeCell ref="Q225:Q227"/>
    <mergeCell ref="P221:P224"/>
    <mergeCell ref="Q221:Q224"/>
    <mergeCell ref="G225:G227"/>
    <mergeCell ref="H225:H227"/>
    <mergeCell ref="I225:I227"/>
    <mergeCell ref="J225:J227"/>
    <mergeCell ref="K225:K227"/>
    <mergeCell ref="J221:J224"/>
    <mergeCell ref="K221:K224"/>
    <mergeCell ref="L221:L224"/>
    <mergeCell ref="M221:M224"/>
    <mergeCell ref="N221:N224"/>
    <mergeCell ref="O221:O224"/>
    <mergeCell ref="G221:G224"/>
    <mergeCell ref="H221:H224"/>
    <mergeCell ref="I221:I224"/>
    <mergeCell ref="AI7:AK7"/>
    <mergeCell ref="W9:W11"/>
    <mergeCell ref="S35:S36"/>
    <mergeCell ref="T35:T36"/>
    <mergeCell ref="U35:U36"/>
    <mergeCell ref="V35:V36"/>
    <mergeCell ref="W35:W36"/>
    <mergeCell ref="S7:AA7"/>
    <mergeCell ref="B7:F7"/>
    <mergeCell ref="L33:L34"/>
    <mergeCell ref="M33:M34"/>
    <mergeCell ref="N33:N34"/>
    <mergeCell ref="O33:O34"/>
    <mergeCell ref="P33:P34"/>
    <mergeCell ref="Q33:Q34"/>
    <mergeCell ref="P30:P32"/>
    <mergeCell ref="Q30:Q32"/>
    <mergeCell ref="G33:G34"/>
    <mergeCell ref="H33:H34"/>
    <mergeCell ref="I33:I34"/>
    <mergeCell ref="J33:J34"/>
    <mergeCell ref="K33:K34"/>
    <mergeCell ref="J30:J32"/>
    <mergeCell ref="K30:K32"/>
  </mergeCells>
  <conditionalFormatting sqref="X9:X11">
    <cfRule type="iconSet" priority="1">
      <iconSet>
        <cfvo type="percent" val="0"/>
        <cfvo type="percent" val="33"/>
        <cfvo type="percent" val="67"/>
      </iconSet>
    </cfRule>
  </conditionalFormatting>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4">
        <x14:dataValidation type="list" allowBlank="1" showInputMessage="1" showErrorMessage="1">
          <x14:formula1>
            <xm:f>'C:\Users\Soporte\Downloads\[Instrumento de Planeación 2018-CapturaSGR (1).xlsx]listas'!#REF!</xm:f>
          </x14:formula1>
          <xm:sqref>D70:D110 F70:F110</xm:sqref>
        </x14:dataValidation>
        <x14:dataValidation type="list" allowBlank="1" showInputMessage="1" showErrorMessage="1">
          <x14:formula1>
            <xm:f>'C:\Users\Soporte\Downloads\[Instrumento de Planeación 2018-Captura.xlsx]listas'!#REF!</xm:f>
          </x14:formula1>
          <xm:sqref>D229 F9:F69 D9:D69 D111:D227 F111:F227</xm:sqref>
        </x14:dataValidation>
        <x14:dataValidation type="list" allowBlank="1" showInputMessage="1" showErrorMessage="1">
          <x14:formula1>
            <xm:f>'C:\Users\Soporte\Downloads\[Instrumento de Planeación 2018-CapturaSGR (1).xlsx]listas'!#REF!</xm:f>
          </x14:formula1>
          <xm:sqref>B9:B61 B209:B227 C225:C227 C189:C196 C205:C220 C9:C29 C46:C61 B229:C229 C70:C148 C153:C184 B111:B184</xm:sqref>
        </x14:dataValidation>
        <x14:dataValidation type="list" allowBlank="1" showInputMessage="1" showErrorMessage="1">
          <x14:formula1>
            <xm:f>'C:\Users\Amoreno\Documents\AMORENO\2017\PLAN DE ACCION\[FORMATO PLAN DE ACCION 2017.xlsx]LISTAS'!#REF!</xm:f>
          </x14:formula1>
          <xm:sqref>B185:B208</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sheetPr>
  <dimension ref="B9:CI117"/>
  <sheetViews>
    <sheetView showGridLines="0" zoomScale="85" zoomScaleNormal="85" workbookViewId="0">
      <selection activeCell="N24" sqref="N24"/>
    </sheetView>
  </sheetViews>
  <sheetFormatPr baseColWidth="10" defaultRowHeight="15" x14ac:dyDescent="0.25"/>
  <cols>
    <col min="1" max="1" width="5.25" customWidth="1"/>
    <col min="2" max="2" width="31.375" customWidth="1"/>
    <col min="3" max="3" width="31.75" customWidth="1"/>
    <col min="4" max="5" width="7.625" customWidth="1"/>
    <col min="6" max="6" width="48.25" customWidth="1"/>
    <col min="7" max="7" width="18.375" customWidth="1"/>
    <col min="8" max="8" width="7.125" bestFit="1" customWidth="1"/>
    <col min="9" max="9" width="7" customWidth="1"/>
    <col min="10" max="10" width="12.875" customWidth="1"/>
    <col min="11" max="11" width="13.625" customWidth="1"/>
    <col min="72" max="72" width="19.625" customWidth="1"/>
    <col min="73" max="73" width="12.375" customWidth="1"/>
    <col min="74" max="74" width="20.375" customWidth="1"/>
    <col min="75" max="75" width="14.875" customWidth="1"/>
    <col min="76" max="76" width="23.25" customWidth="1"/>
    <col min="77" max="77" width="15.875" customWidth="1"/>
    <col min="78" max="78" width="14.875" customWidth="1"/>
    <col min="79" max="79" width="16.25" customWidth="1"/>
    <col min="80" max="80" width="14.625" customWidth="1"/>
    <col min="81" max="81" width="14.75" customWidth="1"/>
    <col min="82" max="82" width="22.75" customWidth="1"/>
    <col min="83" max="83" width="13.25" customWidth="1"/>
    <col min="84" max="87" width="11" customWidth="1"/>
  </cols>
  <sheetData>
    <row r="9" spans="72:84" ht="45" x14ac:dyDescent="0.25">
      <c r="BU9" s="308" t="s">
        <v>24</v>
      </c>
      <c r="BV9" s="308" t="s">
        <v>53</v>
      </c>
      <c r="BW9" s="308" t="s">
        <v>59</v>
      </c>
      <c r="BX9" s="308" t="s">
        <v>115</v>
      </c>
      <c r="BY9" s="308" t="s">
        <v>131</v>
      </c>
      <c r="BZ9" s="308" t="s">
        <v>176</v>
      </c>
      <c r="CA9" s="308" t="s">
        <v>183</v>
      </c>
      <c r="CB9" s="308" t="s">
        <v>186</v>
      </c>
      <c r="CC9" s="308" t="s">
        <v>271</v>
      </c>
      <c r="CD9" s="85"/>
      <c r="CE9" s="314" t="s">
        <v>621</v>
      </c>
      <c r="CF9" s="292"/>
    </row>
    <row r="10" spans="72:84" x14ac:dyDescent="0.25">
      <c r="BT10" s="292" t="s">
        <v>647</v>
      </c>
      <c r="BU10" s="341">
        <f>AVERAGE('PLAN DE ACCIÓN 2019 Producto'!X7:X12)</f>
        <v>1</v>
      </c>
      <c r="BV10" s="342">
        <f>AVERAGE('PLAN DE ACCIÓN 2019 Producto'!X13)</f>
        <v>0.9</v>
      </c>
      <c r="BW10" s="342">
        <f>AVERAGE('PLAN DE ACCIÓN 2019 Producto'!X14:X29)</f>
        <v>0.93877551020408156</v>
      </c>
      <c r="BX10" s="342">
        <f>AVERAGE('PLAN DE ACCIÓN 2019 Producto'!X30:X33)</f>
        <v>0.875</v>
      </c>
      <c r="BY10" s="342">
        <f>AVERAGE('PLAN DE ACCIÓN 2019 Producto'!X34:X49)</f>
        <v>0.86312500000000014</v>
      </c>
      <c r="BZ10" s="342">
        <f>AVERAGE('PLAN DE ACCIÓN 2019 Producto'!X50:X54)</f>
        <v>0.56615384615384623</v>
      </c>
      <c r="CA10" s="342">
        <f>AVERAGE('PLAN DE ACCIÓN 2019 Producto'!X55:X57)</f>
        <v>0.73333333333333339</v>
      </c>
      <c r="CB10" s="342">
        <f>AVERAGE('PLAN DE ACCIÓN 2019 Producto'!X58:X73)</f>
        <v>0.60044444444444445</v>
      </c>
      <c r="CC10" s="343">
        <f>AVERAGE('PLAN DE ACCIÓN 2019 Producto'!X74:X78)</f>
        <v>0.76</v>
      </c>
      <c r="CE10" s="316">
        <f>VLOOKUP($B$44,Tablas!$A$4:$B$12,2,FALSE)</f>
        <v>0.86312500000000014</v>
      </c>
      <c r="CF10" s="316">
        <f>VLOOKUP($C$44,Tablas!$A$18:$B$26,2,FALSE)</f>
        <v>0.47734375000000012</v>
      </c>
    </row>
    <row r="11" spans="72:84" x14ac:dyDescent="0.25">
      <c r="BT11" s="292" t="s">
        <v>648</v>
      </c>
      <c r="BU11" s="340">
        <f>AVERAGE('PLAN DE ACCIÓN 2019 Actividades'!U6:U29)</f>
        <v>1</v>
      </c>
      <c r="BV11" s="340">
        <f>AVERAGE('PLAN DE ACCIÓN 2019 Actividades'!U30:U33)</f>
        <v>0.96500000000000008</v>
      </c>
      <c r="BW11" s="340">
        <f>AVERAGE('PLAN DE ACCIÓN 2019 Actividades'!U34:U77)</f>
        <v>0.81911764705882362</v>
      </c>
      <c r="BX11" s="340">
        <f>AVERAGE('PLAN DE ACCIÓN 2019 Actividades'!U78:U85)</f>
        <v>0.76428571428571423</v>
      </c>
      <c r="BY11" s="340">
        <f>AVERAGE('PLAN DE ACCIÓN 2019 Actividades'!U86:U137)</f>
        <v>0.68611111111111112</v>
      </c>
      <c r="BZ11" s="340">
        <f>AVERAGE('PLAN DE ACCIÓN 2019 Actividades'!U138:U169)</f>
        <v>0.65625</v>
      </c>
      <c r="CA11" s="340">
        <f>AVERAGE('PLAN DE ACCIÓN 2019 Actividades'!U170:U177)</f>
        <v>0.76857142857142857</v>
      </c>
      <c r="CB11" s="340">
        <f>AVERAGE('PLAN DE ACCIÓN 2019 Actividades'!U178:U234)</f>
        <v>0.72638888888888886</v>
      </c>
      <c r="CC11" s="340">
        <f>AVERAGE('PLAN DE ACCIÓN 2019 Actividades'!U235:U252)</f>
        <v>0.75555555555555554</v>
      </c>
    </row>
    <row r="14" spans="72:84" ht="45" x14ac:dyDescent="0.25">
      <c r="BU14" s="308" t="s">
        <v>24</v>
      </c>
      <c r="BV14" s="308" t="s">
        <v>53</v>
      </c>
      <c r="BW14" s="308" t="s">
        <v>59</v>
      </c>
      <c r="BX14" s="308" t="s">
        <v>115</v>
      </c>
      <c r="BY14" s="308" t="s">
        <v>131</v>
      </c>
      <c r="BZ14" s="308" t="s">
        <v>176</v>
      </c>
      <c r="CA14" s="308" t="s">
        <v>183</v>
      </c>
      <c r="CB14" s="308" t="s">
        <v>186</v>
      </c>
      <c r="CC14" s="308" t="s">
        <v>271</v>
      </c>
      <c r="CE14" s="314" t="s">
        <v>653</v>
      </c>
      <c r="CF14" s="292">
        <f>GETPIVOTDATA("Estado del Producto",Tablas!$A$38)</f>
        <v>72</v>
      </c>
    </row>
    <row r="15" spans="72:84" x14ac:dyDescent="0.25">
      <c r="BT15" s="292" t="s">
        <v>647</v>
      </c>
      <c r="BU15" s="309">
        <f>IF($BU19=TRUE,BU10,"")</f>
        <v>1</v>
      </c>
      <c r="BV15" s="309">
        <f t="shared" ref="BV15:CC15" si="0">IF($BU19=TRUE,BV10,"")</f>
        <v>0.9</v>
      </c>
      <c r="BW15" s="309">
        <f t="shared" si="0"/>
        <v>0.93877551020408156</v>
      </c>
      <c r="BX15" s="309">
        <f t="shared" si="0"/>
        <v>0.875</v>
      </c>
      <c r="BY15" s="309">
        <f t="shared" si="0"/>
        <v>0.86312500000000014</v>
      </c>
      <c r="BZ15" s="309">
        <f t="shared" si="0"/>
        <v>0.56615384615384623</v>
      </c>
      <c r="CA15" s="309">
        <f t="shared" si="0"/>
        <v>0.73333333333333339</v>
      </c>
      <c r="CB15" s="309">
        <f t="shared" si="0"/>
        <v>0.60044444444444445</v>
      </c>
      <c r="CC15" s="309">
        <f t="shared" si="0"/>
        <v>0.76</v>
      </c>
      <c r="CE15" s="295" t="s">
        <v>622</v>
      </c>
      <c r="CF15" s="315">
        <f>GETPIVOTDATA("Estado del Producto",Tablas!$A$38,"Estado del Producto","EN EJECUCIÓN")</f>
        <v>61</v>
      </c>
    </row>
    <row r="16" spans="72:84" x14ac:dyDescent="0.25">
      <c r="BT16" s="292" t="s">
        <v>648</v>
      </c>
      <c r="BU16" s="309">
        <f>IF($BU20=TRUE,BU11,"")</f>
        <v>1</v>
      </c>
      <c r="BV16" s="309">
        <f t="shared" ref="BV16:CC16" si="1">IF($BU20=TRUE,BV11,"")</f>
        <v>0.96500000000000008</v>
      </c>
      <c r="BW16" s="309">
        <f t="shared" si="1"/>
        <v>0.81911764705882362</v>
      </c>
      <c r="BX16" s="309">
        <f t="shared" si="1"/>
        <v>0.76428571428571423</v>
      </c>
      <c r="BY16" s="309">
        <f t="shared" si="1"/>
        <v>0.68611111111111112</v>
      </c>
      <c r="BZ16" s="309">
        <f t="shared" si="1"/>
        <v>0.65625</v>
      </c>
      <c r="CA16" s="309">
        <f t="shared" si="1"/>
        <v>0.76857142857142857</v>
      </c>
      <c r="CB16" s="309">
        <f t="shared" si="1"/>
        <v>0.72638888888888886</v>
      </c>
      <c r="CC16" s="309">
        <f t="shared" si="1"/>
        <v>0.75555555555555554</v>
      </c>
      <c r="CE16" s="295" t="s">
        <v>623</v>
      </c>
      <c r="CF16" s="315">
        <f>GETPIVOTDATA("Estado del Producto",Tablas!$A$38,"Estado del Producto","SIN EJECUTAR")</f>
        <v>9</v>
      </c>
    </row>
    <row r="17" spans="72:87" x14ac:dyDescent="0.25">
      <c r="CE17" s="292" t="s">
        <v>652</v>
      </c>
      <c r="CF17" s="316">
        <f>CF15/CF14</f>
        <v>0.84722222222222221</v>
      </c>
      <c r="CH17" s="312" t="s">
        <v>623</v>
      </c>
      <c r="CI17">
        <f>VLOOKUP($CH$17,$CE$15:$CF$16,2,FALSE)</f>
        <v>9</v>
      </c>
    </row>
    <row r="19" spans="72:87" x14ac:dyDescent="0.25">
      <c r="BT19" s="292" t="s">
        <v>650</v>
      </c>
      <c r="BU19" t="b">
        <v>1</v>
      </c>
    </row>
    <row r="20" spans="72:87" x14ac:dyDescent="0.25">
      <c r="BT20" s="292" t="s">
        <v>651</v>
      </c>
      <c r="BU20" t="b">
        <v>1</v>
      </c>
    </row>
    <row r="21" spans="72:87" x14ac:dyDescent="0.25">
      <c r="BT21" s="311" t="s">
        <v>649</v>
      </c>
      <c r="BU21" t="str">
        <f>IF(AND(BU19=FALSE,BU20=FALSE),"Activa Cumplimiento de Productos o Actividades", "Cumplimiento " &amp; IF(AND(BU19=TRUE,BU20=TRUE),"Productos y Actividades",IF(BU19=TRUE,"Productos Segundo trimestre","Actividades Segundo trimestre")))</f>
        <v>Cumplimiento Productos y Actividades</v>
      </c>
    </row>
    <row r="33" spans="2:10" x14ac:dyDescent="0.25">
      <c r="B33" s="313"/>
    </row>
    <row r="42" spans="2:10" ht="15.75" thickBot="1" x14ac:dyDescent="0.3"/>
    <row r="43" spans="2:10" ht="45.75" thickBot="1" x14ac:dyDescent="0.3">
      <c r="B43" s="318" t="s">
        <v>645</v>
      </c>
      <c r="C43" s="319" t="s">
        <v>620</v>
      </c>
      <c r="F43" s="306" t="s">
        <v>8</v>
      </c>
      <c r="G43" s="307" t="s">
        <v>401</v>
      </c>
      <c r="H43" s="304" t="s">
        <v>662</v>
      </c>
      <c r="I43" s="304" t="s">
        <v>663</v>
      </c>
      <c r="J43" s="608" t="s">
        <v>894</v>
      </c>
    </row>
    <row r="44" spans="2:10" ht="46.5" thickTop="1" thickBot="1" x14ac:dyDescent="0.3">
      <c r="B44" s="321" t="s">
        <v>131</v>
      </c>
      <c r="C44" s="320" t="s">
        <v>131</v>
      </c>
      <c r="F44" s="305" t="s">
        <v>365</v>
      </c>
      <c r="G44" s="304" t="s">
        <v>639</v>
      </c>
      <c r="H44" s="567">
        <v>2</v>
      </c>
      <c r="I44" s="567">
        <v>2</v>
      </c>
      <c r="J44" s="577">
        <f>+GETPIVOTDATA("AVANCE 2° TRI",$F$43,"Nombre del producto"," Desarrollo académico de socialización y prevención disciplinaria a través del proceso de inducción y reinducción Coordinado por la OCDI","Tipo de resultado","EXCELENTE")/GETPIVOTDATA("META 2° TRIM",$F$43,"Nombre del producto"," Desarrollo académico de socialización y prevención disciplinaria a través del proceso de inducción y reinducción Coordinado por la OCDI","Tipo de resultado","EXCELENTE")</f>
        <v>1</v>
      </c>
    </row>
    <row r="45" spans="2:10" ht="46.5" thickTop="1" thickBot="1" x14ac:dyDescent="0.3">
      <c r="F45" s="305" t="s">
        <v>250</v>
      </c>
      <c r="G45" s="304" t="s">
        <v>638</v>
      </c>
      <c r="H45" s="567">
        <v>60</v>
      </c>
      <c r="I45" s="567">
        <v>0</v>
      </c>
      <c r="J45" s="577">
        <f>+GETPIVOTDATA("AVANCE 2° TRI",$F$43,"Nombre del producto","Aprobación de Estudios, Diseños y Estudios Previos para la adecuación y ampliación de la Estación de Bomberos de Marichuela - B10.","Tipo de resultado","MALO")/GETPIVOTDATA("META 2° TRIM",$F$43,"Nombre del producto","Aprobación de Estudios, Diseños y Estudios Previos para la adecuación y ampliación de la Estación de Bomberos de Marichuela - B10.","Tipo de resultado","MALO")</f>
        <v>0</v>
      </c>
    </row>
    <row r="46" spans="2:10" ht="45.75" thickBot="1" x14ac:dyDescent="0.3">
      <c r="F46" s="305" t="s">
        <v>225</v>
      </c>
      <c r="G46" s="304" t="s">
        <v>639</v>
      </c>
      <c r="H46" s="567">
        <v>2</v>
      </c>
      <c r="I46" s="567">
        <v>2</v>
      </c>
      <c r="J46" s="577">
        <f>+GETPIVOTDATA("AVANCE 2° TRI",$F$43,"Nombre del producto","Capacitar en  el marco normativo contable para entidades de Gobierno (NMNCEG) aplicables a la UAE Cuerpo Oficial de Bomberos.","Tipo de resultado","EXCELENTE")/GETPIVOTDATA("META 2° TRIM",$F$43,"Nombre del producto","Capacitar en  el marco normativo contable para entidades de Gobierno (NMNCEG) aplicables a la UAE Cuerpo Oficial de Bomberos.","Tipo de resultado","EXCELENTE")</f>
        <v>1</v>
      </c>
    </row>
    <row r="47" spans="2:10" ht="30.75" thickBot="1" x14ac:dyDescent="0.3">
      <c r="F47" s="305" t="s">
        <v>363</v>
      </c>
      <c r="G47" s="304" t="s">
        <v>639</v>
      </c>
      <c r="H47" s="303">
        <v>0.1</v>
      </c>
      <c r="I47" s="303">
        <v>0.1</v>
      </c>
      <c r="J47" s="577">
        <f>+GETPIVOTDATA("AVANCE 2° TRI",$F$43,"Nombre del producto","Dar cumplimiento a la Política de Cero Papel en la Entidad, de conformidad con la Resolución 730 de 2013.","Tipo de resultado","EXCELENTE")/GETPIVOTDATA("META 2° TRIM",$F$43,"Nombre del producto","Dar cumplimiento a la Política de Cero Papel en la Entidad, de conformidad con la Resolución 730 de 2013.","Tipo de resultado","EXCELENTE")</f>
        <v>1</v>
      </c>
    </row>
    <row r="48" spans="2:10" ht="45.75" thickBot="1" x14ac:dyDescent="0.3">
      <c r="F48" s="305" t="s">
        <v>369</v>
      </c>
      <c r="G48" s="304" t="s">
        <v>639</v>
      </c>
      <c r="H48" s="567">
        <v>50</v>
      </c>
      <c r="I48" s="567">
        <v>50</v>
      </c>
      <c r="J48" s="577">
        <f>+GETPIVOTDATA("AVANCE 2° TRI",$F$43,"Nombre del producto","Desarrollar un programa que garantice el 100% del mantenimiento de la infraestructura física de las Estaciones de Bomberos y el Edificio Comando","Tipo de resultado","EXCELENTE")/GETPIVOTDATA("META 2° TRIM",$F$43,"Nombre del producto","Desarrollar un programa que garantice el 100% del mantenimiento de la infraestructura física de las Estaciones de Bomberos y el Edificio Comando","Tipo de resultado","EXCELENTE")</f>
        <v>1</v>
      </c>
    </row>
    <row r="49" spans="6:10" ht="30.75" thickBot="1" x14ac:dyDescent="0.3">
      <c r="F49" s="305" t="s">
        <v>266</v>
      </c>
      <c r="G49" s="304" t="s">
        <v>639</v>
      </c>
      <c r="H49" s="567">
        <v>40</v>
      </c>
      <c r="I49" s="567">
        <v>40</v>
      </c>
      <c r="J49" s="577">
        <f>+GETPIVOTDATA("AVANCE 2° TRI",$F$43,"Nombre del producto","Elaboración de los estudios y diseños para la adecuación de la Estación de Bomberos de Ferias - B7.","Tipo de resultado","EXCELENTE")/GETPIVOTDATA("META 2° TRIM",$F$43,"Nombre del producto","Elaboración de los estudios y diseños para la adecuación de la Estación de Bomberos de Ferias - B7.","Tipo de resultado","EXCELENTE")</f>
        <v>1</v>
      </c>
    </row>
    <row r="50" spans="6:10" ht="30.75" thickBot="1" x14ac:dyDescent="0.3">
      <c r="F50" s="305" t="s">
        <v>256</v>
      </c>
      <c r="G50" s="304" t="s">
        <v>638</v>
      </c>
      <c r="H50" s="567">
        <v>60</v>
      </c>
      <c r="I50" s="567">
        <v>10</v>
      </c>
      <c r="J50" s="577">
        <f>+GETPIVOTDATA("AVANCE 2° TRI",$F$43,"Nombre del producto","Gestionar la adquisición de un (1) predio para la implementación de una (1) estación de Bomberos","Tipo de resultado","MALO")/GETPIVOTDATA("META 2° TRIM",$F$43,"Nombre del producto","Gestionar la adquisición de un (1) predio para la implementación de una (1) estación de Bomberos","Tipo de resultado","MALO")</f>
        <v>0.16666666666666666</v>
      </c>
    </row>
    <row r="51" spans="6:10" ht="45.75" thickBot="1" x14ac:dyDescent="0.3">
      <c r="F51" s="305" t="s">
        <v>240</v>
      </c>
      <c r="G51" s="304" t="s">
        <v>638</v>
      </c>
      <c r="H51" s="567">
        <v>50</v>
      </c>
      <c r="I51" s="567">
        <v>0</v>
      </c>
      <c r="J51" s="577">
        <f>+GETPIVOTDATA("AVANCE 2° TRI",$F$43,"Nombre del producto","Gestionar la adquisición de un predio para la elaboración de estudios, diseños y construcción de una (1) Escuela de Formación Bomberil y una (1) estación de Bomberos.","Tipo de resultado","MALO")/GETPIVOTDATA("META 2° TRIM",$F$43,"Nombre del producto","Gestionar la adquisición de un predio para la elaboración de estudios, diseños y construcción de una (1) Escuela de Formación Bomberil y una (1) estación de Bomberos.","Tipo de resultado","MALO")</f>
        <v>0</v>
      </c>
    </row>
    <row r="52" spans="6:10" ht="45.75" thickBot="1" x14ac:dyDescent="0.3">
      <c r="F52" s="305" t="s">
        <v>307</v>
      </c>
      <c r="G52" s="304" t="s">
        <v>639</v>
      </c>
      <c r="H52" s="303">
        <v>0.5</v>
      </c>
      <c r="I52" s="303">
        <v>0.5</v>
      </c>
      <c r="J52" s="577">
        <f>+GETPIVOTDATA("AVANCE 2° TRI",$F$43,"Nombre del producto","Identificación de nuevos requerimientos en el Sistema de Información Misional - Sub-módulo Revisiones Técnicas y Auto revisiones","Tipo de resultado","EXCELENTE")/GETPIVOTDATA("META 2° TRIM",$F$43,"Nombre del producto","Identificación de nuevos requerimientos en el Sistema de Información Misional - Sub-módulo Revisiones Técnicas y Auto revisiones","Tipo de resultado","EXCELENTE")</f>
        <v>1</v>
      </c>
    </row>
    <row r="53" spans="6:10" ht="45.75" thickBot="1" x14ac:dyDescent="0.3">
      <c r="F53" s="305" t="s">
        <v>261</v>
      </c>
      <c r="G53" s="304" t="s">
        <v>638</v>
      </c>
      <c r="H53" s="567">
        <v>50</v>
      </c>
      <c r="I53" s="567">
        <v>0</v>
      </c>
      <c r="J53" s="577">
        <f>+GETPIVOTDATA("AVANCE 2° TRI",$F$43,"Nombre del producto","Implementación de (1) estación satélite forestal de bomberos sujeta al proyecto del sendero ambiental en los cerros orientales)","Tipo de resultado","MALO")/GETPIVOTDATA("META 2° TRIM",$F$43,"Nombre del producto","Implementación de (1) estación satélite forestal de bomberos sujeta al proyecto del sendero ambiental en los cerros orientales)","Tipo de resultado","MALO")</f>
        <v>0</v>
      </c>
    </row>
    <row r="54" spans="6:10" ht="15.75" thickBot="1" x14ac:dyDescent="0.3">
      <c r="F54" s="305" t="s">
        <v>25</v>
      </c>
      <c r="G54" s="304" t="s">
        <v>639</v>
      </c>
      <c r="H54" s="567">
        <v>6</v>
      </c>
      <c r="I54" s="567">
        <v>6</v>
      </c>
      <c r="J54" s="577">
        <f>+GETPIVOTDATA("AVANCE 2° TRI",$F$43,"Nombre del producto","Revista virtual: ""Bomberos Hoy el Magazzine"".","Tipo de resultado","EXCELENTE")/GETPIVOTDATA("META 2° TRIM",$F$43,"Nombre del producto","Revista virtual: ""Bomberos Hoy el Magazzine"".","Tipo de resultado","EXCELENTE")</f>
        <v>1</v>
      </c>
    </row>
    <row r="55" spans="6:10" ht="30.75" thickBot="1" x14ac:dyDescent="0.3">
      <c r="F55" s="305" t="s">
        <v>331</v>
      </c>
      <c r="G55" s="304" t="s">
        <v>639</v>
      </c>
      <c r="H55" s="567">
        <v>2</v>
      </c>
      <c r="I55" s="567">
        <v>2</v>
      </c>
      <c r="J55" s="577">
        <f>+GETPIVOTDATA("AVANCE 2° TRI",$F$43,"Nombre del producto","Sistematización del procedimiento de capacitación a brigadas contra incendio empresarial","Tipo de resultado","EXCELENTE")/GETPIVOTDATA("META 2° TRIM",$F$43,"Nombre del producto","Sistematización del procedimiento de capacitación a brigadas contra incendio empresarial","Tipo de resultado","EXCELENTE")</f>
        <v>1</v>
      </c>
    </row>
    <row r="56" spans="6:10" ht="45.75" thickBot="1" x14ac:dyDescent="0.3">
      <c r="F56" s="305" t="s">
        <v>211</v>
      </c>
      <c r="G56" s="304" t="s">
        <v>638</v>
      </c>
      <c r="H56" s="303">
        <v>1</v>
      </c>
      <c r="I56" s="303">
        <v>0.5</v>
      </c>
      <c r="J56" s="577">
        <f>+GETPIVOTDATA("AVANCE 2° TRI",$F$43,"Nombre del producto","Socializar a los funcionarios de la Línea 195, sobre la información de los trámites y servicios con los que cuenta la UAECOB.","Tipo de resultado","MALO")/GETPIVOTDATA("META 2° TRIM",$F$43,"Nombre del producto","Socializar a los funcionarios de la Línea 195, sobre la información de los trámites y servicios con los que cuenta la UAECOB.","Tipo de resultado","MALO")</f>
        <v>0.5</v>
      </c>
    </row>
    <row r="57" spans="6:10" ht="15.75" thickBot="1" x14ac:dyDescent="0.3">
      <c r="F57" s="305" t="s">
        <v>665</v>
      </c>
      <c r="G57" s="304" t="s">
        <v>639</v>
      </c>
      <c r="H57" s="567">
        <v>25</v>
      </c>
      <c r="I57" s="567">
        <v>25</v>
      </c>
      <c r="J57" s="577">
        <f>+GETPIVOTDATA("AVANCE 2° TRI",$F$43,"Nombre del producto","Noticiero ""Bomberos Hoy""","Tipo de resultado","EXCELENTE")/GETPIVOTDATA("META 2° TRIM",$F$43,"Nombre del producto","Noticiero ""Bomberos Hoy""","Tipo de resultado","EXCELENTE")</f>
        <v>1</v>
      </c>
    </row>
    <row r="58" spans="6:10" ht="15.75" thickBot="1" x14ac:dyDescent="0.3">
      <c r="F58" s="305" t="s">
        <v>668</v>
      </c>
      <c r="G58" s="304" t="s">
        <v>639</v>
      </c>
      <c r="H58" s="567">
        <v>25</v>
      </c>
      <c r="I58" s="567">
        <v>25</v>
      </c>
      <c r="J58" s="577">
        <f>+GETPIVOTDATA("AVANCE 2° TRI",$F$43,"Nombre del producto","Periódico virtual ""El Hidrante!","Tipo de resultado","EXCELENTE")/GETPIVOTDATA("META 2° TRIM",$F$43,"Nombre del producto","Periódico virtual ""El Hidrante!","Tipo de resultado","EXCELENTE")</f>
        <v>1</v>
      </c>
    </row>
    <row r="59" spans="6:10" ht="15.75" thickBot="1" x14ac:dyDescent="0.3">
      <c r="F59" s="305" t="s">
        <v>671</v>
      </c>
      <c r="G59" s="304" t="s">
        <v>639</v>
      </c>
      <c r="H59" s="567">
        <v>25</v>
      </c>
      <c r="I59" s="567">
        <v>25</v>
      </c>
      <c r="J59" s="577">
        <f>+GETPIVOTDATA("AVANCE 2° TRI",$F$43,"Nombre del producto","Reportaje: Bomberos en acción","Tipo de resultado","EXCELENTE")/GETPIVOTDATA("META 2° TRIM",$F$43,"Nombre del producto","Reportaje: Bomberos en acción","Tipo de resultado","EXCELENTE")</f>
        <v>1</v>
      </c>
    </row>
    <row r="60" spans="6:10" ht="15.75" thickBot="1" x14ac:dyDescent="0.3">
      <c r="F60" s="305" t="s">
        <v>674</v>
      </c>
      <c r="G60" s="304" t="s">
        <v>639</v>
      </c>
      <c r="H60" s="567">
        <v>25</v>
      </c>
      <c r="I60" s="567">
        <v>25</v>
      </c>
      <c r="J60" s="577">
        <f>+GETPIVOTDATA("AVANCE 2° TRI",$F$43,"Nombre del producto","La foto de la semana","Tipo de resultado","EXCELENTE")/GETPIVOTDATA("META 2° TRIM",$F$43,"Nombre del producto","La foto de la semana","Tipo de resultado","EXCELENTE")</f>
        <v>1</v>
      </c>
    </row>
    <row r="61" spans="6:10" ht="15.75" thickBot="1" x14ac:dyDescent="0.3">
      <c r="F61" s="305" t="s">
        <v>677</v>
      </c>
      <c r="G61" s="304" t="s">
        <v>639</v>
      </c>
      <c r="H61" s="567">
        <v>25</v>
      </c>
      <c r="I61" s="567">
        <v>25</v>
      </c>
      <c r="J61" s="577">
        <f>+GETPIVOTDATA("AVANCE 2° TRI",$F$43,"Nombre del producto","Crónica: Historias en Bomberos Bogotá","Tipo de resultado","EXCELENTE")/GETPIVOTDATA("META 2° TRIM",$F$43,"Nombre del producto","Crónica: Historias en Bomberos Bogotá","Tipo de resultado","EXCELENTE")</f>
        <v>1</v>
      </c>
    </row>
    <row r="62" spans="6:10" ht="15.75" thickBot="1" x14ac:dyDescent="0.3">
      <c r="F62" s="305" t="s">
        <v>683</v>
      </c>
      <c r="G62" s="304" t="s">
        <v>402</v>
      </c>
      <c r="H62" s="303">
        <v>0.5</v>
      </c>
      <c r="I62" s="303">
        <v>0.45</v>
      </c>
      <c r="J62" s="577">
        <f>+GETPIVOTDATA("AVANCE 2° TRI",$F$43,"Nombre del producto","Plan anual de auditoria vigencia 2019","Tipo de resultado","BUENO")/GETPIVOTDATA("META 2° TRIM",$F$43,"Nombre del producto","Plan anual de auditoria vigencia 2019","Tipo de resultado","BUENO")</f>
        <v>0.9</v>
      </c>
    </row>
    <row r="63" spans="6:10" ht="30.75" thickBot="1" x14ac:dyDescent="0.3">
      <c r="F63" s="305" t="s">
        <v>685</v>
      </c>
      <c r="G63" s="304" t="s">
        <v>639</v>
      </c>
      <c r="H63" s="303">
        <v>1</v>
      </c>
      <c r="I63" s="303">
        <v>1</v>
      </c>
      <c r="J63" s="577">
        <f>+GETPIVOTDATA("AVANCE 2° TRI",$F$43,"Nombre del producto","Plan de adecuación del Modelo Integrado de Planeación y Gestión - MIPG - y el Sistema Integrado de Gestión.","Tipo de resultado","EXCELENTE")/GETPIVOTDATA("META 2° TRIM",$F$43,"Nombre del producto","Plan de adecuación del Modelo Integrado de Planeación y Gestión - MIPG - y el Sistema Integrado de Gestión.","Tipo de resultado","EXCELENTE")</f>
        <v>1</v>
      </c>
    </row>
    <row r="64" spans="6:10" ht="15.75" thickBot="1" x14ac:dyDescent="0.3">
      <c r="F64" s="305" t="s">
        <v>688</v>
      </c>
      <c r="G64" s="304" t="s">
        <v>639</v>
      </c>
      <c r="H64" s="567">
        <v>12</v>
      </c>
      <c r="I64" s="567">
        <v>12</v>
      </c>
      <c r="J64" s="577">
        <f>+GETPIVOTDATA("AVANCE 2° TRI",$F$43,"Nombre del producto","Integracion de los procesos de SIG-MIPG","Tipo de resultado","EXCELENTE")/GETPIVOTDATA("META 2° TRIM",$F$43,"Nombre del producto","Integracion de los procesos de SIG-MIPG","Tipo de resultado","EXCELENTE")</f>
        <v>1</v>
      </c>
    </row>
    <row r="65" spans="6:10" ht="15.75" thickBot="1" x14ac:dyDescent="0.3">
      <c r="F65" s="305" t="s">
        <v>691</v>
      </c>
      <c r="G65" s="304" t="s">
        <v>638</v>
      </c>
      <c r="H65" s="567">
        <v>7</v>
      </c>
      <c r="I65" s="567">
        <v>1</v>
      </c>
      <c r="J65" s="577">
        <f>+GETPIVOTDATA("AVANCE 2° TRI",$F$43,"Nombre del producto","Diagramas de flujo de proceso","Tipo de resultado","MALO")/GETPIVOTDATA("META 2° TRIM",$F$43,"Nombre del producto","Diagramas de flujo de proceso","Tipo de resultado","MALO")</f>
        <v>0.14285714285714285</v>
      </c>
    </row>
    <row r="66" spans="6:10" ht="15.75" thickBot="1" x14ac:dyDescent="0.3">
      <c r="F66" s="305" t="s">
        <v>695</v>
      </c>
      <c r="G66" s="304" t="s">
        <v>639</v>
      </c>
      <c r="H66" s="303">
        <v>0.75</v>
      </c>
      <c r="I66" s="303">
        <v>0.75</v>
      </c>
      <c r="J66" s="577">
        <f>+GETPIVOTDATA("AVANCE 2° TRI",$F$43,"Nombre del producto","Ventanilla única de atención ciudadano. ","Tipo de resultado","EXCELENTE")/GETPIVOTDATA("META 2° TRIM",$F$43,"Nombre del producto","Ventanilla única de atención ciudadano. ","Tipo de resultado","EXCELENTE")</f>
        <v>1</v>
      </c>
    </row>
    <row r="67" spans="6:10" ht="30.75" thickBot="1" x14ac:dyDescent="0.3">
      <c r="F67" s="305" t="s">
        <v>696</v>
      </c>
      <c r="G67" s="304" t="s">
        <v>639</v>
      </c>
      <c r="H67" s="303">
        <v>0.5</v>
      </c>
      <c r="I67" s="303">
        <v>0.5</v>
      </c>
      <c r="J67" s="577">
        <f>+GETPIVOTDATA("AVANCE 2° TRI",$F$43,"Nombre del producto","Diseño, desarrollo e implementación de la nueva intranet para la UAECOB","Tipo de resultado","EXCELENTE")/GETPIVOTDATA("META 2° TRIM",$F$43,"Nombre del producto","Diseño, desarrollo e implementación de la nueva intranet para la UAECOB","Tipo de resultado","EXCELENTE")</f>
        <v>1</v>
      </c>
    </row>
    <row r="68" spans="6:10" ht="30.75" thickBot="1" x14ac:dyDescent="0.3">
      <c r="F68" s="305" t="s">
        <v>698</v>
      </c>
      <c r="G68" s="304" t="s">
        <v>639</v>
      </c>
      <c r="H68" s="303">
        <v>0.5</v>
      </c>
      <c r="I68" s="303">
        <v>0.5</v>
      </c>
      <c r="J68" s="577">
        <f>+GETPIVOTDATA("AVANCE 2° TRI",$F$43,"Nombre del producto","Transición de la Estrategia de Gobierno en linea a la implementacion de la Política de Gobierno Digital ","Tipo de resultado","EXCELENTE")/GETPIVOTDATA("META 2° TRIM",$F$43,"Nombre del producto","Transición de la Estrategia de Gobierno en linea a la implementacion de la Política de Gobierno Digital ","Tipo de resultado","EXCELENTE")</f>
        <v>1</v>
      </c>
    </row>
    <row r="69" spans="6:10" ht="30.75" thickBot="1" x14ac:dyDescent="0.3">
      <c r="F69" s="305" t="s">
        <v>700</v>
      </c>
      <c r="G69" s="304" t="s">
        <v>639</v>
      </c>
      <c r="H69" s="303">
        <v>1</v>
      </c>
      <c r="I69" s="303">
        <v>1</v>
      </c>
      <c r="J69" s="577">
        <f>+GETPIVOTDATA("AVANCE 2° TRI",$F$43,"Nombre del producto","Aplicación móvil para el sistema de información Misional Implementada","Tipo de resultado","EXCELENTE")/GETPIVOTDATA("META 2° TRIM",$F$43,"Nombre del producto","Aplicación móvil para el sistema de información Misional Implementada","Tipo de resultado","EXCELENTE")</f>
        <v>1</v>
      </c>
    </row>
    <row r="70" spans="6:10" ht="30.75" thickBot="1" x14ac:dyDescent="0.3">
      <c r="F70" s="305" t="s">
        <v>701</v>
      </c>
      <c r="G70" s="304" t="s">
        <v>1317</v>
      </c>
      <c r="H70" s="303"/>
      <c r="I70" s="303"/>
      <c r="J70" s="577"/>
    </row>
    <row r="71" spans="6:10" ht="30.75" thickBot="1" x14ac:dyDescent="0.3">
      <c r="F71" s="305" t="s">
        <v>702</v>
      </c>
      <c r="G71" s="304" t="s">
        <v>1317</v>
      </c>
      <c r="H71" s="303"/>
      <c r="I71" s="303"/>
      <c r="J71" s="577"/>
    </row>
    <row r="72" spans="6:10" ht="45.75" thickBot="1" x14ac:dyDescent="0.3">
      <c r="F72" s="305" t="s">
        <v>703</v>
      </c>
      <c r="G72" s="304" t="s">
        <v>639</v>
      </c>
      <c r="H72" s="303">
        <v>0.5</v>
      </c>
      <c r="I72" s="303">
        <v>0.5</v>
      </c>
      <c r="J72" s="577">
        <f>+GETPIVOTDATA("AVANCE 2° TRI",$F$43,"Nombre del producto","Levantamiento de inventario de activos de Información de Software, hardware y servicios, cuadro de caracterización documental actualizados","Tipo de resultado","EXCELENTE")/GETPIVOTDATA("META 2° TRIM",$F$43,"Nombre del producto","Levantamiento de inventario de activos de Información de Software, hardware y servicios, cuadro de caracterización documental actualizados","Tipo de resultado","EXCELENTE")</f>
        <v>1</v>
      </c>
    </row>
    <row r="73" spans="6:10" ht="30.75" thickBot="1" x14ac:dyDescent="0.3">
      <c r="F73" s="305" t="s">
        <v>704</v>
      </c>
      <c r="G73" s="304" t="s">
        <v>639</v>
      </c>
      <c r="H73" s="303">
        <v>0.5</v>
      </c>
      <c r="I73" s="303">
        <v>0.5</v>
      </c>
      <c r="J73" s="577">
        <f>+GETPIVOTDATA("AVANCE 2° TRI",$F$43,"Nombre del producto","Diseño, desarrollo e implementación del nuevo Sistema de Información Misional para la UAECOB","Tipo de resultado","EXCELENTE")/GETPIVOTDATA("META 2° TRIM",$F$43,"Nombre del producto","Diseño, desarrollo e implementación del nuevo Sistema de Información Misional para la UAECOB","Tipo de resultado","EXCELENTE")</f>
        <v>1</v>
      </c>
    </row>
    <row r="74" spans="6:10" ht="15.75" thickBot="1" x14ac:dyDescent="0.3">
      <c r="F74" s="305" t="s">
        <v>706</v>
      </c>
      <c r="G74" s="304" t="s">
        <v>639</v>
      </c>
      <c r="H74" s="303">
        <v>1</v>
      </c>
      <c r="I74" s="303">
        <v>1</v>
      </c>
      <c r="J74" s="577">
        <f>+GETPIVOTDATA("AVANCE 2° TRI",$F$43,"Nombre del producto","Guía de Buenas Prácticas UAECOB 2019","Tipo de resultado","EXCELENTE")/GETPIVOTDATA("META 2° TRIM",$F$43,"Nombre del producto","Guía de Buenas Prácticas UAECOB 2019","Tipo de resultado","EXCELENTE")</f>
        <v>1</v>
      </c>
    </row>
    <row r="75" spans="6:10" ht="15.75" thickBot="1" x14ac:dyDescent="0.3">
      <c r="F75" s="305" t="s">
        <v>709</v>
      </c>
      <c r="G75" s="304" t="s">
        <v>639</v>
      </c>
      <c r="H75" s="303">
        <v>1</v>
      </c>
      <c r="I75" s="303">
        <v>1</v>
      </c>
      <c r="J75" s="577">
        <f>+GETPIVOTDATA("AVANCE 2° TRI",$F$43,"Nombre del producto","Portafolio de Servicios UAECOB 2019","Tipo de resultado","EXCELENTE")/GETPIVOTDATA("META 2° TRIM",$F$43,"Nombre del producto","Portafolio de Servicios UAECOB 2019","Tipo de resultado","EXCELENTE")</f>
        <v>1</v>
      </c>
    </row>
    <row r="76" spans="6:10" ht="15.75" thickBot="1" x14ac:dyDescent="0.3">
      <c r="F76" s="305" t="s">
        <v>711</v>
      </c>
      <c r="G76" s="304" t="s">
        <v>639</v>
      </c>
      <c r="H76" s="567">
        <v>2</v>
      </c>
      <c r="I76" s="567">
        <v>2</v>
      </c>
      <c r="J76" s="577">
        <f>+GETPIVOTDATA("AVANCE 2° TRI",$F$43,"Nombre del producto","Jornadas de articulación con la Academia","Tipo de resultado","EXCELENTE")/GETPIVOTDATA("META 2° TRIM",$F$43,"Nombre del producto","Jornadas de articulación con la Academia","Tipo de resultado","EXCELENTE")</f>
        <v>1</v>
      </c>
    </row>
    <row r="77" spans="6:10" ht="30.75" thickBot="1" x14ac:dyDescent="0.3">
      <c r="F77" s="305" t="s">
        <v>714</v>
      </c>
      <c r="G77" s="304" t="s">
        <v>639</v>
      </c>
      <c r="H77" s="303">
        <v>0.85</v>
      </c>
      <c r="I77" s="303">
        <v>0.85</v>
      </c>
      <c r="J77" s="577">
        <f>+GETPIVOTDATA("AVANCE 2° TRI",$F$43,"Nombre del producto","Modelo de caracterización del relacionamiento de la UAECOB con sus grupos de interés","Tipo de resultado","EXCELENTE")/GETPIVOTDATA("META 2° TRIM",$F$43,"Nombre del producto","Modelo de caracterización del relacionamiento de la UAECOB con sus grupos de interés","Tipo de resultado","EXCELENTE")</f>
        <v>1</v>
      </c>
    </row>
    <row r="78" spans="6:10" ht="30.75" thickBot="1" x14ac:dyDescent="0.3">
      <c r="F78" s="305" t="s">
        <v>716</v>
      </c>
      <c r="G78" s="304" t="s">
        <v>639</v>
      </c>
      <c r="H78" s="303">
        <v>0.5</v>
      </c>
      <c r="I78" s="303">
        <v>0.5</v>
      </c>
      <c r="J78" s="577">
        <f>+GETPIVOTDATA("AVANCE 2° TRI",$F$43,"Nombre del producto","Seguimiento y control de los Planes e Indicadores que Gestiona la Entidad","Tipo de resultado","EXCELENTE")/GETPIVOTDATA("META 2° TRIM",$F$43,"Nombre del producto","Seguimiento y control de los Planes e Indicadores que Gestiona la Entidad","Tipo de resultado","EXCELENTE")</f>
        <v>1</v>
      </c>
    </row>
    <row r="79" spans="6:10" ht="15.75" thickBot="1" x14ac:dyDescent="0.3">
      <c r="F79" s="305" t="s">
        <v>721</v>
      </c>
      <c r="G79" s="304" t="s">
        <v>639</v>
      </c>
      <c r="H79" s="303">
        <v>0.5</v>
      </c>
      <c r="I79" s="303">
        <v>0.5</v>
      </c>
      <c r="J79" s="577">
        <f>+GETPIVOTDATA("AVANCE 2° TRI",$F$43,"Nombre del producto","Construcción de bases de datos de contratos","Tipo de resultado","EXCELENTE")/GETPIVOTDATA("META 2° TRIM",$F$43,"Nombre del producto","Construcción de bases de datos de contratos","Tipo de resultado","EXCELENTE")</f>
        <v>1</v>
      </c>
    </row>
    <row r="80" spans="6:10" ht="30.75" thickBot="1" x14ac:dyDescent="0.3">
      <c r="F80" s="305" t="s">
        <v>723</v>
      </c>
      <c r="G80" s="304" t="s">
        <v>639</v>
      </c>
      <c r="H80" s="303">
        <v>0.8</v>
      </c>
      <c r="I80" s="303">
        <v>0.8</v>
      </c>
      <c r="J80" s="577">
        <f>+GETPIVOTDATA("AVANCE 2° TRI",$F$43,"Nombre del producto","Creación de matriz de control y seguimiento de aprobación garantías","Tipo de resultado","EXCELENTE")/GETPIVOTDATA("META 2° TRIM",$F$43,"Nombre del producto","Creación de matriz de control y seguimiento de aprobación garantías","Tipo de resultado","EXCELENTE")</f>
        <v>1</v>
      </c>
    </row>
    <row r="81" spans="6:10" ht="15.75" thickBot="1" x14ac:dyDescent="0.3">
      <c r="F81" s="305" t="s">
        <v>725</v>
      </c>
      <c r="G81" s="304" t="s">
        <v>639</v>
      </c>
      <c r="H81" s="303">
        <v>0.5</v>
      </c>
      <c r="I81" s="303">
        <v>0.5</v>
      </c>
      <c r="J81" s="577">
        <f>+GETPIVOTDATA("AVANCE 2° TRI",$F$43,"Nombre del producto","Revisión de formatos y procedimientos de contratación ","Tipo de resultado","EXCELENTE")/GETPIVOTDATA("META 2° TRIM",$F$43,"Nombre del producto","Revisión de formatos y procedimientos de contratación ","Tipo de resultado","EXCELENTE")</f>
        <v>1</v>
      </c>
    </row>
    <row r="82" spans="6:10" ht="30.75" thickBot="1" x14ac:dyDescent="0.3">
      <c r="F82" s="305" t="s">
        <v>727</v>
      </c>
      <c r="G82" s="304" t="s">
        <v>638</v>
      </c>
      <c r="H82" s="303">
        <v>0.7</v>
      </c>
      <c r="I82" s="303">
        <v>0.35</v>
      </c>
      <c r="J82" s="577">
        <f>+GETPIVOTDATA("AVANCE 2° TRI",$F$43,"Nombre del producto","Creación de protocolo para la puesta en marcha de medios alternativos de solución de conflictos","Tipo de resultado","MALO")/GETPIVOTDATA("META 2° TRIM",$F$43,"Nombre del producto","Creación de protocolo para la puesta en marcha de medios alternativos de solución de conflictos","Tipo de resultado","MALO")</f>
        <v>0.5</v>
      </c>
    </row>
    <row r="83" spans="6:10" ht="30.75" thickBot="1" x14ac:dyDescent="0.3">
      <c r="F83" s="305" t="s">
        <v>735</v>
      </c>
      <c r="G83" s="304" t="s">
        <v>639</v>
      </c>
      <c r="H83" s="303">
        <v>0.5</v>
      </c>
      <c r="I83" s="303">
        <v>0.5</v>
      </c>
      <c r="J83" s="577">
        <f>+GETPIVOTDATA("AVANCE 2° TRI",$F$43,"Nombre del producto","Documento diagnostico frente a escenarios de aglomeraciones de público permanentes (Teatros y Cinemas)","Tipo de resultado","EXCELENTE")/GETPIVOTDATA("META 2° TRIM",$F$43,"Nombre del producto","Documento diagnostico frente a escenarios de aglomeraciones de público permanentes (Teatros y Cinemas)","Tipo de resultado","EXCELENTE")</f>
        <v>1</v>
      </c>
    </row>
    <row r="84" spans="6:10" ht="30.75" thickBot="1" x14ac:dyDescent="0.3">
      <c r="F84" s="305" t="s">
        <v>739</v>
      </c>
      <c r="G84" s="304" t="s">
        <v>639</v>
      </c>
      <c r="H84" s="303">
        <v>0.5</v>
      </c>
      <c r="I84" s="303">
        <v>0.5</v>
      </c>
      <c r="J84" s="577">
        <f>+GETPIVOTDATA("AVANCE 2° TRI",$F$43,"Nombre del producto","Proyecto virtualización capacitación normativa aplicada a revisiones técnicas","Tipo de resultado","EXCELENTE")/GETPIVOTDATA("META 2° TRIM",$F$43,"Nombre del producto","Proyecto virtualización capacitación normativa aplicada a revisiones técnicas","Tipo de resultado","EXCELENTE")</f>
        <v>1</v>
      </c>
    </row>
    <row r="85" spans="6:10" ht="15.75" thickBot="1" x14ac:dyDescent="0.3">
      <c r="F85" s="305" t="s">
        <v>741</v>
      </c>
      <c r="G85" s="304" t="s">
        <v>638</v>
      </c>
      <c r="H85" s="303">
        <v>0.5</v>
      </c>
      <c r="I85" s="303">
        <v>0.2</v>
      </c>
      <c r="J85" s="577">
        <f>+GETPIVOTDATA("AVANCE 2° TRI",$F$43,"Nombre del producto","Guía de riesgos comunes y asociados a incendios","Tipo de resultado","MALO")/GETPIVOTDATA("META 2° TRIM",$F$43,"Nombre del producto","Guía de riesgos comunes y asociados a incendios","Tipo de resultado","MALO")</f>
        <v>0.4</v>
      </c>
    </row>
    <row r="86" spans="6:10" ht="15.75" thickBot="1" x14ac:dyDescent="0.3">
      <c r="F86" s="305" t="s">
        <v>746</v>
      </c>
      <c r="G86" s="304" t="s">
        <v>639</v>
      </c>
      <c r="H86" s="303">
        <v>0.5</v>
      </c>
      <c r="I86" s="303">
        <v>0.5</v>
      </c>
      <c r="J86" s="577">
        <f>+GETPIVOTDATA("AVANCE 2° TRI",$F$43,"Nombre del producto","Actualización de Módulos de Capacitación Comunitaria","Tipo de resultado","EXCELENTE")/GETPIVOTDATA("META 2° TRIM",$F$43,"Nombre del producto","Actualización de Módulos de Capacitación Comunitaria","Tipo de resultado","EXCELENTE")</f>
        <v>1</v>
      </c>
    </row>
    <row r="87" spans="6:10" ht="30.75" thickBot="1" x14ac:dyDescent="0.3">
      <c r="F87" s="305" t="s">
        <v>748</v>
      </c>
      <c r="G87" s="304" t="s">
        <v>402</v>
      </c>
      <c r="H87" s="303">
        <v>0.5</v>
      </c>
      <c r="I87" s="303">
        <v>0.42499999999999999</v>
      </c>
      <c r="J87" s="577">
        <f>+GETPIVOTDATA("AVANCE 2° TRI",$F$43,"Nombre del producto","Proyecto de virtualización de capacitación a brigadas contra incendio empresarial","Tipo de resultado","BUENO")/GETPIVOTDATA("META 2° TRIM",$F$43,"Nombre del producto","Proyecto de virtualización de capacitación a brigadas contra incendio empresarial","Tipo de resultado","BUENO")</f>
        <v>0.85</v>
      </c>
    </row>
    <row r="88" spans="6:10" ht="60.75" thickBot="1" x14ac:dyDescent="0.3">
      <c r="F88" s="305" t="s">
        <v>750</v>
      </c>
      <c r="G88" s="304" t="s">
        <v>639</v>
      </c>
      <c r="H88" s="303">
        <v>0.5</v>
      </c>
      <c r="I88" s="303">
        <v>0.5</v>
      </c>
      <c r="J88" s="577">
        <f>+GETPIVOTDATA("AVANCE 2° TRI",$F$43,"Nombre del producto","Actualizar la estrategia ""campañas de reducción del riesgo relacionadas con la prevención y mitigación de riesgos de incendio, matpel y otras  emergencias competencia de la UAECOB"" - IMER","Tipo de resultado","EXCELENTE")/GETPIVOTDATA("META 2° TRIM",$F$43,"Nombre del producto","Actualizar la estrategia ""campañas de reducción del riesgo relacionadas con la prevención y mitigación de riesgos de incendio, matpel y otras  emergencias competencia de la UAECOB"" - IMER","Tipo de resultado","EXCELENTE")</f>
        <v>1</v>
      </c>
    </row>
    <row r="89" spans="6:10" ht="30.75" thickBot="1" x14ac:dyDescent="0.3">
      <c r="F89" s="305" t="s">
        <v>752</v>
      </c>
      <c r="G89" s="304" t="s">
        <v>639</v>
      </c>
      <c r="H89" s="303">
        <v>0.5</v>
      </c>
      <c r="I89" s="303">
        <v>0.5</v>
      </c>
      <c r="J89" s="577">
        <f>+GETPIVOTDATA("AVANCE 2° TRI",$F$43,"Nombre del producto","Desarrollar jornadas de capacitación en las estaciones en pedagogía para las actividades del Club Bomberitos ","Tipo de resultado","EXCELENTE")/GETPIVOTDATA("META 2° TRIM",$F$43,"Nombre del producto","Desarrollar jornadas de capacitación en las estaciones en pedagogía para las actividades del Club Bomberitos ","Tipo de resultado","EXCELENTE")</f>
        <v>1</v>
      </c>
    </row>
    <row r="90" spans="6:10" ht="45.75" thickBot="1" x14ac:dyDescent="0.3">
      <c r="F90" s="305" t="s">
        <v>754</v>
      </c>
      <c r="G90" s="304" t="s">
        <v>1327</v>
      </c>
      <c r="H90" s="303"/>
      <c r="I90" s="303"/>
      <c r="J90" s="577"/>
    </row>
    <row r="91" spans="6:10" ht="30.75" thickBot="1" x14ac:dyDescent="0.3">
      <c r="F91" s="305" t="s">
        <v>756</v>
      </c>
      <c r="G91" s="304" t="s">
        <v>639</v>
      </c>
      <c r="H91" s="303">
        <v>0.5</v>
      </c>
      <c r="I91" s="303">
        <v>0.5</v>
      </c>
      <c r="J91" s="577">
        <f>+GETPIVOTDATA("AVANCE 2° TRI",$F$43,"Nombre del producto","Implementación proyecto de prevención y autoprotección  comunitaria ante incendios forestales (fase 2).","Tipo de resultado","EXCELENTE")/GETPIVOTDATA("META 2° TRIM",$F$43,"Nombre del producto","Implementación proyecto de prevención y autoprotección  comunitaria ante incendios forestales (fase 2).","Tipo de resultado","EXCELENTE")</f>
        <v>1</v>
      </c>
    </row>
    <row r="92" spans="6:10" ht="30.75" thickBot="1" x14ac:dyDescent="0.3">
      <c r="F92" s="305" t="s">
        <v>758</v>
      </c>
      <c r="G92" s="304" t="s">
        <v>639</v>
      </c>
      <c r="H92" s="303">
        <v>0.4</v>
      </c>
      <c r="I92" s="303">
        <v>0.4</v>
      </c>
      <c r="J92" s="577">
        <f>+GETPIVOTDATA("AVANCE 2° TRI",$F$43,"Nombre del producto","Actualizar, publicar y seguimiento a la estrategia de cambio climático de la UAECOB","Tipo de resultado","EXCELENTE")/GETPIVOTDATA("META 2° TRIM",$F$43,"Nombre del producto","Actualizar, publicar y seguimiento a la estrategia de cambio climático de la UAECOB","Tipo de resultado","EXCELENTE")</f>
        <v>1</v>
      </c>
    </row>
    <row r="93" spans="6:10" ht="30.75" thickBot="1" x14ac:dyDescent="0.3">
      <c r="F93" s="305" t="s">
        <v>760</v>
      </c>
      <c r="G93" s="304" t="s">
        <v>1309</v>
      </c>
      <c r="H93" s="303">
        <v>0.5</v>
      </c>
      <c r="I93" s="303">
        <v>0.4</v>
      </c>
      <c r="J93" s="577">
        <f>+GETPIVOTDATA("AVANCE 2° TRI",$F$43,"Nombre del producto","cartografía social en localidad de puente Aranda para materiales peligrosos","Tipo de resultado","REGULAR")/GETPIVOTDATA("META 2° TRIM",$F$43,"Nombre del producto","cartografía social en localidad de puente Aranda para materiales peligrosos","Tipo de resultado","REGULAR")</f>
        <v>0.8</v>
      </c>
    </row>
    <row r="94" spans="6:10" ht="30.75" thickBot="1" x14ac:dyDescent="0.3">
      <c r="F94" s="305" t="s">
        <v>762</v>
      </c>
      <c r="G94" s="304" t="s">
        <v>639</v>
      </c>
      <c r="H94" s="303">
        <v>0.5</v>
      </c>
      <c r="I94" s="303">
        <v>0.48</v>
      </c>
      <c r="J94" s="577">
        <f>+GETPIVOTDATA("AVANCE 2° TRI",$F$43,"Nombre del producto","Divulgación de una campaña de gestión del riesgo en las 20 localidades ","Tipo de resultado","EXCELENTE")/GETPIVOTDATA("META 2° TRIM",$F$43,"Nombre del producto","Divulgación de una campaña de gestión del riesgo en las 20 localidades ","Tipo de resultado","EXCELENTE")</f>
        <v>0.96</v>
      </c>
    </row>
    <row r="95" spans="6:10" ht="30.75" thickBot="1" x14ac:dyDescent="0.3">
      <c r="F95" s="305" t="s">
        <v>764</v>
      </c>
      <c r="G95" s="304" t="s">
        <v>1309</v>
      </c>
      <c r="H95" s="303">
        <v>0.4</v>
      </c>
      <c r="I95" s="303">
        <v>0.32</v>
      </c>
      <c r="J95" s="577">
        <f>+GETPIVOTDATA("AVANCE 2° TRI",$F$43,"Nombre del producto","Diseñar y Gestionar una estrategia para la gestión del riesgo por incendios forestales en la localidad de Sumapaz","Tipo de resultado","REGULAR")/GETPIVOTDATA("META 2° TRIM",$F$43,"Nombre del producto","Diseñar y Gestionar una estrategia para la gestión del riesgo por incendios forestales en la localidad de Sumapaz","Tipo de resultado","REGULAR")</f>
        <v>0.79999999999999993</v>
      </c>
    </row>
    <row r="96" spans="6:10" ht="30.75" thickBot="1" x14ac:dyDescent="0.3">
      <c r="F96" s="305" t="s">
        <v>766</v>
      </c>
      <c r="G96" s="304" t="s">
        <v>639</v>
      </c>
      <c r="H96" s="303">
        <v>0.5</v>
      </c>
      <c r="I96" s="303">
        <v>0.5</v>
      </c>
      <c r="J96" s="577">
        <f>+GETPIVOTDATA("AVANCE 2° TRI",$F$43,"Nombre del producto","Insumo para Campaña de Prevención por incendios en el hogar ","Tipo de resultado","EXCELENTE")/GETPIVOTDATA("META 2° TRIM",$F$43,"Nombre del producto","Insumo para Campaña de Prevención por incendios en el hogar ","Tipo de resultado","EXCELENTE")</f>
        <v>1</v>
      </c>
    </row>
    <row r="97" spans="6:10" ht="30.75" thickBot="1" x14ac:dyDescent="0.3">
      <c r="F97" s="305" t="s">
        <v>773</v>
      </c>
      <c r="G97" s="304" t="s">
        <v>639</v>
      </c>
      <c r="H97" s="303">
        <v>1</v>
      </c>
      <c r="I97" s="303">
        <v>1</v>
      </c>
      <c r="J97" s="577">
        <f>+GETPIVOTDATA("AVANCE 2° TRI",$F$43,"Nombre del producto","Curso Bomberitos 
""Nicolas Quevedo Rizo""","Tipo de resultado","EXCELENTE")/GETPIVOTDATA("META 2° TRIM",$F$43,"Nombre del producto","Curso Bomberitos 
""Nicolas Quevedo Rizo""","Tipo de resultado","EXCELENTE")</f>
        <v>1</v>
      </c>
    </row>
    <row r="98" spans="6:10" ht="15.75" thickBot="1" x14ac:dyDescent="0.3">
      <c r="F98" s="305" t="s">
        <v>776</v>
      </c>
      <c r="G98" s="304" t="s">
        <v>638</v>
      </c>
      <c r="H98" s="303">
        <v>0.75</v>
      </c>
      <c r="I98" s="303">
        <v>0</v>
      </c>
      <c r="J98" s="577">
        <f>+GETPIVOTDATA("AVANCE 2° TRI",$F$43,"Nombre del producto","Actualización del árbol de servicios","Tipo de resultado","MALO")/GETPIVOTDATA("META 2° TRIM",$F$43,"Nombre del producto","Actualización del árbol de servicios","Tipo de resultado","MALO")</f>
        <v>0</v>
      </c>
    </row>
    <row r="99" spans="6:10" ht="30.75" thickBot="1" x14ac:dyDescent="0.3">
      <c r="F99" s="305" t="s">
        <v>779</v>
      </c>
      <c r="G99" s="304" t="s">
        <v>639</v>
      </c>
      <c r="H99" s="567">
        <v>2</v>
      </c>
      <c r="I99" s="567">
        <v>2</v>
      </c>
      <c r="J99" s="577">
        <f>+GETPIVOTDATA("AVANCE 2° TRI",$F$43,"Nombre del producto","Información  estadística de las emergencias atendidas por la UAECOB.","Tipo de resultado","EXCELENTE")/GETPIVOTDATA("META 2° TRIM",$F$43,"Nombre del producto","Información  estadística de las emergencias atendidas por la UAECOB.","Tipo de resultado","EXCELENTE")</f>
        <v>1</v>
      </c>
    </row>
    <row r="100" spans="6:10" ht="15.75" thickBot="1" x14ac:dyDescent="0.3">
      <c r="F100" s="305" t="s">
        <v>783</v>
      </c>
      <c r="G100" s="304" t="s">
        <v>638</v>
      </c>
      <c r="H100" s="303">
        <v>1</v>
      </c>
      <c r="I100" s="303">
        <v>0</v>
      </c>
      <c r="J100" s="577">
        <f>+GETPIVOTDATA("AVANCE 2° TRI",$F$43,"Nombre del producto","Simulacro de comunicaciones en emergencias","Tipo de resultado","MALO")/GETPIVOTDATA("META 2° TRIM",$F$43,"Nombre del producto","Simulacro de comunicaciones en emergencias","Tipo de resultado","MALO")</f>
        <v>0</v>
      </c>
    </row>
    <row r="101" spans="6:10" ht="15.75" thickBot="1" x14ac:dyDescent="0.3">
      <c r="F101" s="305" t="s">
        <v>785</v>
      </c>
      <c r="G101" s="304" t="s">
        <v>402</v>
      </c>
      <c r="H101" s="303">
        <v>0.65</v>
      </c>
      <c r="I101" s="303">
        <v>0.54</v>
      </c>
      <c r="J101" s="577">
        <f>+GETPIVOTDATA("AVANCE 2° TRI",$F$43,"Nombre del producto","Revisión de hidrantes en Bogotá","Tipo de resultado","BUENO")/GETPIVOTDATA("META 2° TRIM",$F$43,"Nombre del producto","Revisión de hidrantes en Bogotá","Tipo de resultado","BUENO")</f>
        <v>0.83076923076923082</v>
      </c>
    </row>
    <row r="102" spans="6:10" ht="30.75" thickBot="1" x14ac:dyDescent="0.3">
      <c r="F102" s="305" t="s">
        <v>788</v>
      </c>
      <c r="G102" s="304" t="s">
        <v>639</v>
      </c>
      <c r="H102" s="567">
        <v>100</v>
      </c>
      <c r="I102" s="567">
        <v>100</v>
      </c>
      <c r="J102" s="577">
        <f>+GETPIVOTDATA("AVANCE 2° TRI",$F$43,"Nombre del producto","Plan para el Fortalecimiento de la Gestión Integral de los Servicios Logísticos","Tipo de resultado","EXCELENTE")/GETPIVOTDATA("META 2° TRIM",$F$43,"Nombre del producto","Plan para el Fortalecimiento de la Gestión Integral de los Servicios Logísticos","Tipo de resultado","EXCELENTE")</f>
        <v>1</v>
      </c>
    </row>
    <row r="103" spans="6:10" ht="60.75" thickBot="1" x14ac:dyDescent="0.3">
      <c r="F103" s="305" t="s">
        <v>791</v>
      </c>
      <c r="G103" s="304" t="s">
        <v>1309</v>
      </c>
      <c r="H103" s="567">
        <v>30</v>
      </c>
      <c r="I103" s="567">
        <v>24</v>
      </c>
      <c r="J103" s="577">
        <f>+GETPIVOTDATA("AVANCE 2° TRI",$F$43,"Nombre del producto","
Plan de Mantenimiento Preventivo y Correctivo de Parque Automotor 
","Tipo de resultado","REGULAR")/GETPIVOTDATA("META 2° TRIM",$F$43,"Nombre del producto","
Plan de Mantenimiento Preventivo y Correctivo de Parque Automotor 
","Tipo de resultado","REGULAR")</f>
        <v>0.8</v>
      </c>
    </row>
    <row r="104" spans="6:10" ht="90.75" thickBot="1" x14ac:dyDescent="0.3">
      <c r="F104" s="305" t="s">
        <v>793</v>
      </c>
      <c r="G104" s="304" t="s">
        <v>638</v>
      </c>
      <c r="H104" s="567">
        <v>30</v>
      </c>
      <c r="I104" s="567">
        <v>12</v>
      </c>
      <c r="J104" s="577">
        <f>+GETPIVOTDATA("AVANCE 2° TRI",$F$43,"Nombre del producto","
Plan de Mantenimiento Preventivo y Correctivo de  Equipo Menor
","Tipo de resultado","MALO")/GETPIVOTDATA("META 2° TRIM",$F$43,"Nombre del producto","
Plan de Mantenimiento Preventivo y Correctivo de  Equipo Menor
","Tipo de resultado","MALO")</f>
        <v>0.4</v>
      </c>
    </row>
    <row r="105" spans="6:10" ht="15.75" thickBot="1" x14ac:dyDescent="0.3">
      <c r="F105" s="305" t="s">
        <v>795</v>
      </c>
      <c r="G105" s="304" t="s">
        <v>638</v>
      </c>
      <c r="H105" s="567">
        <v>50</v>
      </c>
      <c r="I105" s="567">
        <v>0</v>
      </c>
      <c r="J105" s="577">
        <f>+GETPIVOTDATA("AVANCE 2° TRI",$F$43,"Nombre del producto","Diagnostico Integral de Archivos","Tipo de resultado","MALO")/GETPIVOTDATA("META 2° TRIM",$F$43,"Nombre del producto","Diagnostico Integral de Archivos","Tipo de resultado","MALO")</f>
        <v>0</v>
      </c>
    </row>
    <row r="106" spans="6:10" ht="15.75" thickBot="1" x14ac:dyDescent="0.3">
      <c r="F106" s="305" t="s">
        <v>799</v>
      </c>
      <c r="G106" s="304" t="s">
        <v>639</v>
      </c>
      <c r="H106" s="567">
        <v>17</v>
      </c>
      <c r="I106" s="567">
        <v>17</v>
      </c>
      <c r="J106" s="577">
        <f>+GETPIVOTDATA("AVANCE 2° TRI",$F$43,"Nombre del producto","Realizar Seguimiento a la implementación del PIGA","Tipo de resultado","EXCELENTE")/GETPIVOTDATA("META 2° TRIM",$F$43,"Nombre del producto","Realizar Seguimiento a la implementación del PIGA","Tipo de resultado","EXCELENTE")</f>
        <v>1</v>
      </c>
    </row>
    <row r="107" spans="6:10" ht="75.75" thickBot="1" x14ac:dyDescent="0.3">
      <c r="F107" s="305" t="s">
        <v>802</v>
      </c>
      <c r="G107" s="304" t="s">
        <v>639</v>
      </c>
      <c r="H107" s="567">
        <v>2</v>
      </c>
      <c r="I107" s="567">
        <v>2</v>
      </c>
      <c r="J107" s="577">
        <v>1</v>
      </c>
    </row>
    <row r="108" spans="6:10" ht="15.75" thickBot="1" x14ac:dyDescent="0.3">
      <c r="F108" s="305" t="s">
        <v>807</v>
      </c>
      <c r="G108" s="304" t="s">
        <v>1327</v>
      </c>
      <c r="H108" s="303"/>
      <c r="I108" s="303"/>
      <c r="J108" s="577"/>
    </row>
    <row r="109" spans="6:10" ht="15.75" thickBot="1" x14ac:dyDescent="0.3">
      <c r="F109" s="305" t="s">
        <v>810</v>
      </c>
      <c r="G109" s="304" t="s">
        <v>402</v>
      </c>
      <c r="H109" s="567">
        <v>25</v>
      </c>
      <c r="I109" s="567">
        <v>21</v>
      </c>
      <c r="J109" s="577">
        <f>+GETPIVOTDATA("AVANCE 2° TRI",$F$43,"Nombre del producto","Cambio de la Cultura del Sistema Integrado de Gestión- MIPG","Tipo de resultado","BUENO")/GETPIVOTDATA("META 2° TRIM",$F$43,"Nombre del producto","Cambio de la Cultura del Sistema Integrado de Gestión- MIPG","Tipo de resultado","BUENO")</f>
        <v>0.84</v>
      </c>
    </row>
    <row r="110" spans="6:10" ht="15.75" thickBot="1" x14ac:dyDescent="0.3">
      <c r="F110" s="305" t="s">
        <v>812</v>
      </c>
      <c r="G110" s="304" t="s">
        <v>638</v>
      </c>
      <c r="H110" s="567">
        <v>34</v>
      </c>
      <c r="I110" s="567">
        <v>17</v>
      </c>
      <c r="J110" s="577">
        <f>+GETPIVOTDATA("AVANCE 2° TRI",$F$43,"Nombre del producto","Certificación ISO 9001-2015","Tipo de resultado","MALO")/GETPIVOTDATA("META 2° TRIM",$F$43,"Nombre del producto","Certificación ISO 9001-2015","Tipo de resultado","MALO")</f>
        <v>0.5</v>
      </c>
    </row>
    <row r="111" spans="6:10" ht="30.75" thickBot="1" x14ac:dyDescent="0.3">
      <c r="F111" s="305" t="s">
        <v>821</v>
      </c>
      <c r="G111" s="304" t="s">
        <v>639</v>
      </c>
      <c r="H111" s="303">
        <v>0.5</v>
      </c>
      <c r="I111" s="303">
        <v>0.5</v>
      </c>
      <c r="J111" s="577">
        <f>+GETPIVOTDATA("AVANCE 2° TRI",$F$43,"Nombre del producto","Implementar una Biblioteca virtual para la Unidad administrativa especial cuerpo oficial de bomberos Bogotá.","Tipo de resultado","EXCELENTE")/GETPIVOTDATA("META 2° TRIM",$F$43,"Nombre del producto","Implementar una Biblioteca virtual para la Unidad administrativa especial cuerpo oficial de bomberos Bogotá.","Tipo de resultado","EXCELENTE")</f>
        <v>1</v>
      </c>
    </row>
    <row r="112" spans="6:10" ht="30.75" thickBot="1" x14ac:dyDescent="0.3">
      <c r="F112" s="305" t="s">
        <v>824</v>
      </c>
      <c r="G112" s="304" t="s">
        <v>638</v>
      </c>
      <c r="H112" s="303">
        <v>0.5</v>
      </c>
      <c r="I112" s="303">
        <v>0</v>
      </c>
      <c r="J112" s="577">
        <f>+GETPIVOTDATA("AVANCE 2° TRI",$F$43,"Nombre del producto","Diseñar un programa de capacitación para ascenso de oficiales y suboficiales adaptado a la misionalidad de la entidad ","Tipo de resultado","MALO")/GETPIVOTDATA("META 2° TRIM",$F$43,"Nombre del producto","Diseñar un programa de capacitación para ascenso de oficiales y suboficiales adaptado a la misionalidad de la entidad ","Tipo de resultado","MALO")</f>
        <v>0</v>
      </c>
    </row>
    <row r="113" spans="6:10" ht="30.75" thickBot="1" x14ac:dyDescent="0.3">
      <c r="F113" s="305" t="s">
        <v>826</v>
      </c>
      <c r="G113" s="304" t="s">
        <v>639</v>
      </c>
      <c r="H113" s="303">
        <v>0.5</v>
      </c>
      <c r="I113" s="303">
        <v>0.5</v>
      </c>
      <c r="J113" s="577">
        <f>+GETPIVOTDATA("AVANCE 2° TRI",$F$43,"Nombre del producto","Realizar un programa de capacitación y reentrenamiento a mínimo dos grupos especializados durante dos jornadas ","Tipo de resultado","EXCELENTE")/GETPIVOTDATA("META 2° TRIM",$F$43,"Nombre del producto","Realizar un programa de capacitación y reentrenamiento a mínimo dos grupos especializados durante dos jornadas ","Tipo de resultado","EXCELENTE")</f>
        <v>1</v>
      </c>
    </row>
    <row r="114" spans="6:10" ht="30.75" thickBot="1" x14ac:dyDescent="0.3">
      <c r="F114" s="305" t="s">
        <v>829</v>
      </c>
      <c r="G114" s="304" t="s">
        <v>639</v>
      </c>
      <c r="H114" s="303">
        <v>0.5</v>
      </c>
      <c r="I114" s="303">
        <v>0.5</v>
      </c>
      <c r="J114" s="577">
        <f>+GETPIVOTDATA("AVANCE 2° TRI",$F$43,"Nombre del producto","Realizar seguimiento a la implementación del subsistema de Seguridad y Salud en el Trabajo","Tipo de resultado","EXCELENTE")/GETPIVOTDATA("META 2° TRIM",$F$43,"Nombre del producto","Realizar seguimiento a la implementación del subsistema de Seguridad y Salud en el Trabajo","Tipo de resultado","EXCELENTE")</f>
        <v>1</v>
      </c>
    </row>
    <row r="115" spans="6:10" ht="45.75" thickBot="1" x14ac:dyDescent="0.3">
      <c r="F115" s="305" t="s">
        <v>831</v>
      </c>
      <c r="G115" s="304" t="s">
        <v>1309</v>
      </c>
      <c r="H115" s="303">
        <v>0.5</v>
      </c>
      <c r="I115" s="303">
        <v>0.4</v>
      </c>
      <c r="J115" s="577">
        <f>+GETPIVOTDATA("AVANCE 2° TRI",$F$43,"Nombre del producto","Realizar las acciones necesarias para la Formalización de la Escuela de Formación Bomberil de la UAECOB ante las autoridades competentes","Tipo de resultado","REGULAR")/GETPIVOTDATA("META 2° TRIM",$F$43,"Nombre del producto","Realizar las acciones necesarias para la Formalización de la Escuela de Formación Bomberil de la UAECOB ante las autoridades competentes","Tipo de resultado","REGULAR")</f>
        <v>0.8</v>
      </c>
    </row>
    <row r="117" spans="6:10" ht="15.75" thickBot="1" x14ac:dyDescent="0.3"/>
  </sheetData>
  <conditionalFormatting sqref="J44:J115">
    <cfRule type="iconSet" priority="1">
      <iconSet>
        <cfvo type="percent" val="0"/>
        <cfvo type="num" val="0.6" gte="0"/>
        <cfvo type="num" val="0.8" gte="0"/>
      </iconSet>
    </cfRule>
  </conditionalFormatting>
  <dataValidations count="1">
    <dataValidation type="list" allowBlank="1" showInputMessage="1" showErrorMessage="1" sqref="CH17">
      <formula1>$CE$15:$CE$16</formula1>
    </dataValidation>
  </dataValidations>
  <pageMargins left="0.7" right="0.7" top="0.75" bottom="0.75" header="0.3" footer="0.3"/>
  <pageSetup orientation="portrait" horizontalDpi="4294967294" verticalDpi="4294967294" r:id="rId2"/>
  <drawing r:id="rId3"/>
  <legacyDrawing r:id="rId4"/>
  <mc:AlternateContent xmlns:mc="http://schemas.openxmlformats.org/markup-compatibility/2006">
    <mc:Choice Requires="x14">
      <controls>
        <mc:AlternateContent xmlns:mc="http://schemas.openxmlformats.org/markup-compatibility/2006">
          <mc:Choice Requires="x14">
            <control shapeId="22529" r:id="rId5" name="Check Box 1">
              <controlPr defaultSize="0" autoFill="0" autoLine="0" autoPict="0">
                <anchor moveWithCells="1">
                  <from>
                    <xdr:col>8</xdr:col>
                    <xdr:colOff>533400</xdr:colOff>
                    <xdr:row>16</xdr:row>
                    <xdr:rowOff>9525</xdr:rowOff>
                  </from>
                  <to>
                    <xdr:col>9</xdr:col>
                    <xdr:colOff>752475</xdr:colOff>
                    <xdr:row>17</xdr:row>
                    <xdr:rowOff>114300</xdr:rowOff>
                  </to>
                </anchor>
              </controlPr>
            </control>
          </mc:Choice>
        </mc:AlternateContent>
        <mc:AlternateContent xmlns:mc="http://schemas.openxmlformats.org/markup-compatibility/2006">
          <mc:Choice Requires="x14">
            <control shapeId="22530" r:id="rId6" name="Check Box 2">
              <controlPr defaultSize="0" autoFill="0" autoLine="0" autoPict="0">
                <anchor moveWithCells="1">
                  <from>
                    <xdr:col>9</xdr:col>
                    <xdr:colOff>942975</xdr:colOff>
                    <xdr:row>16</xdr:row>
                    <xdr:rowOff>28575</xdr:rowOff>
                  </from>
                  <to>
                    <xdr:col>10</xdr:col>
                    <xdr:colOff>704850</xdr:colOff>
                    <xdr:row>17</xdr:row>
                    <xdr:rowOff>123825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Tablas!$A$4:$A$12</xm:f>
          </x14:formula1>
          <xm:sqref>B44</xm:sqref>
        </x14:dataValidation>
        <x14:dataValidation type="list" allowBlank="1" showInputMessage="1" showErrorMessage="1">
          <x14:formula1>
            <xm:f>Tablas!$A$18:$A$26</xm:f>
          </x14:formula1>
          <xm:sqref>C44</xm:sqref>
        </x14:dataValidation>
      </x14:dataValidations>
    </ext>
    <ext xmlns:x14="http://schemas.microsoft.com/office/spreadsheetml/2009/9/main" uri="{A8765BA9-456A-4dab-B4F3-ACF838C121DE}">
      <x14:slicerList>
        <x14:slicer r:id="rId7"/>
      </x14:slicerList>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B1:AF85"/>
  <sheetViews>
    <sheetView showGridLines="0" topLeftCell="K1" zoomScale="70" zoomScaleNormal="70" workbookViewId="0">
      <selection activeCell="Y7" sqref="Y7"/>
    </sheetView>
  </sheetViews>
  <sheetFormatPr baseColWidth="10" defaultRowHeight="15" x14ac:dyDescent="0.25"/>
  <cols>
    <col min="1" max="1" width="4.125" customWidth="1"/>
    <col min="2" max="3" width="29.75" customWidth="1"/>
    <col min="4" max="4" width="38.625" customWidth="1"/>
    <col min="5" max="5" width="26.375" customWidth="1"/>
    <col min="6" max="6" width="30.75" customWidth="1"/>
    <col min="7" max="7" width="8.375" customWidth="1"/>
    <col min="8" max="13" width="31.625" customWidth="1"/>
    <col min="14" max="17" width="11.375" customWidth="1"/>
    <col min="18" max="18" width="21.375" customWidth="1"/>
    <col min="19" max="19" width="33.5" hidden="1" customWidth="1"/>
    <col min="20" max="20" width="21.375" customWidth="1"/>
    <col min="21" max="21" width="55.25" customWidth="1"/>
    <col min="22" max="22" width="19.875" customWidth="1"/>
    <col min="23" max="23" width="21.125" customWidth="1"/>
    <col min="24" max="26" width="18.25" customWidth="1"/>
    <col min="27" max="27" width="28.125" bestFit="1" customWidth="1"/>
    <col min="28" max="28" width="0" hidden="1" customWidth="1"/>
    <col min="29" max="29" width="13.375" hidden="1" customWidth="1"/>
    <col min="30" max="33" width="0" hidden="1" customWidth="1"/>
  </cols>
  <sheetData>
    <row r="1" spans="2:32" x14ac:dyDescent="0.25">
      <c r="X1" s="1026"/>
    </row>
    <row r="2" spans="2:32" x14ac:dyDescent="0.25">
      <c r="X2" s="1026"/>
    </row>
    <row r="3" spans="2:32" x14ac:dyDescent="0.25">
      <c r="X3" s="1026"/>
    </row>
    <row r="4" spans="2:32" x14ac:dyDescent="0.25">
      <c r="X4" s="1026"/>
    </row>
    <row r="5" spans="2:32" ht="15.75" thickBot="1" x14ac:dyDescent="0.3">
      <c r="X5" s="1027"/>
    </row>
    <row r="6" spans="2:32" ht="78.75" customHeight="1" thickBot="1" x14ac:dyDescent="0.3">
      <c r="B6" s="2" t="s">
        <v>386</v>
      </c>
      <c r="C6" s="2" t="s">
        <v>387</v>
      </c>
      <c r="D6" s="2" t="s">
        <v>4</v>
      </c>
      <c r="E6" s="3" t="s">
        <v>5</v>
      </c>
      <c r="F6" s="4" t="s">
        <v>6</v>
      </c>
      <c r="G6" s="5" t="s">
        <v>7</v>
      </c>
      <c r="H6" s="5" t="s">
        <v>8</v>
      </c>
      <c r="I6" s="6" t="s">
        <v>9</v>
      </c>
      <c r="J6" s="7" t="s">
        <v>10</v>
      </c>
      <c r="K6" s="7" t="s">
        <v>11</v>
      </c>
      <c r="L6" s="7" t="s">
        <v>12</v>
      </c>
      <c r="M6" s="6" t="s">
        <v>13</v>
      </c>
      <c r="N6" s="97" t="s">
        <v>14</v>
      </c>
      <c r="O6" s="97" t="s">
        <v>15</v>
      </c>
      <c r="P6" s="97" t="s">
        <v>16</v>
      </c>
      <c r="Q6" s="97" t="s">
        <v>17</v>
      </c>
      <c r="R6" s="325" t="s">
        <v>655</v>
      </c>
      <c r="S6" s="325" t="s">
        <v>656</v>
      </c>
      <c r="T6" s="325" t="s">
        <v>654</v>
      </c>
      <c r="U6" s="325" t="s">
        <v>464</v>
      </c>
      <c r="V6" s="325" t="s">
        <v>399</v>
      </c>
      <c r="W6" s="718" t="s">
        <v>465</v>
      </c>
      <c r="X6" s="721" t="s">
        <v>894</v>
      </c>
      <c r="Y6" s="721" t="s">
        <v>401</v>
      </c>
      <c r="Z6" s="721" t="s">
        <v>398</v>
      </c>
      <c r="AA6" s="722" t="s">
        <v>405</v>
      </c>
      <c r="AC6" s="1"/>
      <c r="AD6" s="1"/>
      <c r="AE6" s="1"/>
      <c r="AF6" s="1"/>
    </row>
    <row r="7" spans="2:32" ht="80.099999999999994" customHeight="1" thickBot="1" x14ac:dyDescent="0.3">
      <c r="B7" s="346" t="s">
        <v>388</v>
      </c>
      <c r="C7" s="347" t="s">
        <v>389</v>
      </c>
      <c r="D7" s="348" t="s">
        <v>23</v>
      </c>
      <c r="E7" s="349" t="s">
        <v>532</v>
      </c>
      <c r="F7" s="350" t="s">
        <v>24</v>
      </c>
      <c r="G7" s="533">
        <v>1</v>
      </c>
      <c r="H7" s="351" t="s">
        <v>25</v>
      </c>
      <c r="I7" s="352">
        <v>0.2</v>
      </c>
      <c r="J7" s="353">
        <v>12</v>
      </c>
      <c r="K7" s="352" t="s">
        <v>664</v>
      </c>
      <c r="L7" s="352" t="s">
        <v>27</v>
      </c>
      <c r="M7" s="578" t="s">
        <v>28</v>
      </c>
      <c r="N7" s="588">
        <v>3</v>
      </c>
      <c r="O7" s="588">
        <v>6</v>
      </c>
      <c r="P7" s="588">
        <v>9</v>
      </c>
      <c r="Q7" s="621">
        <v>12</v>
      </c>
      <c r="R7" s="326">
        <f>O7</f>
        <v>6</v>
      </c>
      <c r="S7" s="526">
        <f>IFERROR(R7/O7,0)*I7</f>
        <v>0.2</v>
      </c>
      <c r="T7" s="326">
        <v>6</v>
      </c>
      <c r="U7" s="631" t="s">
        <v>841</v>
      </c>
      <c r="V7" s="564" t="s">
        <v>1326</v>
      </c>
      <c r="W7" s="719"/>
      <c r="X7" s="704">
        <f t="shared" ref="X7:X14" si="0">IFERROR((T7/R7),0)</f>
        <v>1</v>
      </c>
      <c r="Y7" s="704" t="str">
        <f t="shared" ref="Y7:Y14" si="1">+IF(AND(X7&gt;=0%,X7&lt;=60%),"MALO",IF(AND(X7&gt;=61%,X7&lt;=80%),"REGULAR",IF(AND(X7&gt;=81%,X7&lt;95%),"BUENO","EXCELENTE")))</f>
        <v>EXCELENTE</v>
      </c>
      <c r="Z7" s="705" t="str">
        <f t="shared" ref="Z7:Z14" si="2">IF(X7&gt;0,"EN EJECUCIÓN","SIN EJECUTAR")</f>
        <v>EN EJECUCIÓN</v>
      </c>
      <c r="AA7" s="706">
        <f t="shared" ref="AA7:AA14" si="3">X7*I7</f>
        <v>0.2</v>
      </c>
      <c r="AC7" s="1"/>
      <c r="AD7" s="1"/>
      <c r="AE7" s="1"/>
      <c r="AF7" s="1"/>
    </row>
    <row r="8" spans="2:32" ht="80.099999999999994" customHeight="1" thickBot="1" x14ac:dyDescent="0.3">
      <c r="B8" s="354" t="s">
        <v>388</v>
      </c>
      <c r="C8" s="355" t="s">
        <v>389</v>
      </c>
      <c r="D8" s="52" t="s">
        <v>23</v>
      </c>
      <c r="E8" s="229" t="s">
        <v>532</v>
      </c>
      <c r="F8" s="356" t="s">
        <v>24</v>
      </c>
      <c r="G8" s="533">
        <v>2</v>
      </c>
      <c r="H8" s="357" t="s">
        <v>665</v>
      </c>
      <c r="I8" s="358">
        <v>0.2</v>
      </c>
      <c r="J8" s="359">
        <v>50</v>
      </c>
      <c r="K8" s="358" t="s">
        <v>666</v>
      </c>
      <c r="L8" s="358" t="s">
        <v>667</v>
      </c>
      <c r="M8" s="579" t="s">
        <v>28</v>
      </c>
      <c r="N8" s="589">
        <v>12</v>
      </c>
      <c r="O8" s="589">
        <v>25</v>
      </c>
      <c r="P8" s="589">
        <v>38</v>
      </c>
      <c r="Q8" s="622">
        <v>50</v>
      </c>
      <c r="R8" s="326">
        <f t="shared" ref="R8:R70" si="4">O8</f>
        <v>25</v>
      </c>
      <c r="S8" s="526">
        <f t="shared" ref="S8:S70" si="5">IFERROR(R8/O8,0)*I8</f>
        <v>0.2</v>
      </c>
      <c r="T8" s="326">
        <v>25</v>
      </c>
      <c r="U8" s="631" t="s">
        <v>680</v>
      </c>
      <c r="V8" s="564" t="s">
        <v>842</v>
      </c>
      <c r="W8" s="719"/>
      <c r="X8" s="704">
        <f t="shared" si="0"/>
        <v>1</v>
      </c>
      <c r="Y8" s="704" t="str">
        <f t="shared" si="1"/>
        <v>EXCELENTE</v>
      </c>
      <c r="Z8" s="705" t="str">
        <f t="shared" si="2"/>
        <v>EN EJECUCIÓN</v>
      </c>
      <c r="AA8" s="706">
        <f t="shared" si="3"/>
        <v>0.2</v>
      </c>
      <c r="AC8" s="1"/>
      <c r="AD8" s="1"/>
      <c r="AE8" s="1"/>
      <c r="AF8" s="1"/>
    </row>
    <row r="9" spans="2:32" ht="80.099999999999994" customHeight="1" thickBot="1" x14ac:dyDescent="0.3">
      <c r="B9" s="346" t="s">
        <v>388</v>
      </c>
      <c r="C9" s="347" t="s">
        <v>389</v>
      </c>
      <c r="D9" s="348" t="s">
        <v>23</v>
      </c>
      <c r="E9" s="349" t="s">
        <v>532</v>
      </c>
      <c r="F9" s="350" t="s">
        <v>24</v>
      </c>
      <c r="G9" s="533">
        <v>3</v>
      </c>
      <c r="H9" s="351" t="s">
        <v>668</v>
      </c>
      <c r="I9" s="352">
        <v>0.15</v>
      </c>
      <c r="J9" s="353">
        <v>50</v>
      </c>
      <c r="K9" s="352" t="s">
        <v>669</v>
      </c>
      <c r="L9" s="352" t="s">
        <v>670</v>
      </c>
      <c r="M9" s="578" t="s">
        <v>28</v>
      </c>
      <c r="N9" s="588">
        <v>12</v>
      </c>
      <c r="O9" s="588">
        <v>25</v>
      </c>
      <c r="P9" s="588">
        <v>38</v>
      </c>
      <c r="Q9" s="621">
        <v>50</v>
      </c>
      <c r="R9" s="326">
        <f t="shared" si="4"/>
        <v>25</v>
      </c>
      <c r="S9" s="526">
        <f t="shared" si="5"/>
        <v>0.15</v>
      </c>
      <c r="T9" s="326">
        <v>25</v>
      </c>
      <c r="U9" s="631" t="s">
        <v>843</v>
      </c>
      <c r="V9" s="564" t="s">
        <v>844</v>
      </c>
      <c r="W9" s="719"/>
      <c r="X9" s="704">
        <f t="shared" si="0"/>
        <v>1</v>
      </c>
      <c r="Y9" s="704" t="str">
        <f t="shared" si="1"/>
        <v>EXCELENTE</v>
      </c>
      <c r="Z9" s="705" t="str">
        <f t="shared" si="2"/>
        <v>EN EJECUCIÓN</v>
      </c>
      <c r="AA9" s="706">
        <f t="shared" si="3"/>
        <v>0.15</v>
      </c>
      <c r="AC9" s="1"/>
      <c r="AD9" s="1"/>
      <c r="AE9" s="1"/>
      <c r="AF9" s="1"/>
    </row>
    <row r="10" spans="2:32" ht="80.099999999999994" customHeight="1" thickBot="1" x14ac:dyDescent="0.3">
      <c r="B10" s="354" t="s">
        <v>388</v>
      </c>
      <c r="C10" s="355" t="s">
        <v>389</v>
      </c>
      <c r="D10" s="52" t="s">
        <v>23</v>
      </c>
      <c r="E10" s="229" t="s">
        <v>532</v>
      </c>
      <c r="F10" s="356" t="s">
        <v>24</v>
      </c>
      <c r="G10" s="533">
        <v>4</v>
      </c>
      <c r="H10" s="357" t="s">
        <v>671</v>
      </c>
      <c r="I10" s="358">
        <v>0.2</v>
      </c>
      <c r="J10" s="359">
        <v>50</v>
      </c>
      <c r="K10" s="358" t="s">
        <v>672</v>
      </c>
      <c r="L10" s="358" t="s">
        <v>673</v>
      </c>
      <c r="M10" s="579" t="s">
        <v>28</v>
      </c>
      <c r="N10" s="589">
        <v>12</v>
      </c>
      <c r="O10" s="589">
        <v>25</v>
      </c>
      <c r="P10" s="589">
        <v>38</v>
      </c>
      <c r="Q10" s="622">
        <v>50</v>
      </c>
      <c r="R10" s="326">
        <f t="shared" si="4"/>
        <v>25</v>
      </c>
      <c r="S10" s="526">
        <f t="shared" si="5"/>
        <v>0.2</v>
      </c>
      <c r="T10" s="326">
        <v>25</v>
      </c>
      <c r="U10" s="631" t="s">
        <v>845</v>
      </c>
      <c r="V10" s="564" t="s">
        <v>846</v>
      </c>
      <c r="W10" s="719"/>
      <c r="X10" s="704">
        <f t="shared" si="0"/>
        <v>1</v>
      </c>
      <c r="Y10" s="704" t="str">
        <f t="shared" si="1"/>
        <v>EXCELENTE</v>
      </c>
      <c r="Z10" s="705" t="str">
        <f t="shared" si="2"/>
        <v>EN EJECUCIÓN</v>
      </c>
      <c r="AA10" s="706">
        <f t="shared" si="3"/>
        <v>0.2</v>
      </c>
      <c r="AC10" s="1"/>
      <c r="AD10" s="1"/>
      <c r="AE10" s="1"/>
      <c r="AF10" s="1"/>
    </row>
    <row r="11" spans="2:32" ht="80.099999999999994" customHeight="1" thickBot="1" x14ac:dyDescent="0.3">
      <c r="B11" s="346" t="s">
        <v>388</v>
      </c>
      <c r="C11" s="347" t="s">
        <v>389</v>
      </c>
      <c r="D11" s="348" t="s">
        <v>23</v>
      </c>
      <c r="E11" s="349" t="s">
        <v>532</v>
      </c>
      <c r="F11" s="350" t="s">
        <v>24</v>
      </c>
      <c r="G11" s="533">
        <v>5</v>
      </c>
      <c r="H11" s="351" t="s">
        <v>674</v>
      </c>
      <c r="I11" s="352">
        <v>0.1</v>
      </c>
      <c r="J11" s="353">
        <v>50</v>
      </c>
      <c r="K11" s="352" t="s">
        <v>675</v>
      </c>
      <c r="L11" s="352" t="s">
        <v>676</v>
      </c>
      <c r="M11" s="578" t="s">
        <v>28</v>
      </c>
      <c r="N11" s="588">
        <v>12</v>
      </c>
      <c r="O11" s="588">
        <v>25</v>
      </c>
      <c r="P11" s="588">
        <v>38</v>
      </c>
      <c r="Q11" s="621">
        <v>50</v>
      </c>
      <c r="R11" s="326">
        <f>O11</f>
        <v>25</v>
      </c>
      <c r="S11" s="526">
        <f>IFERROR(R11/O11,0)*I11</f>
        <v>0.1</v>
      </c>
      <c r="T11" s="326">
        <v>25</v>
      </c>
      <c r="U11" s="631" t="s">
        <v>682</v>
      </c>
      <c r="V11" s="564" t="s">
        <v>847</v>
      </c>
      <c r="W11" s="719"/>
      <c r="X11" s="704">
        <f t="shared" si="0"/>
        <v>1</v>
      </c>
      <c r="Y11" s="704" t="str">
        <f t="shared" si="1"/>
        <v>EXCELENTE</v>
      </c>
      <c r="Z11" s="705" t="str">
        <f t="shared" si="2"/>
        <v>EN EJECUCIÓN</v>
      </c>
      <c r="AA11" s="706">
        <f t="shared" si="3"/>
        <v>0.1</v>
      </c>
      <c r="AC11" s="1"/>
      <c r="AD11" s="1"/>
      <c r="AE11" s="1"/>
      <c r="AF11" s="1"/>
    </row>
    <row r="12" spans="2:32" ht="80.099999999999994" customHeight="1" x14ac:dyDescent="0.25">
      <c r="B12" s="354" t="s">
        <v>388</v>
      </c>
      <c r="C12" s="355" t="s">
        <v>389</v>
      </c>
      <c r="D12" s="52" t="s">
        <v>23</v>
      </c>
      <c r="E12" s="229" t="s">
        <v>532</v>
      </c>
      <c r="F12" s="356" t="s">
        <v>24</v>
      </c>
      <c r="G12" s="533">
        <v>6</v>
      </c>
      <c r="H12" s="16" t="s">
        <v>677</v>
      </c>
      <c r="I12" s="358">
        <v>0.15</v>
      </c>
      <c r="J12" s="360">
        <v>50</v>
      </c>
      <c r="K12" s="361" t="s">
        <v>672</v>
      </c>
      <c r="L12" s="16" t="s">
        <v>678</v>
      </c>
      <c r="M12" s="579" t="s">
        <v>28</v>
      </c>
      <c r="N12" s="589">
        <v>12</v>
      </c>
      <c r="O12" s="589">
        <v>25</v>
      </c>
      <c r="P12" s="589">
        <v>38</v>
      </c>
      <c r="Q12" s="622">
        <v>50</v>
      </c>
      <c r="R12" s="326">
        <f>O12</f>
        <v>25</v>
      </c>
      <c r="S12" s="526">
        <f>IFERROR(R12/O12,0)*I12</f>
        <v>0.15</v>
      </c>
      <c r="T12" s="326">
        <v>25</v>
      </c>
      <c r="U12" s="728" t="s">
        <v>848</v>
      </c>
      <c r="V12" s="564" t="s">
        <v>849</v>
      </c>
      <c r="W12" s="719"/>
      <c r="X12" s="704">
        <f t="shared" si="0"/>
        <v>1</v>
      </c>
      <c r="Y12" s="704" t="str">
        <f t="shared" si="1"/>
        <v>EXCELENTE</v>
      </c>
      <c r="Z12" s="705" t="str">
        <f t="shared" si="2"/>
        <v>EN EJECUCIÓN</v>
      </c>
      <c r="AA12" s="706">
        <f t="shared" si="3"/>
        <v>0.15</v>
      </c>
      <c r="AC12" s="1"/>
      <c r="AD12" s="1"/>
      <c r="AE12" s="1"/>
      <c r="AF12" s="1"/>
    </row>
    <row r="13" spans="2:32" ht="80.099999999999994" customHeight="1" thickBot="1" x14ac:dyDescent="0.3">
      <c r="B13" s="346" t="s">
        <v>388</v>
      </c>
      <c r="C13" s="347" t="s">
        <v>389</v>
      </c>
      <c r="D13" s="348" t="s">
        <v>23</v>
      </c>
      <c r="E13" s="349" t="s">
        <v>533</v>
      </c>
      <c r="F13" s="350" t="s">
        <v>53</v>
      </c>
      <c r="G13" s="534">
        <v>1</v>
      </c>
      <c r="H13" s="362" t="s">
        <v>683</v>
      </c>
      <c r="I13" s="352">
        <v>1</v>
      </c>
      <c r="J13" s="363">
        <v>100</v>
      </c>
      <c r="K13" s="364" t="s">
        <v>184</v>
      </c>
      <c r="L13" s="362" t="s">
        <v>684</v>
      </c>
      <c r="M13" s="580" t="s">
        <v>56</v>
      </c>
      <c r="N13" s="384">
        <v>0.25</v>
      </c>
      <c r="O13" s="384">
        <v>0.5</v>
      </c>
      <c r="P13" s="384">
        <v>0.75</v>
      </c>
      <c r="Q13" s="623">
        <v>1</v>
      </c>
      <c r="R13" s="327">
        <f t="shared" si="4"/>
        <v>0.5</v>
      </c>
      <c r="S13" s="526">
        <f t="shared" si="5"/>
        <v>1</v>
      </c>
      <c r="T13" s="598">
        <v>0.45</v>
      </c>
      <c r="U13" s="728" t="s">
        <v>850</v>
      </c>
      <c r="V13" s="729" t="s">
        <v>851</v>
      </c>
      <c r="W13" s="730"/>
      <c r="X13" s="704">
        <f t="shared" si="0"/>
        <v>0.9</v>
      </c>
      <c r="Y13" s="704" t="str">
        <f t="shared" si="1"/>
        <v>BUENO</v>
      </c>
      <c r="Z13" s="705" t="str">
        <f t="shared" si="2"/>
        <v>EN EJECUCIÓN</v>
      </c>
      <c r="AA13" s="706">
        <f t="shared" si="3"/>
        <v>0.9</v>
      </c>
      <c r="AC13" s="1"/>
      <c r="AD13" s="1"/>
      <c r="AE13" s="1"/>
      <c r="AF13" s="1"/>
    </row>
    <row r="14" spans="2:32" ht="80.099999999999994" customHeight="1" x14ac:dyDescent="0.25">
      <c r="B14" s="354" t="s">
        <v>388</v>
      </c>
      <c r="C14" s="355" t="s">
        <v>389</v>
      </c>
      <c r="D14" s="52" t="s">
        <v>23</v>
      </c>
      <c r="E14" s="229" t="s">
        <v>543</v>
      </c>
      <c r="F14" s="356" t="s">
        <v>59</v>
      </c>
      <c r="G14" s="533">
        <v>1</v>
      </c>
      <c r="H14" s="337" t="s">
        <v>685</v>
      </c>
      <c r="I14" s="365">
        <v>6.25E-2</v>
      </c>
      <c r="J14" s="360">
        <v>100</v>
      </c>
      <c r="K14" s="358" t="s">
        <v>184</v>
      </c>
      <c r="L14" s="358" t="s">
        <v>686</v>
      </c>
      <c r="M14" s="579" t="s">
        <v>687</v>
      </c>
      <c r="N14" s="383">
        <v>0.5</v>
      </c>
      <c r="O14" s="383">
        <v>1</v>
      </c>
      <c r="P14" s="589">
        <v>0</v>
      </c>
      <c r="Q14" s="622">
        <v>0</v>
      </c>
      <c r="R14" s="327">
        <f t="shared" si="4"/>
        <v>1</v>
      </c>
      <c r="S14" s="526">
        <f t="shared" si="5"/>
        <v>6.25E-2</v>
      </c>
      <c r="T14" s="598">
        <v>1</v>
      </c>
      <c r="U14" s="728" t="s">
        <v>852</v>
      </c>
      <c r="V14" s="729" t="s">
        <v>853</v>
      </c>
      <c r="W14" s="730"/>
      <c r="X14" s="704">
        <f t="shared" si="0"/>
        <v>1</v>
      </c>
      <c r="Y14" s="704" t="str">
        <f t="shared" si="1"/>
        <v>EXCELENTE</v>
      </c>
      <c r="Z14" s="705" t="str">
        <f t="shared" si="2"/>
        <v>EN EJECUCIÓN</v>
      </c>
      <c r="AA14" s="706">
        <f t="shared" si="3"/>
        <v>6.25E-2</v>
      </c>
      <c r="AB14" s="572"/>
    </row>
    <row r="15" spans="2:32" ht="80.099999999999994" customHeight="1" thickBot="1" x14ac:dyDescent="0.3">
      <c r="B15" s="346" t="s">
        <v>388</v>
      </c>
      <c r="C15" s="347" t="s">
        <v>389</v>
      </c>
      <c r="D15" s="348" t="s">
        <v>23</v>
      </c>
      <c r="E15" s="349" t="s">
        <v>543</v>
      </c>
      <c r="F15" s="350" t="s">
        <v>59</v>
      </c>
      <c r="G15" s="549">
        <v>2</v>
      </c>
      <c r="H15" s="362" t="s">
        <v>688</v>
      </c>
      <c r="I15" s="366">
        <v>6.25E-2</v>
      </c>
      <c r="J15" s="353">
        <v>12</v>
      </c>
      <c r="K15" s="352" t="s">
        <v>689</v>
      </c>
      <c r="L15" s="352" t="s">
        <v>690</v>
      </c>
      <c r="M15" s="578" t="s">
        <v>687</v>
      </c>
      <c r="N15" s="588">
        <v>6</v>
      </c>
      <c r="O15" s="588">
        <v>12</v>
      </c>
      <c r="P15" s="588">
        <v>0</v>
      </c>
      <c r="Q15" s="621">
        <v>0</v>
      </c>
      <c r="R15" s="326">
        <f t="shared" ref="R15:R25" si="6">O15</f>
        <v>12</v>
      </c>
      <c r="S15" s="526">
        <f t="shared" ref="S15:S25" si="7">IFERROR(R15/O15,0)*I15</f>
        <v>6.25E-2</v>
      </c>
      <c r="T15" s="599">
        <v>12</v>
      </c>
      <c r="U15" s="728" t="s">
        <v>854</v>
      </c>
      <c r="V15" s="729" t="s">
        <v>855</v>
      </c>
      <c r="W15" s="730"/>
      <c r="X15" s="704">
        <f t="shared" ref="X15:X20" si="8">IFERROR((T15/R15),0)</f>
        <v>1</v>
      </c>
      <c r="Y15" s="704" t="str">
        <f t="shared" ref="Y15:Y20" si="9">+IF(AND(X15&gt;=0%,X15&lt;=60%),"MALO",IF(AND(X15&gt;=61%,X15&lt;=80%),"REGULAR",IF(AND(X15&gt;=81%,X15&lt;95%),"BUENO","EXCELENTE")))</f>
        <v>EXCELENTE</v>
      </c>
      <c r="Z15" s="705" t="str">
        <f t="shared" ref="Z15:Z20" si="10">IF(X15&gt;0,"EN EJECUCIÓN","SIN EJECUTAR")</f>
        <v>EN EJECUCIÓN</v>
      </c>
      <c r="AA15" s="706">
        <f t="shared" ref="AA15:AA20" si="11">X15*I15</f>
        <v>6.25E-2</v>
      </c>
      <c r="AB15" s="572"/>
    </row>
    <row r="16" spans="2:32" ht="80.099999999999994" customHeight="1" thickBot="1" x14ac:dyDescent="0.3">
      <c r="B16" s="354" t="s">
        <v>388</v>
      </c>
      <c r="C16" s="355" t="s">
        <v>389</v>
      </c>
      <c r="D16" s="52" t="s">
        <v>23</v>
      </c>
      <c r="E16" s="229" t="s">
        <v>543</v>
      </c>
      <c r="F16" s="356" t="s">
        <v>59</v>
      </c>
      <c r="G16" s="533">
        <v>3</v>
      </c>
      <c r="H16" s="16" t="s">
        <v>691</v>
      </c>
      <c r="I16" s="365">
        <v>6.25E-2</v>
      </c>
      <c r="J16" s="359">
        <v>15</v>
      </c>
      <c r="K16" s="358" t="s">
        <v>692</v>
      </c>
      <c r="L16" s="358" t="s">
        <v>693</v>
      </c>
      <c r="M16" s="579" t="s">
        <v>687</v>
      </c>
      <c r="N16" s="589">
        <v>0</v>
      </c>
      <c r="O16" s="589">
        <v>7</v>
      </c>
      <c r="P16" s="589">
        <v>15</v>
      </c>
      <c r="Q16" s="622">
        <v>0</v>
      </c>
      <c r="R16" s="326">
        <f t="shared" si="6"/>
        <v>7</v>
      </c>
      <c r="S16" s="526">
        <f t="shared" si="7"/>
        <v>6.25E-2</v>
      </c>
      <c r="T16" s="599">
        <v>1</v>
      </c>
      <c r="U16" s="728" t="s">
        <v>856</v>
      </c>
      <c r="V16" s="729" t="s">
        <v>612</v>
      </c>
      <c r="W16" s="730" t="s">
        <v>857</v>
      </c>
      <c r="X16" s="704">
        <f t="shared" si="8"/>
        <v>0.14285714285714285</v>
      </c>
      <c r="Y16" s="704" t="str">
        <f t="shared" si="9"/>
        <v>MALO</v>
      </c>
      <c r="Z16" s="705" t="str">
        <f t="shared" si="10"/>
        <v>EN EJECUCIÓN</v>
      </c>
      <c r="AA16" s="706">
        <f t="shared" si="11"/>
        <v>8.9285714285714281E-3</v>
      </c>
      <c r="AB16" s="572"/>
    </row>
    <row r="17" spans="2:32" ht="80.099999999999994" customHeight="1" x14ac:dyDescent="0.25">
      <c r="B17" s="346" t="s">
        <v>388</v>
      </c>
      <c r="C17" s="347" t="s">
        <v>694</v>
      </c>
      <c r="D17" s="348" t="s">
        <v>23</v>
      </c>
      <c r="E17" s="349" t="s">
        <v>534</v>
      </c>
      <c r="F17" s="350" t="s">
        <v>59</v>
      </c>
      <c r="G17" s="550">
        <v>4</v>
      </c>
      <c r="H17" s="425" t="s">
        <v>695</v>
      </c>
      <c r="I17" s="366">
        <v>6.25E-2</v>
      </c>
      <c r="J17" s="367">
        <v>100</v>
      </c>
      <c r="K17" s="368" t="s">
        <v>184</v>
      </c>
      <c r="L17" s="368" t="s">
        <v>62</v>
      </c>
      <c r="M17" s="382" t="s">
        <v>293</v>
      </c>
      <c r="N17" s="590">
        <v>0.5</v>
      </c>
      <c r="O17" s="590">
        <v>0.75</v>
      </c>
      <c r="P17" s="590">
        <v>0.85</v>
      </c>
      <c r="Q17" s="624">
        <v>1</v>
      </c>
      <c r="R17" s="327">
        <f t="shared" si="6"/>
        <v>0.75</v>
      </c>
      <c r="S17" s="526">
        <f t="shared" si="7"/>
        <v>6.25E-2</v>
      </c>
      <c r="T17" s="598">
        <v>0.75</v>
      </c>
      <c r="U17" s="728" t="s">
        <v>858</v>
      </c>
      <c r="V17" s="729" t="s">
        <v>859</v>
      </c>
      <c r="W17" s="730"/>
      <c r="X17" s="704">
        <f t="shared" si="8"/>
        <v>1</v>
      </c>
      <c r="Y17" s="704" t="str">
        <f t="shared" si="9"/>
        <v>EXCELENTE</v>
      </c>
      <c r="Z17" s="705" t="str">
        <f t="shared" si="10"/>
        <v>EN EJECUCIÓN</v>
      </c>
      <c r="AA17" s="706">
        <f t="shared" si="11"/>
        <v>6.25E-2</v>
      </c>
      <c r="AB17" s="572"/>
    </row>
    <row r="18" spans="2:32" ht="80.099999999999994" customHeight="1" x14ac:dyDescent="0.25">
      <c r="B18" s="354" t="s">
        <v>388</v>
      </c>
      <c r="C18" s="355" t="s">
        <v>694</v>
      </c>
      <c r="D18" s="52" t="s">
        <v>23</v>
      </c>
      <c r="E18" s="229" t="s">
        <v>534</v>
      </c>
      <c r="F18" s="356" t="s">
        <v>59</v>
      </c>
      <c r="G18" s="549">
        <v>5</v>
      </c>
      <c r="H18" s="331" t="s">
        <v>696</v>
      </c>
      <c r="I18" s="372">
        <v>6.25E-2</v>
      </c>
      <c r="J18" s="359">
        <v>100</v>
      </c>
      <c r="K18" s="358" t="s">
        <v>184</v>
      </c>
      <c r="L18" s="358" t="s">
        <v>697</v>
      </c>
      <c r="M18" s="579" t="s">
        <v>293</v>
      </c>
      <c r="N18" s="591">
        <v>0.25</v>
      </c>
      <c r="O18" s="591">
        <v>0.5</v>
      </c>
      <c r="P18" s="591">
        <v>0.75</v>
      </c>
      <c r="Q18" s="625">
        <v>1</v>
      </c>
      <c r="R18" s="327">
        <f t="shared" si="6"/>
        <v>0.5</v>
      </c>
      <c r="S18" s="526">
        <f t="shared" si="7"/>
        <v>6.25E-2</v>
      </c>
      <c r="T18" s="598">
        <v>0.5</v>
      </c>
      <c r="U18" s="728" t="s">
        <v>860</v>
      </c>
      <c r="V18" s="729" t="s">
        <v>861</v>
      </c>
      <c r="W18" s="730"/>
      <c r="X18" s="704">
        <f t="shared" si="8"/>
        <v>1</v>
      </c>
      <c r="Y18" s="704" t="str">
        <f t="shared" si="9"/>
        <v>EXCELENTE</v>
      </c>
      <c r="Z18" s="705" t="str">
        <f t="shared" si="10"/>
        <v>EN EJECUCIÓN</v>
      </c>
      <c r="AA18" s="706">
        <f t="shared" si="11"/>
        <v>6.25E-2</v>
      </c>
      <c r="AB18" s="572"/>
    </row>
    <row r="19" spans="2:32" ht="80.099999999999994" customHeight="1" x14ac:dyDescent="0.25">
      <c r="B19" s="346" t="s">
        <v>388</v>
      </c>
      <c r="C19" s="347" t="s">
        <v>694</v>
      </c>
      <c r="D19" s="348" t="s">
        <v>23</v>
      </c>
      <c r="E19" s="349" t="s">
        <v>534</v>
      </c>
      <c r="F19" s="350" t="s">
        <v>59</v>
      </c>
      <c r="G19" s="549">
        <v>6</v>
      </c>
      <c r="H19" s="426" t="s">
        <v>698</v>
      </c>
      <c r="I19" s="374">
        <v>6.25E-2</v>
      </c>
      <c r="J19" s="353">
        <v>100</v>
      </c>
      <c r="K19" s="352" t="s">
        <v>184</v>
      </c>
      <c r="L19" s="352" t="s">
        <v>699</v>
      </c>
      <c r="M19" s="578" t="s">
        <v>293</v>
      </c>
      <c r="N19" s="644">
        <v>0.25</v>
      </c>
      <c r="O19" s="644">
        <v>0.5</v>
      </c>
      <c r="P19" s="644">
        <v>0.75</v>
      </c>
      <c r="Q19" s="645">
        <v>1</v>
      </c>
      <c r="R19" s="327">
        <f t="shared" si="6"/>
        <v>0.5</v>
      </c>
      <c r="S19" s="526">
        <f t="shared" si="7"/>
        <v>6.25E-2</v>
      </c>
      <c r="T19" s="598">
        <v>0.5</v>
      </c>
      <c r="U19" s="728" t="s">
        <v>1242</v>
      </c>
      <c r="V19" s="729" t="s">
        <v>1328</v>
      </c>
      <c r="W19" s="730"/>
      <c r="X19" s="704">
        <f t="shared" si="8"/>
        <v>1</v>
      </c>
      <c r="Y19" s="704" t="str">
        <f t="shared" si="9"/>
        <v>EXCELENTE</v>
      </c>
      <c r="Z19" s="705" t="str">
        <f t="shared" si="10"/>
        <v>EN EJECUCIÓN</v>
      </c>
      <c r="AA19" s="706">
        <f t="shared" si="11"/>
        <v>6.25E-2</v>
      </c>
      <c r="AB19" s="572"/>
    </row>
    <row r="20" spans="2:32" ht="80.099999999999994" customHeight="1" x14ac:dyDescent="0.25">
      <c r="B20" s="354" t="s">
        <v>388</v>
      </c>
      <c r="C20" s="355" t="s">
        <v>694</v>
      </c>
      <c r="D20" s="52" t="s">
        <v>23</v>
      </c>
      <c r="E20" s="229" t="s">
        <v>534</v>
      </c>
      <c r="F20" s="356" t="s">
        <v>59</v>
      </c>
      <c r="G20" s="549">
        <v>7</v>
      </c>
      <c r="H20" s="356" t="s">
        <v>700</v>
      </c>
      <c r="I20" s="365">
        <v>6.25E-2</v>
      </c>
      <c r="J20" s="359">
        <v>100</v>
      </c>
      <c r="K20" s="358" t="s">
        <v>184</v>
      </c>
      <c r="L20" s="358" t="s">
        <v>294</v>
      </c>
      <c r="M20" s="579" t="s">
        <v>293</v>
      </c>
      <c r="N20" s="591">
        <v>0.5</v>
      </c>
      <c r="O20" s="591">
        <v>1</v>
      </c>
      <c r="P20" s="591"/>
      <c r="Q20" s="625"/>
      <c r="R20" s="327">
        <f t="shared" si="6"/>
        <v>1</v>
      </c>
      <c r="S20" s="526">
        <f t="shared" si="7"/>
        <v>6.25E-2</v>
      </c>
      <c r="T20" s="598">
        <v>1</v>
      </c>
      <c r="U20" s="631" t="s">
        <v>862</v>
      </c>
      <c r="V20" s="564" t="s">
        <v>863</v>
      </c>
      <c r="W20" s="719"/>
      <c r="X20" s="704">
        <f t="shared" si="8"/>
        <v>1</v>
      </c>
      <c r="Y20" s="704" t="str">
        <f t="shared" si="9"/>
        <v>EXCELENTE</v>
      </c>
      <c r="Z20" s="705" t="str">
        <f t="shared" si="10"/>
        <v>EN EJECUCIÓN</v>
      </c>
      <c r="AA20" s="706">
        <f t="shared" si="11"/>
        <v>6.25E-2</v>
      </c>
      <c r="AB20" s="572"/>
    </row>
    <row r="21" spans="2:32" ht="80.099999999999994" customHeight="1" x14ac:dyDescent="0.25">
      <c r="B21" s="346" t="s">
        <v>388</v>
      </c>
      <c r="C21" s="347" t="s">
        <v>694</v>
      </c>
      <c r="D21" s="348" t="s">
        <v>23</v>
      </c>
      <c r="E21" s="349" t="s">
        <v>534</v>
      </c>
      <c r="F21" s="350" t="s">
        <v>59</v>
      </c>
      <c r="G21" s="549">
        <v>8</v>
      </c>
      <c r="H21" s="424" t="s">
        <v>701</v>
      </c>
      <c r="I21" s="366">
        <v>6.25E-2</v>
      </c>
      <c r="J21" s="363">
        <v>100</v>
      </c>
      <c r="K21" s="364" t="s">
        <v>184</v>
      </c>
      <c r="L21" s="364" t="s">
        <v>72</v>
      </c>
      <c r="M21" s="580" t="s">
        <v>293</v>
      </c>
      <c r="N21" s="590">
        <v>1</v>
      </c>
      <c r="O21" s="590"/>
      <c r="P21" s="590"/>
      <c r="Q21" s="624"/>
      <c r="R21" s="327"/>
      <c r="S21" s="526"/>
      <c r="T21" s="598"/>
      <c r="U21" s="728"/>
      <c r="V21" s="729"/>
      <c r="W21" s="730"/>
      <c r="X21" s="704"/>
      <c r="Y21" s="704" t="s">
        <v>1317</v>
      </c>
      <c r="Z21" s="704" t="s">
        <v>1317</v>
      </c>
      <c r="AA21" s="706"/>
      <c r="AB21" s="572"/>
    </row>
    <row r="22" spans="2:32" ht="80.099999999999994" customHeight="1" thickBot="1" x14ac:dyDescent="0.3">
      <c r="B22" s="354" t="s">
        <v>388</v>
      </c>
      <c r="C22" s="355" t="s">
        <v>694</v>
      </c>
      <c r="D22" s="52" t="s">
        <v>23</v>
      </c>
      <c r="E22" s="229" t="s">
        <v>534</v>
      </c>
      <c r="F22" s="356" t="s">
        <v>59</v>
      </c>
      <c r="G22" s="549">
        <v>9</v>
      </c>
      <c r="H22" s="357" t="s">
        <v>702</v>
      </c>
      <c r="I22" s="365">
        <v>6.25E-2</v>
      </c>
      <c r="J22" s="359">
        <v>100</v>
      </c>
      <c r="K22" s="358" t="s">
        <v>184</v>
      </c>
      <c r="L22" s="358" t="s">
        <v>81</v>
      </c>
      <c r="M22" s="579" t="s">
        <v>293</v>
      </c>
      <c r="N22" s="591">
        <v>1</v>
      </c>
      <c r="O22" s="591"/>
      <c r="P22" s="591"/>
      <c r="Q22" s="625"/>
      <c r="R22" s="327"/>
      <c r="S22" s="526"/>
      <c r="T22" s="598"/>
      <c r="U22" s="728"/>
      <c r="V22" s="729"/>
      <c r="W22" s="730"/>
      <c r="X22" s="704"/>
      <c r="Y22" s="704" t="s">
        <v>1317</v>
      </c>
      <c r="Z22" s="704" t="s">
        <v>1317</v>
      </c>
      <c r="AA22" s="706"/>
      <c r="AB22" s="572"/>
    </row>
    <row r="23" spans="2:32" ht="80.099999999999994" customHeight="1" thickBot="1" x14ac:dyDescent="0.3">
      <c r="B23" s="346" t="s">
        <v>388</v>
      </c>
      <c r="C23" s="347" t="s">
        <v>694</v>
      </c>
      <c r="D23" s="348" t="s">
        <v>23</v>
      </c>
      <c r="E23" s="349" t="s">
        <v>534</v>
      </c>
      <c r="F23" s="350" t="s">
        <v>59</v>
      </c>
      <c r="G23" s="533">
        <v>10</v>
      </c>
      <c r="H23" s="362" t="s">
        <v>703</v>
      </c>
      <c r="I23" s="366">
        <v>6.25E-2</v>
      </c>
      <c r="J23" s="363">
        <v>100</v>
      </c>
      <c r="K23" s="364" t="s">
        <v>184</v>
      </c>
      <c r="L23" s="364" t="s">
        <v>88</v>
      </c>
      <c r="M23" s="580" t="s">
        <v>293</v>
      </c>
      <c r="N23" s="592">
        <v>0.25</v>
      </c>
      <c r="O23" s="592">
        <v>0.5</v>
      </c>
      <c r="P23" s="592">
        <v>0</v>
      </c>
      <c r="Q23" s="624">
        <v>1</v>
      </c>
      <c r="R23" s="327">
        <f t="shared" si="6"/>
        <v>0.5</v>
      </c>
      <c r="S23" s="526">
        <f t="shared" si="7"/>
        <v>6.25E-2</v>
      </c>
      <c r="T23" s="598">
        <v>0.5</v>
      </c>
      <c r="U23" s="728" t="s">
        <v>720</v>
      </c>
      <c r="V23" s="729" t="s">
        <v>864</v>
      </c>
      <c r="W23" s="730"/>
      <c r="X23" s="704">
        <f t="shared" ref="X23:X29" si="12">IFERROR((T23/R23),0)</f>
        <v>1</v>
      </c>
      <c r="Y23" s="704" t="str">
        <f t="shared" ref="Y23:Y29" si="13">+IF(AND(X23&gt;=0%,X23&lt;=60%),"MALO",IF(AND(X23&gt;=61%,X23&lt;=80%),"REGULAR",IF(AND(X23&gt;=81%,X23&lt;95%),"BUENO","EXCELENTE")))</f>
        <v>EXCELENTE</v>
      </c>
      <c r="Z23" s="705" t="str">
        <f t="shared" ref="Z23:Z29" si="14">IF(X23&gt;0,"EN EJECUCIÓN","SIN EJECUTAR")</f>
        <v>EN EJECUCIÓN</v>
      </c>
      <c r="AA23" s="706">
        <f t="shared" ref="AA23:AA29" si="15">X23*I23</f>
        <v>6.25E-2</v>
      </c>
      <c r="AB23" s="572"/>
    </row>
    <row r="24" spans="2:32" ht="80.099999999999994" customHeight="1" thickBot="1" x14ac:dyDescent="0.3">
      <c r="B24" s="354" t="s">
        <v>388</v>
      </c>
      <c r="C24" s="355" t="s">
        <v>694</v>
      </c>
      <c r="D24" s="52" t="s">
        <v>23</v>
      </c>
      <c r="E24" s="229" t="s">
        <v>534</v>
      </c>
      <c r="F24" s="356" t="s">
        <v>59</v>
      </c>
      <c r="G24" s="533">
        <v>11</v>
      </c>
      <c r="H24" s="337" t="s">
        <v>704</v>
      </c>
      <c r="I24" s="365">
        <v>6.25E-2</v>
      </c>
      <c r="J24" s="360">
        <v>100</v>
      </c>
      <c r="K24" s="361" t="s">
        <v>184</v>
      </c>
      <c r="L24" s="361" t="s">
        <v>705</v>
      </c>
      <c r="M24" s="581" t="s">
        <v>293</v>
      </c>
      <c r="N24" s="421">
        <v>0.25</v>
      </c>
      <c r="O24" s="421">
        <v>0.5</v>
      </c>
      <c r="P24" s="421">
        <v>0.75</v>
      </c>
      <c r="Q24" s="626">
        <v>1</v>
      </c>
      <c r="R24" s="327">
        <f t="shared" si="6"/>
        <v>0.5</v>
      </c>
      <c r="S24" s="526">
        <f t="shared" si="7"/>
        <v>6.25E-2</v>
      </c>
      <c r="T24" s="598">
        <v>0.5</v>
      </c>
      <c r="U24" s="728" t="s">
        <v>865</v>
      </c>
      <c r="V24" s="729" t="s">
        <v>866</v>
      </c>
      <c r="W24" s="730"/>
      <c r="X24" s="704">
        <f t="shared" si="12"/>
        <v>1</v>
      </c>
      <c r="Y24" s="704" t="str">
        <f t="shared" si="13"/>
        <v>EXCELENTE</v>
      </c>
      <c r="Z24" s="705" t="str">
        <f t="shared" si="14"/>
        <v>EN EJECUCIÓN</v>
      </c>
      <c r="AA24" s="706">
        <f t="shared" si="15"/>
        <v>6.25E-2</v>
      </c>
      <c r="AB24" s="572"/>
    </row>
    <row r="25" spans="2:32" ht="80.099999999999994" customHeight="1" thickBot="1" x14ac:dyDescent="0.3">
      <c r="B25" s="346" t="s">
        <v>388</v>
      </c>
      <c r="C25" s="347" t="s">
        <v>389</v>
      </c>
      <c r="D25" s="348" t="s">
        <v>23</v>
      </c>
      <c r="E25" s="349" t="s">
        <v>535</v>
      </c>
      <c r="F25" s="350" t="s">
        <v>59</v>
      </c>
      <c r="G25" s="533">
        <v>12</v>
      </c>
      <c r="H25" s="351" t="s">
        <v>706</v>
      </c>
      <c r="I25" s="366">
        <v>6.25E-2</v>
      </c>
      <c r="J25" s="353">
        <v>100</v>
      </c>
      <c r="K25" s="352" t="s">
        <v>184</v>
      </c>
      <c r="L25" s="352" t="s">
        <v>707</v>
      </c>
      <c r="M25" s="578" t="s">
        <v>708</v>
      </c>
      <c r="N25" s="384">
        <v>0.45</v>
      </c>
      <c r="O25" s="384">
        <v>1</v>
      </c>
      <c r="P25" s="588">
        <v>0</v>
      </c>
      <c r="Q25" s="621">
        <v>0</v>
      </c>
      <c r="R25" s="327">
        <f t="shared" si="6"/>
        <v>1</v>
      </c>
      <c r="S25" s="526">
        <f t="shared" si="7"/>
        <v>6.25E-2</v>
      </c>
      <c r="T25" s="598">
        <v>1</v>
      </c>
      <c r="U25" s="728" t="s">
        <v>867</v>
      </c>
      <c r="V25" s="729" t="s">
        <v>868</v>
      </c>
      <c r="W25" s="730"/>
      <c r="X25" s="704">
        <f t="shared" si="12"/>
        <v>1</v>
      </c>
      <c r="Y25" s="704" t="str">
        <f t="shared" si="13"/>
        <v>EXCELENTE</v>
      </c>
      <c r="Z25" s="705" t="str">
        <f t="shared" si="14"/>
        <v>EN EJECUCIÓN</v>
      </c>
      <c r="AA25" s="706">
        <f t="shared" si="15"/>
        <v>6.25E-2</v>
      </c>
      <c r="AB25" s="572"/>
    </row>
    <row r="26" spans="2:32" ht="80.099999999999994" customHeight="1" thickBot="1" x14ac:dyDescent="0.3">
      <c r="B26" s="354" t="s">
        <v>388</v>
      </c>
      <c r="C26" s="355" t="s">
        <v>389</v>
      </c>
      <c r="D26" s="52" t="s">
        <v>23</v>
      </c>
      <c r="E26" s="229" t="s">
        <v>535</v>
      </c>
      <c r="F26" s="356" t="s">
        <v>59</v>
      </c>
      <c r="G26" s="533">
        <v>13</v>
      </c>
      <c r="H26" s="357" t="s">
        <v>709</v>
      </c>
      <c r="I26" s="365">
        <v>6.25E-2</v>
      </c>
      <c r="J26" s="359">
        <v>100</v>
      </c>
      <c r="K26" s="358" t="s">
        <v>184</v>
      </c>
      <c r="L26" s="358" t="s">
        <v>710</v>
      </c>
      <c r="M26" s="579" t="s">
        <v>708</v>
      </c>
      <c r="N26" s="383">
        <v>0.45</v>
      </c>
      <c r="O26" s="383">
        <v>1</v>
      </c>
      <c r="P26" s="589">
        <v>0</v>
      </c>
      <c r="Q26" s="622">
        <v>0</v>
      </c>
      <c r="R26" s="327">
        <f>O26</f>
        <v>1</v>
      </c>
      <c r="S26" s="526">
        <f>IFERROR(R26/O26,0)*I26</f>
        <v>6.25E-2</v>
      </c>
      <c r="T26" s="598">
        <v>1</v>
      </c>
      <c r="U26" s="728" t="s">
        <v>869</v>
      </c>
      <c r="V26" s="729" t="s">
        <v>870</v>
      </c>
      <c r="W26" s="719"/>
      <c r="X26" s="704">
        <f t="shared" si="12"/>
        <v>1</v>
      </c>
      <c r="Y26" s="704" t="str">
        <f t="shared" si="13"/>
        <v>EXCELENTE</v>
      </c>
      <c r="Z26" s="705" t="str">
        <f t="shared" si="14"/>
        <v>EN EJECUCIÓN</v>
      </c>
      <c r="AA26" s="706">
        <f t="shared" si="15"/>
        <v>6.25E-2</v>
      </c>
      <c r="AB26" s="572"/>
    </row>
    <row r="27" spans="2:32" ht="80.099999999999994" customHeight="1" thickBot="1" x14ac:dyDescent="0.3">
      <c r="B27" s="346" t="s">
        <v>388</v>
      </c>
      <c r="C27" s="347" t="s">
        <v>389</v>
      </c>
      <c r="D27" s="348" t="s">
        <v>23</v>
      </c>
      <c r="E27" s="349" t="s">
        <v>535</v>
      </c>
      <c r="F27" s="350" t="s">
        <v>59</v>
      </c>
      <c r="G27" s="533">
        <v>14</v>
      </c>
      <c r="H27" s="351" t="s">
        <v>711</v>
      </c>
      <c r="I27" s="366">
        <v>6.25E-2</v>
      </c>
      <c r="J27" s="353">
        <v>4</v>
      </c>
      <c r="K27" s="352" t="s">
        <v>712</v>
      </c>
      <c r="L27" s="352" t="s">
        <v>713</v>
      </c>
      <c r="M27" s="578" t="s">
        <v>708</v>
      </c>
      <c r="N27" s="588">
        <v>1</v>
      </c>
      <c r="O27" s="588">
        <v>2</v>
      </c>
      <c r="P27" s="588">
        <v>3</v>
      </c>
      <c r="Q27" s="621">
        <v>4</v>
      </c>
      <c r="R27" s="528">
        <f>O27</f>
        <v>2</v>
      </c>
      <c r="S27" s="526">
        <f>IFERROR(R27/O27,0)*I27</f>
        <v>6.25E-2</v>
      </c>
      <c r="T27" s="599">
        <v>2</v>
      </c>
      <c r="U27" s="728" t="s">
        <v>871</v>
      </c>
      <c r="V27" s="564" t="s">
        <v>872</v>
      </c>
      <c r="W27" s="719"/>
      <c r="X27" s="704">
        <f t="shared" si="12"/>
        <v>1</v>
      </c>
      <c r="Y27" s="704" t="str">
        <f t="shared" si="13"/>
        <v>EXCELENTE</v>
      </c>
      <c r="Z27" s="705" t="str">
        <f t="shared" si="14"/>
        <v>EN EJECUCIÓN</v>
      </c>
      <c r="AA27" s="706">
        <f t="shared" si="15"/>
        <v>6.25E-2</v>
      </c>
      <c r="AB27" s="572"/>
    </row>
    <row r="28" spans="2:32" ht="80.099999999999994" customHeight="1" thickBot="1" x14ac:dyDescent="0.3">
      <c r="B28" s="354" t="s">
        <v>388</v>
      </c>
      <c r="C28" s="355" t="s">
        <v>389</v>
      </c>
      <c r="D28" s="52" t="s">
        <v>23</v>
      </c>
      <c r="E28" s="229" t="s">
        <v>535</v>
      </c>
      <c r="F28" s="356" t="s">
        <v>59</v>
      </c>
      <c r="G28" s="533">
        <v>15</v>
      </c>
      <c r="H28" s="369" t="s">
        <v>714</v>
      </c>
      <c r="I28" s="365">
        <v>6.25E-2</v>
      </c>
      <c r="J28" s="359">
        <v>100</v>
      </c>
      <c r="K28" s="358" t="s">
        <v>184</v>
      </c>
      <c r="L28" s="358" t="s">
        <v>715</v>
      </c>
      <c r="M28" s="579" t="s">
        <v>708</v>
      </c>
      <c r="N28" s="383">
        <v>0.25</v>
      </c>
      <c r="O28" s="383">
        <v>0.85</v>
      </c>
      <c r="P28" s="383">
        <v>1</v>
      </c>
      <c r="Q28" s="622">
        <v>0</v>
      </c>
      <c r="R28" s="327">
        <f>O28</f>
        <v>0.85</v>
      </c>
      <c r="S28" s="526">
        <f t="shared" si="5"/>
        <v>6.25E-2</v>
      </c>
      <c r="T28" s="598">
        <v>0.85</v>
      </c>
      <c r="U28" s="631" t="s">
        <v>1340</v>
      </c>
      <c r="V28" s="564" t="s">
        <v>873</v>
      </c>
      <c r="W28" s="719"/>
      <c r="X28" s="704">
        <f t="shared" si="12"/>
        <v>1</v>
      </c>
      <c r="Y28" s="704" t="str">
        <f t="shared" si="13"/>
        <v>EXCELENTE</v>
      </c>
      <c r="Z28" s="705" t="str">
        <f t="shared" si="14"/>
        <v>EN EJECUCIÓN</v>
      </c>
      <c r="AA28" s="706">
        <f t="shared" si="15"/>
        <v>6.25E-2</v>
      </c>
      <c r="AB28" s="572"/>
    </row>
    <row r="29" spans="2:32" ht="80.099999999999994" customHeight="1" thickBot="1" x14ac:dyDescent="0.3">
      <c r="B29" s="346" t="s">
        <v>388</v>
      </c>
      <c r="C29" s="347" t="s">
        <v>389</v>
      </c>
      <c r="D29" s="348" t="s">
        <v>23</v>
      </c>
      <c r="E29" s="349" t="s">
        <v>535</v>
      </c>
      <c r="F29" s="350" t="s">
        <v>59</v>
      </c>
      <c r="G29" s="533">
        <v>16</v>
      </c>
      <c r="H29" s="370" t="s">
        <v>716</v>
      </c>
      <c r="I29" s="366">
        <v>6.25E-2</v>
      </c>
      <c r="J29" s="353">
        <v>100</v>
      </c>
      <c r="K29" s="352" t="s">
        <v>184</v>
      </c>
      <c r="L29" s="352" t="s">
        <v>717</v>
      </c>
      <c r="M29" s="578" t="s">
        <v>718</v>
      </c>
      <c r="N29" s="384">
        <v>0.25</v>
      </c>
      <c r="O29" s="384">
        <v>0.5</v>
      </c>
      <c r="P29" s="384">
        <v>0.75</v>
      </c>
      <c r="Q29" s="623">
        <v>1</v>
      </c>
      <c r="R29" s="327">
        <f>O29</f>
        <v>0.5</v>
      </c>
      <c r="S29" s="526">
        <f t="shared" si="5"/>
        <v>6.25E-2</v>
      </c>
      <c r="T29" s="600">
        <v>0.5</v>
      </c>
      <c r="U29" s="631" t="s">
        <v>874</v>
      </c>
      <c r="V29" s="564" t="s">
        <v>875</v>
      </c>
      <c r="W29" s="719"/>
      <c r="X29" s="704">
        <f t="shared" si="12"/>
        <v>1</v>
      </c>
      <c r="Y29" s="704" t="str">
        <f t="shared" si="13"/>
        <v>EXCELENTE</v>
      </c>
      <c r="Z29" s="705" t="str">
        <f t="shared" si="14"/>
        <v>EN EJECUCIÓN</v>
      </c>
      <c r="AA29" s="706">
        <f t="shared" si="15"/>
        <v>6.25E-2</v>
      </c>
      <c r="AB29" s="572"/>
    </row>
    <row r="30" spans="2:32" ht="80.099999999999994" customHeight="1" thickBot="1" x14ac:dyDescent="0.3">
      <c r="B30" s="354" t="s">
        <v>388</v>
      </c>
      <c r="C30" s="355" t="s">
        <v>389</v>
      </c>
      <c r="D30" s="52" t="s">
        <v>23</v>
      </c>
      <c r="E30" s="229" t="s">
        <v>536</v>
      </c>
      <c r="F30" s="356" t="s">
        <v>115</v>
      </c>
      <c r="G30" s="533">
        <v>1</v>
      </c>
      <c r="H30" s="369" t="s">
        <v>721</v>
      </c>
      <c r="I30" s="358">
        <v>0.25</v>
      </c>
      <c r="J30" s="359">
        <v>100</v>
      </c>
      <c r="K30" s="358" t="s">
        <v>184</v>
      </c>
      <c r="L30" s="358" t="s">
        <v>722</v>
      </c>
      <c r="M30" s="579" t="s">
        <v>117</v>
      </c>
      <c r="N30" s="383">
        <v>0.25</v>
      </c>
      <c r="O30" s="383">
        <v>0.5</v>
      </c>
      <c r="P30" s="383">
        <v>0.75</v>
      </c>
      <c r="Q30" s="627">
        <v>1</v>
      </c>
      <c r="R30" s="327">
        <f t="shared" si="4"/>
        <v>0.5</v>
      </c>
      <c r="S30" s="526">
        <f>IFERROR(R30/O30,0)*I30</f>
        <v>0.25</v>
      </c>
      <c r="T30" s="598">
        <v>0.5</v>
      </c>
      <c r="U30" s="731" t="s">
        <v>729</v>
      </c>
      <c r="V30" s="732" t="s">
        <v>730</v>
      </c>
      <c r="W30" s="719"/>
      <c r="X30" s="704">
        <f>IFERROR((T30/R30),0)</f>
        <v>1</v>
      </c>
      <c r="Y30" s="704" t="str">
        <f>+IF(AND(X30&gt;=0%,X30&lt;=60%),"MALO",IF(AND(X30&gt;=61%,X30&lt;=80%),"REGULAR",IF(AND(X30&gt;=81%,X30&lt;95%),"BUENO","EXCELENTE")))</f>
        <v>EXCELENTE</v>
      </c>
      <c r="Z30" s="705" t="str">
        <f>IF(X30&gt;0,"EN EJECUCIÓN","SIN EJECUTAR")</f>
        <v>EN EJECUCIÓN</v>
      </c>
      <c r="AA30" s="706">
        <f>X30*I30</f>
        <v>0.25</v>
      </c>
      <c r="AC30" s="1"/>
      <c r="AD30" s="1"/>
      <c r="AE30" s="1"/>
      <c r="AF30" s="1"/>
    </row>
    <row r="31" spans="2:32" ht="80.099999999999994" customHeight="1" thickBot="1" x14ac:dyDescent="0.3">
      <c r="B31" s="346" t="s">
        <v>388</v>
      </c>
      <c r="C31" s="347" t="s">
        <v>389</v>
      </c>
      <c r="D31" s="348" t="s">
        <v>23</v>
      </c>
      <c r="E31" s="349" t="s">
        <v>536</v>
      </c>
      <c r="F31" s="350" t="s">
        <v>115</v>
      </c>
      <c r="G31" s="533">
        <v>2</v>
      </c>
      <c r="H31" s="370" t="s">
        <v>723</v>
      </c>
      <c r="I31" s="352">
        <v>0.25</v>
      </c>
      <c r="J31" s="353">
        <v>100</v>
      </c>
      <c r="K31" s="352" t="s">
        <v>184</v>
      </c>
      <c r="L31" s="352" t="s">
        <v>724</v>
      </c>
      <c r="M31" s="578" t="s">
        <v>117</v>
      </c>
      <c r="N31" s="384">
        <v>0.4</v>
      </c>
      <c r="O31" s="384">
        <v>0.8</v>
      </c>
      <c r="P31" s="384">
        <v>0.9</v>
      </c>
      <c r="Q31" s="623">
        <v>1</v>
      </c>
      <c r="R31" s="327">
        <f>O31</f>
        <v>0.8</v>
      </c>
      <c r="S31" s="526">
        <f t="shared" si="5"/>
        <v>0.25</v>
      </c>
      <c r="T31" s="598">
        <v>0.8</v>
      </c>
      <c r="U31" s="731" t="s">
        <v>731</v>
      </c>
      <c r="V31" s="732" t="s">
        <v>732</v>
      </c>
      <c r="W31" s="719"/>
      <c r="X31" s="704">
        <f>IFERROR((T31/R31),0)</f>
        <v>1</v>
      </c>
      <c r="Y31" s="704" t="str">
        <f>+IF(AND(X31&gt;=0%,X31&lt;=60%),"MALO",IF(AND(X31&gt;=61%,X31&lt;=80%),"REGULAR",IF(AND(X31&gt;=81%,X31&lt;95%),"BUENO","EXCELENTE")))</f>
        <v>EXCELENTE</v>
      </c>
      <c r="Z31" s="705" t="str">
        <f>IF(X31&gt;0,"EN EJECUCIÓN","SIN EJECUTAR")</f>
        <v>EN EJECUCIÓN</v>
      </c>
      <c r="AA31" s="706">
        <f>X31*I31</f>
        <v>0.25</v>
      </c>
      <c r="AC31" s="1"/>
      <c r="AD31" s="1"/>
      <c r="AE31" s="1"/>
      <c r="AF31" s="1"/>
    </row>
    <row r="32" spans="2:32" ht="80.099999999999994" customHeight="1" thickBot="1" x14ac:dyDescent="0.3">
      <c r="B32" s="354" t="s">
        <v>388</v>
      </c>
      <c r="C32" s="355" t="s">
        <v>389</v>
      </c>
      <c r="D32" s="52" t="s">
        <v>23</v>
      </c>
      <c r="E32" s="229" t="s">
        <v>536</v>
      </c>
      <c r="F32" s="356" t="s">
        <v>115</v>
      </c>
      <c r="G32" s="533">
        <v>3</v>
      </c>
      <c r="H32" s="369" t="s">
        <v>725</v>
      </c>
      <c r="I32" s="358">
        <v>0.25</v>
      </c>
      <c r="J32" s="359">
        <v>100</v>
      </c>
      <c r="K32" s="358" t="s">
        <v>184</v>
      </c>
      <c r="L32" s="358" t="s">
        <v>726</v>
      </c>
      <c r="M32" s="579" t="s">
        <v>117</v>
      </c>
      <c r="N32" s="383">
        <v>0</v>
      </c>
      <c r="O32" s="383">
        <v>0.5</v>
      </c>
      <c r="P32" s="383">
        <v>1</v>
      </c>
      <c r="Q32" s="627">
        <v>0</v>
      </c>
      <c r="R32" s="327">
        <f t="shared" si="4"/>
        <v>0.5</v>
      </c>
      <c r="S32" s="526">
        <f t="shared" si="5"/>
        <v>0.25</v>
      </c>
      <c r="T32" s="598">
        <v>0.5</v>
      </c>
      <c r="U32" s="631" t="s">
        <v>876</v>
      </c>
      <c r="V32" s="564" t="s">
        <v>877</v>
      </c>
      <c r="W32" s="719"/>
      <c r="X32" s="704">
        <f>IFERROR((T32/R32),0)</f>
        <v>1</v>
      </c>
      <c r="Y32" s="704" t="str">
        <f>+IF(AND(X32&gt;=0%,X32&lt;=60%),"MALO",IF(AND(X32&gt;=61%,X32&lt;=80%),"REGULAR",IF(AND(X32&gt;=81%,X32&lt;95%),"BUENO","EXCELENTE")))</f>
        <v>EXCELENTE</v>
      </c>
      <c r="Z32" s="705" t="str">
        <f>IF(X32&gt;0,"EN EJECUCIÓN","SIN EJECUTAR")</f>
        <v>EN EJECUCIÓN</v>
      </c>
      <c r="AA32" s="706">
        <f>X32*I32</f>
        <v>0.25</v>
      </c>
      <c r="AC32" s="1"/>
      <c r="AD32" s="1"/>
      <c r="AE32" s="1"/>
      <c r="AF32" s="1"/>
    </row>
    <row r="33" spans="2:32" ht="80.099999999999994" customHeight="1" thickBot="1" x14ac:dyDescent="0.3">
      <c r="B33" s="346" t="s">
        <v>388</v>
      </c>
      <c r="C33" s="347" t="s">
        <v>389</v>
      </c>
      <c r="D33" s="348" t="s">
        <v>23</v>
      </c>
      <c r="E33" s="349" t="s">
        <v>536</v>
      </c>
      <c r="F33" s="350" t="s">
        <v>115</v>
      </c>
      <c r="G33" s="533">
        <v>4</v>
      </c>
      <c r="H33" s="370" t="s">
        <v>727</v>
      </c>
      <c r="I33" s="352">
        <v>0.25</v>
      </c>
      <c r="J33" s="353">
        <v>100</v>
      </c>
      <c r="K33" s="352" t="s">
        <v>184</v>
      </c>
      <c r="L33" s="352" t="s">
        <v>728</v>
      </c>
      <c r="M33" s="578" t="s">
        <v>117</v>
      </c>
      <c r="N33" s="384">
        <v>0.35</v>
      </c>
      <c r="O33" s="384">
        <v>0.7</v>
      </c>
      <c r="P33" s="384">
        <v>0.85</v>
      </c>
      <c r="Q33" s="623">
        <v>1</v>
      </c>
      <c r="R33" s="327">
        <f t="shared" si="4"/>
        <v>0.7</v>
      </c>
      <c r="S33" s="526">
        <f>IFERROR(R33/O33,0)*I33</f>
        <v>0.25</v>
      </c>
      <c r="T33" s="598">
        <v>0.35</v>
      </c>
      <c r="U33" s="631" t="s">
        <v>878</v>
      </c>
      <c r="V33" s="564" t="s">
        <v>733</v>
      </c>
      <c r="W33" s="719"/>
      <c r="X33" s="704">
        <f>IFERROR((T33/R33),0)</f>
        <v>0.5</v>
      </c>
      <c r="Y33" s="704" t="str">
        <f>+IF(AND(X33&gt;=0%,X33&lt;=60%),"MALO",IF(AND(X33&gt;=61%,X33&lt;=80%),"REGULAR",IF(AND(X33&gt;=81%,X33&lt;95%),"BUENO","EXCELENTE")))</f>
        <v>MALO</v>
      </c>
      <c r="Z33" s="705" t="str">
        <f>IF(X33&gt;0,"EN EJECUCIÓN","SIN EJECUTAR")</f>
        <v>EN EJECUCIÓN</v>
      </c>
      <c r="AA33" s="706">
        <f>X33*I33</f>
        <v>0.125</v>
      </c>
      <c r="AC33" s="1"/>
      <c r="AD33" s="1"/>
      <c r="AE33" s="1"/>
      <c r="AF33" s="1"/>
    </row>
    <row r="34" spans="2:32" ht="80.099999999999994" customHeight="1" thickBot="1" x14ac:dyDescent="0.3">
      <c r="B34" s="354" t="s">
        <v>391</v>
      </c>
      <c r="C34" s="355" t="s">
        <v>734</v>
      </c>
      <c r="D34" s="52" t="s">
        <v>52</v>
      </c>
      <c r="E34" s="229" t="s">
        <v>537</v>
      </c>
      <c r="F34" s="356" t="s">
        <v>131</v>
      </c>
      <c r="G34" s="533">
        <v>1</v>
      </c>
      <c r="H34" s="371" t="s">
        <v>735</v>
      </c>
      <c r="I34" s="372">
        <v>6.25E-2</v>
      </c>
      <c r="J34" s="359">
        <v>100</v>
      </c>
      <c r="K34" s="358" t="s">
        <v>736</v>
      </c>
      <c r="L34" s="358" t="s">
        <v>737</v>
      </c>
      <c r="M34" s="579" t="s">
        <v>738</v>
      </c>
      <c r="N34" s="383">
        <v>0.25</v>
      </c>
      <c r="O34" s="383">
        <v>0.5</v>
      </c>
      <c r="P34" s="383">
        <v>0.75</v>
      </c>
      <c r="Q34" s="627">
        <v>1</v>
      </c>
      <c r="R34" s="327">
        <f t="shared" si="4"/>
        <v>0.5</v>
      </c>
      <c r="S34" s="526">
        <f t="shared" si="5"/>
        <v>6.25E-2</v>
      </c>
      <c r="T34" s="598">
        <v>0.5</v>
      </c>
      <c r="U34" s="631" t="s">
        <v>879</v>
      </c>
      <c r="V34" s="732" t="s">
        <v>880</v>
      </c>
      <c r="W34" s="719"/>
      <c r="X34" s="704">
        <f>IFERROR((T34/R34),0)</f>
        <v>1</v>
      </c>
      <c r="Y34" s="704" t="str">
        <f>+IF(AND(X34&gt;=0%,X34&lt;=60%),"MALO",IF(AND(X34&gt;=61%,X34&lt;=80%),"REGULAR",IF(AND(X34&gt;=81%,X34&lt;95%),"BUENO","EXCELENTE")))</f>
        <v>EXCELENTE</v>
      </c>
      <c r="Z34" s="705" t="str">
        <f>IF(X34&gt;0,"EN EJECUCIÓN","SIN EJECUTAR")</f>
        <v>EN EJECUCIÓN</v>
      </c>
      <c r="AA34" s="706">
        <f>X34*I34</f>
        <v>6.25E-2</v>
      </c>
    </row>
    <row r="35" spans="2:32" ht="80.099999999999994" customHeight="1" thickBot="1" x14ac:dyDescent="0.3">
      <c r="B35" s="346" t="s">
        <v>391</v>
      </c>
      <c r="C35" s="347" t="s">
        <v>734</v>
      </c>
      <c r="D35" s="348" t="s">
        <v>142</v>
      </c>
      <c r="E35" s="349" t="s">
        <v>537</v>
      </c>
      <c r="F35" s="350" t="s">
        <v>131</v>
      </c>
      <c r="G35" s="533">
        <v>2</v>
      </c>
      <c r="H35" s="373" t="s">
        <v>739</v>
      </c>
      <c r="I35" s="374">
        <v>6.25E-2</v>
      </c>
      <c r="J35" s="353">
        <v>100</v>
      </c>
      <c r="K35" s="352" t="s">
        <v>736</v>
      </c>
      <c r="L35" s="352" t="s">
        <v>740</v>
      </c>
      <c r="M35" s="578" t="s">
        <v>738</v>
      </c>
      <c r="N35" s="384">
        <v>0.25</v>
      </c>
      <c r="O35" s="384">
        <v>0.5</v>
      </c>
      <c r="P35" s="384">
        <v>0.75</v>
      </c>
      <c r="Q35" s="623">
        <v>1</v>
      </c>
      <c r="R35" s="327">
        <f>O35</f>
        <v>0.5</v>
      </c>
      <c r="S35" s="526">
        <f>IFERROR(R35/O35,0)*I35</f>
        <v>6.25E-2</v>
      </c>
      <c r="T35" s="598">
        <v>0.5</v>
      </c>
      <c r="U35" s="631" t="s">
        <v>881</v>
      </c>
      <c r="V35" s="732" t="s">
        <v>880</v>
      </c>
      <c r="W35" s="719"/>
      <c r="X35" s="704">
        <f t="shared" ref="X35:X43" si="16">IFERROR((T35/R35),0)</f>
        <v>1</v>
      </c>
      <c r="Y35" s="704" t="str">
        <f t="shared" ref="Y35:Y42" si="17">+IF(AND(X35&gt;=0%,X35&lt;=60%),"MALO",IF(AND(X35&gt;=61%,X35&lt;=80%),"REGULAR",IF(AND(X35&gt;=81%,X35&lt;95%),"BUENO","EXCELENTE")))</f>
        <v>EXCELENTE</v>
      </c>
      <c r="Z35" s="705" t="str">
        <f t="shared" ref="Z35:Z43" si="18">IF(X35&gt;0,"EN EJECUCIÓN","SIN EJECUTAR")</f>
        <v>EN EJECUCIÓN</v>
      </c>
      <c r="AA35" s="706">
        <f t="shared" ref="AA35:AA43" si="19">X35*I35</f>
        <v>6.25E-2</v>
      </c>
      <c r="AC35" s="618"/>
    </row>
    <row r="36" spans="2:32" ht="80.099999999999994" customHeight="1" thickBot="1" x14ac:dyDescent="0.3">
      <c r="B36" s="354" t="s">
        <v>391</v>
      </c>
      <c r="C36" s="355" t="s">
        <v>734</v>
      </c>
      <c r="D36" s="52" t="s">
        <v>142</v>
      </c>
      <c r="E36" s="229" t="s">
        <v>537</v>
      </c>
      <c r="F36" s="356" t="s">
        <v>131</v>
      </c>
      <c r="G36" s="533">
        <v>3</v>
      </c>
      <c r="H36" s="357" t="s">
        <v>307</v>
      </c>
      <c r="I36" s="372">
        <v>6.25E-2</v>
      </c>
      <c r="J36" s="359">
        <v>100</v>
      </c>
      <c r="K36" s="358" t="s">
        <v>736</v>
      </c>
      <c r="L36" s="358" t="s">
        <v>308</v>
      </c>
      <c r="M36" s="579" t="s">
        <v>738</v>
      </c>
      <c r="N36" s="383">
        <v>0.25</v>
      </c>
      <c r="O36" s="383">
        <v>0.5</v>
      </c>
      <c r="P36" s="383">
        <v>0.75</v>
      </c>
      <c r="Q36" s="627">
        <v>1</v>
      </c>
      <c r="R36" s="327">
        <f>O36</f>
        <v>0.5</v>
      </c>
      <c r="S36" s="526">
        <f>IFERROR(R36/O36,0)*I36</f>
        <v>6.25E-2</v>
      </c>
      <c r="T36" s="598">
        <v>0.5</v>
      </c>
      <c r="U36" s="631" t="s">
        <v>882</v>
      </c>
      <c r="V36" s="732" t="s">
        <v>611</v>
      </c>
      <c r="W36" s="719"/>
      <c r="X36" s="704">
        <f t="shared" si="16"/>
        <v>1</v>
      </c>
      <c r="Y36" s="704" t="str">
        <f t="shared" si="17"/>
        <v>EXCELENTE</v>
      </c>
      <c r="Z36" s="705" t="str">
        <f t="shared" si="18"/>
        <v>EN EJECUCIÓN</v>
      </c>
      <c r="AA36" s="706">
        <f t="shared" si="19"/>
        <v>6.25E-2</v>
      </c>
    </row>
    <row r="37" spans="2:32" ht="80.099999999999994" customHeight="1" thickBot="1" x14ac:dyDescent="0.3">
      <c r="B37" s="346" t="s">
        <v>391</v>
      </c>
      <c r="C37" s="347" t="s">
        <v>734</v>
      </c>
      <c r="D37" s="348" t="s">
        <v>142</v>
      </c>
      <c r="E37" s="349" t="s">
        <v>537</v>
      </c>
      <c r="F37" s="350" t="s">
        <v>131</v>
      </c>
      <c r="G37" s="533">
        <v>4</v>
      </c>
      <c r="H37" s="423" t="s">
        <v>741</v>
      </c>
      <c r="I37" s="374">
        <v>6.25E-2</v>
      </c>
      <c r="J37" s="353">
        <v>100</v>
      </c>
      <c r="K37" s="352" t="s">
        <v>736</v>
      </c>
      <c r="L37" s="352" t="s">
        <v>742</v>
      </c>
      <c r="M37" s="578" t="s">
        <v>738</v>
      </c>
      <c r="N37" s="384">
        <v>0.25</v>
      </c>
      <c r="O37" s="384">
        <v>0.5</v>
      </c>
      <c r="P37" s="384">
        <v>0.75</v>
      </c>
      <c r="Q37" s="623">
        <v>1</v>
      </c>
      <c r="R37" s="327">
        <f t="shared" si="4"/>
        <v>0.5</v>
      </c>
      <c r="S37" s="526">
        <f t="shared" si="5"/>
        <v>6.25E-2</v>
      </c>
      <c r="T37" s="598">
        <v>0.2</v>
      </c>
      <c r="U37" s="631" t="s">
        <v>883</v>
      </c>
      <c r="V37" s="732" t="s">
        <v>768</v>
      </c>
      <c r="W37" s="719"/>
      <c r="X37" s="704">
        <f t="shared" si="16"/>
        <v>0.4</v>
      </c>
      <c r="Y37" s="704" t="str">
        <f t="shared" si="17"/>
        <v>MALO</v>
      </c>
      <c r="Z37" s="705" t="str">
        <f t="shared" si="18"/>
        <v>EN EJECUCIÓN</v>
      </c>
      <c r="AA37" s="706">
        <f t="shared" si="19"/>
        <v>2.5000000000000001E-2</v>
      </c>
    </row>
    <row r="38" spans="2:32" ht="80.099999999999994" customHeight="1" thickBot="1" x14ac:dyDescent="0.3">
      <c r="B38" s="354" t="s">
        <v>391</v>
      </c>
      <c r="C38" s="355" t="s">
        <v>734</v>
      </c>
      <c r="D38" s="52" t="s">
        <v>142</v>
      </c>
      <c r="E38" s="229" t="s">
        <v>538</v>
      </c>
      <c r="F38" s="356" t="s">
        <v>131</v>
      </c>
      <c r="G38" s="533">
        <v>5</v>
      </c>
      <c r="H38" s="375" t="s">
        <v>331</v>
      </c>
      <c r="I38" s="372">
        <v>6.25E-2</v>
      </c>
      <c r="J38" s="359">
        <v>6</v>
      </c>
      <c r="K38" s="358" t="s">
        <v>743</v>
      </c>
      <c r="L38" s="376" t="s">
        <v>744</v>
      </c>
      <c r="M38" s="579" t="s">
        <v>738</v>
      </c>
      <c r="N38" s="593" t="s">
        <v>745</v>
      </c>
      <c r="O38" s="589">
        <v>2</v>
      </c>
      <c r="P38" s="589">
        <v>4</v>
      </c>
      <c r="Q38" s="622">
        <v>6</v>
      </c>
      <c r="R38" s="528">
        <f t="shared" si="4"/>
        <v>2</v>
      </c>
      <c r="S38" s="526">
        <f t="shared" si="5"/>
        <v>6.25E-2</v>
      </c>
      <c r="T38" s="326">
        <v>2</v>
      </c>
      <c r="U38" s="631" t="s">
        <v>884</v>
      </c>
      <c r="V38" s="732" t="s">
        <v>885</v>
      </c>
      <c r="W38" s="719"/>
      <c r="X38" s="704">
        <f t="shared" si="16"/>
        <v>1</v>
      </c>
      <c r="Y38" s="704" t="str">
        <f t="shared" si="17"/>
        <v>EXCELENTE</v>
      </c>
      <c r="Z38" s="705" t="str">
        <f t="shared" si="18"/>
        <v>EN EJECUCIÓN</v>
      </c>
      <c r="AA38" s="706">
        <f t="shared" si="19"/>
        <v>6.25E-2</v>
      </c>
    </row>
    <row r="39" spans="2:32" ht="80.099999999999994" customHeight="1" thickBot="1" x14ac:dyDescent="0.3">
      <c r="B39" s="346" t="s">
        <v>391</v>
      </c>
      <c r="C39" s="347" t="s">
        <v>734</v>
      </c>
      <c r="D39" s="348" t="s">
        <v>142</v>
      </c>
      <c r="E39" s="349" t="s">
        <v>538</v>
      </c>
      <c r="F39" s="350" t="s">
        <v>131</v>
      </c>
      <c r="G39" s="547">
        <v>6</v>
      </c>
      <c r="H39" s="634" t="s">
        <v>746</v>
      </c>
      <c r="I39" s="374">
        <v>6.25E-2</v>
      </c>
      <c r="J39" s="363">
        <v>100</v>
      </c>
      <c r="K39" s="364" t="s">
        <v>736</v>
      </c>
      <c r="L39" s="377" t="s">
        <v>747</v>
      </c>
      <c r="M39" s="364" t="s">
        <v>738</v>
      </c>
      <c r="N39" s="384">
        <v>0.25</v>
      </c>
      <c r="O39" s="384">
        <v>0.5</v>
      </c>
      <c r="P39" s="384">
        <v>0.75</v>
      </c>
      <c r="Q39" s="623">
        <v>1</v>
      </c>
      <c r="R39" s="327">
        <f t="shared" si="4"/>
        <v>0.5</v>
      </c>
      <c r="S39" s="526">
        <f t="shared" si="5"/>
        <v>6.25E-2</v>
      </c>
      <c r="T39" s="600">
        <v>0.5</v>
      </c>
      <c r="U39" s="631" t="s">
        <v>886</v>
      </c>
      <c r="V39" s="732" t="s">
        <v>611</v>
      </c>
      <c r="W39" s="719"/>
      <c r="X39" s="704">
        <f t="shared" si="16"/>
        <v>1</v>
      </c>
      <c r="Y39" s="704" t="str">
        <f t="shared" si="17"/>
        <v>EXCELENTE</v>
      </c>
      <c r="Z39" s="705" t="str">
        <f t="shared" si="18"/>
        <v>EN EJECUCIÓN</v>
      </c>
      <c r="AA39" s="706">
        <f t="shared" si="19"/>
        <v>6.25E-2</v>
      </c>
    </row>
    <row r="40" spans="2:32" ht="80.099999999999994" customHeight="1" thickBot="1" x14ac:dyDescent="0.3">
      <c r="B40" s="354" t="s">
        <v>391</v>
      </c>
      <c r="C40" s="355" t="s">
        <v>734</v>
      </c>
      <c r="D40" s="52" t="s">
        <v>142</v>
      </c>
      <c r="E40" s="229" t="s">
        <v>538</v>
      </c>
      <c r="F40" s="356" t="s">
        <v>131</v>
      </c>
      <c r="G40" s="533">
        <v>7</v>
      </c>
      <c r="H40" s="633" t="s">
        <v>748</v>
      </c>
      <c r="I40" s="372">
        <v>6.25E-2</v>
      </c>
      <c r="J40" s="380">
        <v>100</v>
      </c>
      <c r="K40" s="381" t="s">
        <v>736</v>
      </c>
      <c r="L40" s="381" t="s">
        <v>749</v>
      </c>
      <c r="M40" s="582" t="s">
        <v>738</v>
      </c>
      <c r="N40" s="383">
        <v>0.25</v>
      </c>
      <c r="O40" s="383">
        <v>0.5</v>
      </c>
      <c r="P40" s="383">
        <v>0.75</v>
      </c>
      <c r="Q40" s="627">
        <v>1</v>
      </c>
      <c r="R40" s="327">
        <f t="shared" si="4"/>
        <v>0.5</v>
      </c>
      <c r="S40" s="526">
        <f t="shared" si="5"/>
        <v>6.25E-2</v>
      </c>
      <c r="T40" s="600">
        <v>0.42499999999999999</v>
      </c>
      <c r="U40" s="631" t="s">
        <v>1215</v>
      </c>
      <c r="V40" s="732" t="s">
        <v>887</v>
      </c>
      <c r="W40" s="727"/>
      <c r="X40" s="704">
        <f t="shared" si="16"/>
        <v>0.85</v>
      </c>
      <c r="Y40" s="704" t="str">
        <f t="shared" si="17"/>
        <v>BUENO</v>
      </c>
      <c r="Z40" s="705" t="str">
        <f t="shared" si="18"/>
        <v>EN EJECUCIÓN</v>
      </c>
      <c r="AA40" s="706">
        <f t="shared" si="19"/>
        <v>5.3124999999999999E-2</v>
      </c>
    </row>
    <row r="41" spans="2:32" ht="80.099999999999994" customHeight="1" thickBot="1" x14ac:dyDescent="0.3">
      <c r="B41" s="346" t="s">
        <v>391</v>
      </c>
      <c r="C41" s="347" t="s">
        <v>734</v>
      </c>
      <c r="D41" s="378" t="s">
        <v>130</v>
      </c>
      <c r="E41" s="349" t="s">
        <v>538</v>
      </c>
      <c r="F41" s="350" t="s">
        <v>131</v>
      </c>
      <c r="G41" s="533">
        <v>8</v>
      </c>
      <c r="H41" s="424" t="s">
        <v>750</v>
      </c>
      <c r="I41" s="374">
        <v>6.25E-2</v>
      </c>
      <c r="J41" s="363">
        <v>100</v>
      </c>
      <c r="K41" s="364" t="s">
        <v>736</v>
      </c>
      <c r="L41" s="364" t="s">
        <v>751</v>
      </c>
      <c r="M41" s="580" t="s">
        <v>738</v>
      </c>
      <c r="N41" s="384">
        <v>0.25</v>
      </c>
      <c r="O41" s="384">
        <v>0.5</v>
      </c>
      <c r="P41" s="384">
        <v>0.75</v>
      </c>
      <c r="Q41" s="623">
        <v>1</v>
      </c>
      <c r="R41" s="327">
        <f t="shared" si="4"/>
        <v>0.5</v>
      </c>
      <c r="S41" s="526">
        <f t="shared" si="5"/>
        <v>6.25E-2</v>
      </c>
      <c r="T41" s="600">
        <v>0.5</v>
      </c>
      <c r="U41" s="631" t="s">
        <v>1217</v>
      </c>
      <c r="V41" s="564" t="s">
        <v>769</v>
      </c>
      <c r="W41" s="727"/>
      <c r="X41" s="704">
        <f t="shared" si="16"/>
        <v>1</v>
      </c>
      <c r="Y41" s="704" t="str">
        <f t="shared" si="17"/>
        <v>EXCELENTE</v>
      </c>
      <c r="Z41" s="705" t="str">
        <f t="shared" si="18"/>
        <v>EN EJECUCIÓN</v>
      </c>
      <c r="AA41" s="706">
        <f t="shared" si="19"/>
        <v>6.25E-2</v>
      </c>
    </row>
    <row r="42" spans="2:32" ht="80.099999999999994" customHeight="1" thickBot="1" x14ac:dyDescent="0.3">
      <c r="B42" s="354" t="s">
        <v>391</v>
      </c>
      <c r="C42" s="355" t="s">
        <v>734</v>
      </c>
      <c r="D42" s="54" t="s">
        <v>130</v>
      </c>
      <c r="E42" s="229" t="s">
        <v>538</v>
      </c>
      <c r="F42" s="356" t="s">
        <v>131</v>
      </c>
      <c r="G42" s="533">
        <v>9</v>
      </c>
      <c r="H42" s="379" t="s">
        <v>752</v>
      </c>
      <c r="I42" s="372">
        <v>6.25E-2</v>
      </c>
      <c r="J42" s="380">
        <v>100</v>
      </c>
      <c r="K42" s="381" t="s">
        <v>736</v>
      </c>
      <c r="L42" s="381" t="s">
        <v>753</v>
      </c>
      <c r="M42" s="582" t="s">
        <v>738</v>
      </c>
      <c r="N42" s="383">
        <v>0.25</v>
      </c>
      <c r="O42" s="383">
        <v>0.5</v>
      </c>
      <c r="P42" s="383">
        <v>0.75</v>
      </c>
      <c r="Q42" s="627">
        <v>1</v>
      </c>
      <c r="R42" s="327">
        <f t="shared" si="4"/>
        <v>0.5</v>
      </c>
      <c r="S42" s="526">
        <f t="shared" si="5"/>
        <v>6.25E-2</v>
      </c>
      <c r="T42" s="600">
        <v>0.5</v>
      </c>
      <c r="U42" s="631" t="s">
        <v>888</v>
      </c>
      <c r="V42" s="732" t="s">
        <v>770</v>
      </c>
      <c r="W42" s="727"/>
      <c r="X42" s="704">
        <f t="shared" si="16"/>
        <v>1</v>
      </c>
      <c r="Y42" s="704" t="str">
        <f t="shared" si="17"/>
        <v>EXCELENTE</v>
      </c>
      <c r="Z42" s="705" t="str">
        <f t="shared" si="18"/>
        <v>EN EJECUCIÓN</v>
      </c>
      <c r="AA42" s="706">
        <f t="shared" si="19"/>
        <v>6.25E-2</v>
      </c>
    </row>
    <row r="43" spans="2:32" ht="80.099999999999994" customHeight="1" thickBot="1" x14ac:dyDescent="0.3">
      <c r="B43" s="346" t="s">
        <v>391</v>
      </c>
      <c r="C43" s="347" t="s">
        <v>734</v>
      </c>
      <c r="D43" s="378" t="s">
        <v>130</v>
      </c>
      <c r="E43" s="349" t="s">
        <v>538</v>
      </c>
      <c r="F43" s="350" t="s">
        <v>131</v>
      </c>
      <c r="G43" s="533">
        <v>10</v>
      </c>
      <c r="H43" s="427" t="s">
        <v>754</v>
      </c>
      <c r="I43" s="374">
        <v>6.25E-2</v>
      </c>
      <c r="J43" s="367">
        <v>100</v>
      </c>
      <c r="K43" s="368" t="s">
        <v>736</v>
      </c>
      <c r="L43" s="368" t="s">
        <v>755</v>
      </c>
      <c r="M43" s="382" t="s">
        <v>738</v>
      </c>
      <c r="N43" s="384"/>
      <c r="O43" s="384"/>
      <c r="P43" s="384">
        <v>0.5</v>
      </c>
      <c r="Q43" s="623">
        <v>1</v>
      </c>
      <c r="R43" s="327"/>
      <c r="S43" s="526"/>
      <c r="T43" s="326"/>
      <c r="U43" s="731"/>
      <c r="V43" s="732"/>
      <c r="W43" s="727"/>
      <c r="X43" s="704">
        <f t="shared" si="16"/>
        <v>0</v>
      </c>
      <c r="Y43" s="704"/>
      <c r="Z43" s="705" t="str">
        <f t="shared" si="18"/>
        <v>SIN EJECUTAR</v>
      </c>
      <c r="AA43" s="706">
        <f t="shared" si="19"/>
        <v>0</v>
      </c>
    </row>
    <row r="44" spans="2:32" ht="80.099999999999994" customHeight="1" thickBot="1" x14ac:dyDescent="0.3">
      <c r="B44" s="354" t="s">
        <v>391</v>
      </c>
      <c r="C44" s="355" t="s">
        <v>734</v>
      </c>
      <c r="D44" s="54" t="s">
        <v>142</v>
      </c>
      <c r="E44" s="229" t="s">
        <v>538</v>
      </c>
      <c r="F44" s="356" t="s">
        <v>131</v>
      </c>
      <c r="G44" s="533">
        <v>11</v>
      </c>
      <c r="H44" s="338" t="s">
        <v>756</v>
      </c>
      <c r="I44" s="372">
        <v>6.25E-2</v>
      </c>
      <c r="J44" s="359">
        <v>100</v>
      </c>
      <c r="K44" s="358" t="s">
        <v>736</v>
      </c>
      <c r="L44" s="358" t="s">
        <v>757</v>
      </c>
      <c r="M44" s="579" t="s">
        <v>738</v>
      </c>
      <c r="N44" s="383">
        <v>0.25</v>
      </c>
      <c r="O44" s="383">
        <v>0.5</v>
      </c>
      <c r="P44" s="383">
        <v>0.75</v>
      </c>
      <c r="Q44" s="627">
        <v>1</v>
      </c>
      <c r="R44" s="327">
        <f t="shared" si="4"/>
        <v>0.5</v>
      </c>
      <c r="S44" s="526">
        <f t="shared" si="5"/>
        <v>6.25E-2</v>
      </c>
      <c r="T44" s="600">
        <v>0.5</v>
      </c>
      <c r="U44" s="631" t="s">
        <v>889</v>
      </c>
      <c r="V44" s="732" t="s">
        <v>610</v>
      </c>
      <c r="W44" s="730"/>
      <c r="X44" s="704">
        <f t="shared" ref="X44:X49" si="20">IFERROR((T44/R44),0)</f>
        <v>1</v>
      </c>
      <c r="Y44" s="704" t="str">
        <f t="shared" ref="Y44:Y49" si="21">+IF(AND(X44&gt;=0%,X44&lt;=60%),"MALO",IF(AND(X44&gt;=61%,X44&lt;=80%),"REGULAR",IF(AND(X44&gt;=81%,X44&lt;95%),"BUENO","EXCELENTE")))</f>
        <v>EXCELENTE</v>
      </c>
      <c r="Z44" s="705" t="str">
        <f t="shared" ref="Z44:Z49" si="22">IF(X44&gt;0,"EN EJECUCIÓN","SIN EJECUTAR")</f>
        <v>EN EJECUCIÓN</v>
      </c>
      <c r="AA44" s="706">
        <f t="shared" ref="AA44:AA49" si="23">X44*I44</f>
        <v>6.25E-2</v>
      </c>
    </row>
    <row r="45" spans="2:32" ht="80.099999999999994" customHeight="1" thickBot="1" x14ac:dyDescent="0.3">
      <c r="B45" s="346" t="s">
        <v>391</v>
      </c>
      <c r="C45" s="347" t="s">
        <v>734</v>
      </c>
      <c r="D45" s="378" t="s">
        <v>142</v>
      </c>
      <c r="E45" s="349" t="s">
        <v>538</v>
      </c>
      <c r="F45" s="350" t="s">
        <v>131</v>
      </c>
      <c r="G45" s="533">
        <v>12</v>
      </c>
      <c r="H45" s="362" t="s">
        <v>758</v>
      </c>
      <c r="I45" s="374">
        <v>6.25E-2</v>
      </c>
      <c r="J45" s="353">
        <v>100</v>
      </c>
      <c r="K45" s="352" t="s">
        <v>736</v>
      </c>
      <c r="L45" s="364" t="s">
        <v>759</v>
      </c>
      <c r="M45" s="580" t="s">
        <v>738</v>
      </c>
      <c r="N45" s="384">
        <v>0.2</v>
      </c>
      <c r="O45" s="384">
        <v>0.4</v>
      </c>
      <c r="P45" s="384">
        <v>0.6</v>
      </c>
      <c r="Q45" s="623">
        <v>1</v>
      </c>
      <c r="R45" s="327">
        <f t="shared" si="4"/>
        <v>0.4</v>
      </c>
      <c r="S45" s="526">
        <f t="shared" si="5"/>
        <v>6.25E-2</v>
      </c>
      <c r="T45" s="600">
        <v>0.4</v>
      </c>
      <c r="U45" s="631" t="s">
        <v>1223</v>
      </c>
      <c r="V45" s="732" t="s">
        <v>768</v>
      </c>
      <c r="W45" s="727"/>
      <c r="X45" s="704">
        <f t="shared" si="20"/>
        <v>1</v>
      </c>
      <c r="Y45" s="704" t="str">
        <f t="shared" si="21"/>
        <v>EXCELENTE</v>
      </c>
      <c r="Z45" s="705" t="str">
        <f t="shared" si="22"/>
        <v>EN EJECUCIÓN</v>
      </c>
      <c r="AA45" s="706">
        <f t="shared" si="23"/>
        <v>6.25E-2</v>
      </c>
    </row>
    <row r="46" spans="2:32" ht="80.099999999999994" customHeight="1" thickBot="1" x14ac:dyDescent="0.3">
      <c r="B46" s="354" t="s">
        <v>391</v>
      </c>
      <c r="C46" s="355" t="s">
        <v>734</v>
      </c>
      <c r="D46" s="54" t="s">
        <v>142</v>
      </c>
      <c r="E46" s="229" t="s">
        <v>538</v>
      </c>
      <c r="F46" s="356" t="s">
        <v>131</v>
      </c>
      <c r="G46" s="533">
        <v>13</v>
      </c>
      <c r="H46" s="16" t="s">
        <v>760</v>
      </c>
      <c r="I46" s="372">
        <v>6.25E-2</v>
      </c>
      <c r="J46" s="360">
        <v>100</v>
      </c>
      <c r="K46" s="361" t="s">
        <v>736</v>
      </c>
      <c r="L46" s="361" t="s">
        <v>761</v>
      </c>
      <c r="M46" s="581" t="s">
        <v>738</v>
      </c>
      <c r="N46" s="383">
        <v>0.25</v>
      </c>
      <c r="O46" s="383">
        <v>0.5</v>
      </c>
      <c r="P46" s="383">
        <v>0.75</v>
      </c>
      <c r="Q46" s="627">
        <v>1</v>
      </c>
      <c r="R46" s="327">
        <f t="shared" si="4"/>
        <v>0.5</v>
      </c>
      <c r="S46" s="526">
        <f t="shared" si="5"/>
        <v>6.25E-2</v>
      </c>
      <c r="T46" s="600">
        <v>0.4</v>
      </c>
      <c r="U46" s="631" t="s">
        <v>890</v>
      </c>
      <c r="V46" s="564" t="s">
        <v>771</v>
      </c>
      <c r="W46" s="727"/>
      <c r="X46" s="704">
        <f t="shared" si="20"/>
        <v>0.8</v>
      </c>
      <c r="Y46" s="704" t="str">
        <f t="shared" si="21"/>
        <v>REGULAR</v>
      </c>
      <c r="Z46" s="705" t="str">
        <f t="shared" si="22"/>
        <v>EN EJECUCIÓN</v>
      </c>
      <c r="AA46" s="706">
        <f t="shared" si="23"/>
        <v>0.05</v>
      </c>
    </row>
    <row r="47" spans="2:32" ht="80.099999999999994" customHeight="1" thickBot="1" x14ac:dyDescent="0.3">
      <c r="B47" s="346" t="s">
        <v>391</v>
      </c>
      <c r="C47" s="347" t="s">
        <v>734</v>
      </c>
      <c r="D47" s="378" t="s">
        <v>142</v>
      </c>
      <c r="E47" s="349" t="s">
        <v>538</v>
      </c>
      <c r="F47" s="350" t="s">
        <v>131</v>
      </c>
      <c r="G47" s="533">
        <v>14</v>
      </c>
      <c r="H47" s="424" t="s">
        <v>762</v>
      </c>
      <c r="I47" s="374">
        <v>6.25E-2</v>
      </c>
      <c r="J47" s="363">
        <v>100</v>
      </c>
      <c r="K47" s="364" t="s">
        <v>736</v>
      </c>
      <c r="L47" s="364" t="s">
        <v>763</v>
      </c>
      <c r="M47" s="580" t="s">
        <v>738</v>
      </c>
      <c r="N47" s="384">
        <v>0.25</v>
      </c>
      <c r="O47" s="384">
        <v>0.5</v>
      </c>
      <c r="P47" s="384">
        <v>0.75</v>
      </c>
      <c r="Q47" s="623">
        <v>1</v>
      </c>
      <c r="R47" s="327">
        <f t="shared" si="4"/>
        <v>0.5</v>
      </c>
      <c r="S47" s="526">
        <f t="shared" si="5"/>
        <v>6.25E-2</v>
      </c>
      <c r="T47" s="600">
        <v>0.48</v>
      </c>
      <c r="U47" s="631" t="s">
        <v>891</v>
      </c>
      <c r="V47" s="732" t="s">
        <v>768</v>
      </c>
      <c r="W47" s="727"/>
      <c r="X47" s="704">
        <f t="shared" si="20"/>
        <v>0.96</v>
      </c>
      <c r="Y47" s="704" t="str">
        <f t="shared" si="21"/>
        <v>EXCELENTE</v>
      </c>
      <c r="Z47" s="705" t="str">
        <f t="shared" si="22"/>
        <v>EN EJECUCIÓN</v>
      </c>
      <c r="AA47" s="706">
        <f t="shared" si="23"/>
        <v>0.06</v>
      </c>
    </row>
    <row r="48" spans="2:32" ht="80.099999999999994" customHeight="1" thickBot="1" x14ac:dyDescent="0.3">
      <c r="B48" s="354" t="s">
        <v>391</v>
      </c>
      <c r="C48" s="355" t="s">
        <v>734</v>
      </c>
      <c r="D48" s="54" t="s">
        <v>23</v>
      </c>
      <c r="E48" s="229" t="s">
        <v>538</v>
      </c>
      <c r="F48" s="356" t="s">
        <v>131</v>
      </c>
      <c r="G48" s="533">
        <v>15</v>
      </c>
      <c r="H48" s="337" t="s">
        <v>764</v>
      </c>
      <c r="I48" s="372">
        <v>6.25E-2</v>
      </c>
      <c r="J48" s="360">
        <v>100</v>
      </c>
      <c r="K48" s="361" t="s">
        <v>736</v>
      </c>
      <c r="L48" s="361" t="s">
        <v>765</v>
      </c>
      <c r="M48" s="581" t="s">
        <v>738</v>
      </c>
      <c r="N48" s="383">
        <v>0.15</v>
      </c>
      <c r="O48" s="383">
        <v>0.4</v>
      </c>
      <c r="P48" s="383">
        <v>0.7</v>
      </c>
      <c r="Q48" s="627">
        <v>1</v>
      </c>
      <c r="R48" s="327">
        <f t="shared" si="4"/>
        <v>0.4</v>
      </c>
      <c r="S48" s="526">
        <f t="shared" si="5"/>
        <v>6.25E-2</v>
      </c>
      <c r="T48" s="600">
        <v>0.32</v>
      </c>
      <c r="U48" s="631" t="s">
        <v>892</v>
      </c>
      <c r="V48" s="732" t="s">
        <v>609</v>
      </c>
      <c r="W48" s="727"/>
      <c r="X48" s="704">
        <f t="shared" si="20"/>
        <v>0.79999999999999993</v>
      </c>
      <c r="Y48" s="704" t="str">
        <f t="shared" si="21"/>
        <v>REGULAR</v>
      </c>
      <c r="Z48" s="705" t="str">
        <f t="shared" si="22"/>
        <v>EN EJECUCIÓN</v>
      </c>
      <c r="AA48" s="706">
        <f t="shared" si="23"/>
        <v>4.9999999999999996E-2</v>
      </c>
    </row>
    <row r="49" spans="2:27" ht="80.099999999999994" customHeight="1" thickBot="1" x14ac:dyDescent="0.3">
      <c r="B49" s="346" t="s">
        <v>391</v>
      </c>
      <c r="C49" s="347" t="s">
        <v>734</v>
      </c>
      <c r="D49" s="378" t="s">
        <v>142</v>
      </c>
      <c r="E49" s="349" t="s">
        <v>537</v>
      </c>
      <c r="F49" s="350" t="s">
        <v>131</v>
      </c>
      <c r="G49" s="547">
        <v>16</v>
      </c>
      <c r="H49" s="617" t="s">
        <v>766</v>
      </c>
      <c r="I49" s="366">
        <v>6.25E-2</v>
      </c>
      <c r="J49" s="363">
        <v>100</v>
      </c>
      <c r="K49" s="364" t="s">
        <v>736</v>
      </c>
      <c r="L49" s="364" t="s">
        <v>767</v>
      </c>
      <c r="M49" s="364" t="s">
        <v>738</v>
      </c>
      <c r="N49" s="646">
        <v>0.25</v>
      </c>
      <c r="O49" s="646">
        <v>0.5</v>
      </c>
      <c r="P49" s="646">
        <v>0.75</v>
      </c>
      <c r="Q49" s="647">
        <v>1</v>
      </c>
      <c r="R49" s="327">
        <f t="shared" si="4"/>
        <v>0.5</v>
      </c>
      <c r="S49" s="526">
        <f t="shared" si="5"/>
        <v>6.25E-2</v>
      </c>
      <c r="T49" s="600">
        <v>0.5</v>
      </c>
      <c r="U49" s="631" t="s">
        <v>893</v>
      </c>
      <c r="V49" s="732" t="s">
        <v>772</v>
      </c>
      <c r="W49" s="727"/>
      <c r="X49" s="704">
        <f t="shared" si="20"/>
        <v>1</v>
      </c>
      <c r="Y49" s="704" t="str">
        <f t="shared" si="21"/>
        <v>EXCELENTE</v>
      </c>
      <c r="Z49" s="705" t="str">
        <f t="shared" si="22"/>
        <v>EN EJECUCIÓN</v>
      </c>
      <c r="AA49" s="706">
        <f t="shared" si="23"/>
        <v>6.25E-2</v>
      </c>
    </row>
    <row r="50" spans="2:27" ht="80.099999999999994" customHeight="1" thickBot="1" x14ac:dyDescent="0.3">
      <c r="B50" s="385" t="s">
        <v>391</v>
      </c>
      <c r="C50" s="355" t="s">
        <v>734</v>
      </c>
      <c r="D50" s="54" t="s">
        <v>52</v>
      </c>
      <c r="E50" s="229" t="s">
        <v>539</v>
      </c>
      <c r="F50" s="386" t="s">
        <v>176</v>
      </c>
      <c r="G50" s="533">
        <v>1</v>
      </c>
      <c r="H50" s="611" t="s">
        <v>773</v>
      </c>
      <c r="I50" s="612">
        <v>0.2</v>
      </c>
      <c r="J50" s="613">
        <v>2</v>
      </c>
      <c r="K50" s="614" t="s">
        <v>100</v>
      </c>
      <c r="L50" s="615" t="s">
        <v>774</v>
      </c>
      <c r="M50" s="616" t="s">
        <v>775</v>
      </c>
      <c r="N50" s="589">
        <v>0</v>
      </c>
      <c r="O50" s="589">
        <v>1</v>
      </c>
      <c r="P50" s="589">
        <v>0</v>
      </c>
      <c r="Q50" s="622">
        <v>2</v>
      </c>
      <c r="R50" s="528">
        <v>1</v>
      </c>
      <c r="S50" s="526">
        <f t="shared" si="5"/>
        <v>0.2</v>
      </c>
      <c r="T50" s="418">
        <v>1</v>
      </c>
      <c r="U50" s="725" t="s">
        <v>895</v>
      </c>
      <c r="V50" s="726" t="s">
        <v>896</v>
      </c>
      <c r="W50" s="727"/>
      <c r="X50" s="704">
        <f t="shared" ref="X50:X58" si="24">IFERROR((T50/R50),0)</f>
        <v>1</v>
      </c>
      <c r="Y50" s="704" t="str">
        <f t="shared" ref="Y50:Y58" si="25">+IF(AND(X50&gt;=0%,X50&lt;=60%),"MALO",IF(AND(X50&gt;=61%,X50&lt;=80%),"REGULAR",IF(AND(X50&gt;=81%,X50&lt;95%),"BUENO","EXCELENTE")))</f>
        <v>EXCELENTE</v>
      </c>
      <c r="Z50" s="705" t="str">
        <f t="shared" ref="Z50:Z58" si="26">IF(X50&gt;0,"EN EJECUCIÓN","SIN EJECUTAR")</f>
        <v>EN EJECUCIÓN</v>
      </c>
      <c r="AA50" s="706">
        <f t="shared" ref="AA50:AA58" si="27">X50*I50</f>
        <v>0.2</v>
      </c>
    </row>
    <row r="51" spans="2:27" ht="80.099999999999994" customHeight="1" thickBot="1" x14ac:dyDescent="0.3">
      <c r="B51" s="387" t="s">
        <v>391</v>
      </c>
      <c r="C51" s="347" t="s">
        <v>734</v>
      </c>
      <c r="D51" s="378" t="s">
        <v>52</v>
      </c>
      <c r="E51" s="349" t="s">
        <v>539</v>
      </c>
      <c r="F51" s="388" t="s">
        <v>176</v>
      </c>
      <c r="G51" s="533">
        <v>2</v>
      </c>
      <c r="H51" s="428" t="s">
        <v>776</v>
      </c>
      <c r="I51" s="389">
        <v>0.2</v>
      </c>
      <c r="J51" s="363">
        <v>100</v>
      </c>
      <c r="K51" s="364" t="s">
        <v>481</v>
      </c>
      <c r="L51" s="364" t="s">
        <v>777</v>
      </c>
      <c r="M51" s="580" t="s">
        <v>778</v>
      </c>
      <c r="N51" s="384">
        <v>0.25</v>
      </c>
      <c r="O51" s="384">
        <v>0.75</v>
      </c>
      <c r="P51" s="384">
        <v>0.85</v>
      </c>
      <c r="Q51" s="623">
        <v>1</v>
      </c>
      <c r="R51" s="327">
        <f t="shared" si="4"/>
        <v>0.75</v>
      </c>
      <c r="S51" s="526">
        <f t="shared" si="5"/>
        <v>0.2</v>
      </c>
      <c r="T51" s="419">
        <v>0</v>
      </c>
      <c r="U51" s="725" t="s">
        <v>897</v>
      </c>
      <c r="V51" s="726" t="s">
        <v>607</v>
      </c>
      <c r="W51" s="727" t="s">
        <v>898</v>
      </c>
      <c r="X51" s="704">
        <f t="shared" si="24"/>
        <v>0</v>
      </c>
      <c r="Y51" s="704" t="str">
        <f t="shared" si="25"/>
        <v>MALO</v>
      </c>
      <c r="Z51" s="705" t="str">
        <f t="shared" si="26"/>
        <v>SIN EJECUTAR</v>
      </c>
      <c r="AA51" s="706">
        <f t="shared" si="27"/>
        <v>0</v>
      </c>
    </row>
    <row r="52" spans="2:27" ht="80.099999999999994" customHeight="1" thickBot="1" x14ac:dyDescent="0.3">
      <c r="B52" s="385" t="s">
        <v>391</v>
      </c>
      <c r="C52" s="355" t="s">
        <v>734</v>
      </c>
      <c r="D52" s="54" t="s">
        <v>52</v>
      </c>
      <c r="E52" s="229" t="s">
        <v>539</v>
      </c>
      <c r="F52" s="386" t="s">
        <v>176</v>
      </c>
      <c r="G52" s="533">
        <v>3</v>
      </c>
      <c r="H52" s="390" t="s">
        <v>779</v>
      </c>
      <c r="I52" s="391">
        <v>0.2</v>
      </c>
      <c r="J52" s="360">
        <v>4</v>
      </c>
      <c r="K52" s="361" t="s">
        <v>780</v>
      </c>
      <c r="L52" s="16" t="s">
        <v>781</v>
      </c>
      <c r="M52" s="581" t="s">
        <v>782</v>
      </c>
      <c r="N52" s="594">
        <v>1</v>
      </c>
      <c r="O52" s="594">
        <v>2</v>
      </c>
      <c r="P52" s="594">
        <v>3</v>
      </c>
      <c r="Q52" s="622">
        <v>4</v>
      </c>
      <c r="R52" s="528">
        <f t="shared" si="4"/>
        <v>2</v>
      </c>
      <c r="S52" s="526">
        <f t="shared" si="5"/>
        <v>0.2</v>
      </c>
      <c r="T52" s="418">
        <v>2</v>
      </c>
      <c r="U52" s="725" t="s">
        <v>899</v>
      </c>
      <c r="V52" s="726" t="s">
        <v>900</v>
      </c>
      <c r="W52" s="727" t="s">
        <v>901</v>
      </c>
      <c r="X52" s="704">
        <f t="shared" si="24"/>
        <v>1</v>
      </c>
      <c r="Y52" s="704" t="str">
        <f t="shared" si="25"/>
        <v>EXCELENTE</v>
      </c>
      <c r="Z52" s="705" t="str">
        <f t="shared" si="26"/>
        <v>EN EJECUCIÓN</v>
      </c>
      <c r="AA52" s="706">
        <f t="shared" si="27"/>
        <v>0.2</v>
      </c>
    </row>
    <row r="53" spans="2:27" ht="80.099999999999994" customHeight="1" thickBot="1" x14ac:dyDescent="0.3">
      <c r="B53" s="387" t="s">
        <v>391</v>
      </c>
      <c r="C53" s="347" t="s">
        <v>734</v>
      </c>
      <c r="D53" s="378" t="s">
        <v>52</v>
      </c>
      <c r="E53" s="349" t="s">
        <v>539</v>
      </c>
      <c r="F53" s="388" t="s">
        <v>176</v>
      </c>
      <c r="G53" s="533">
        <v>4</v>
      </c>
      <c r="H53" s="428" t="s">
        <v>783</v>
      </c>
      <c r="I53" s="389">
        <v>0.2</v>
      </c>
      <c r="J53" s="363">
        <v>1</v>
      </c>
      <c r="K53" s="364" t="s">
        <v>100</v>
      </c>
      <c r="L53" s="364" t="s">
        <v>784</v>
      </c>
      <c r="M53" s="580" t="s">
        <v>778</v>
      </c>
      <c r="N53" s="595">
        <v>0</v>
      </c>
      <c r="O53" s="595">
        <v>1</v>
      </c>
      <c r="P53" s="595">
        <v>0</v>
      </c>
      <c r="Q53" s="621">
        <v>0</v>
      </c>
      <c r="R53" s="528">
        <f t="shared" si="4"/>
        <v>1</v>
      </c>
      <c r="S53" s="526">
        <f t="shared" si="5"/>
        <v>0.2</v>
      </c>
      <c r="T53" s="418">
        <v>0</v>
      </c>
      <c r="U53" s="725" t="s">
        <v>902</v>
      </c>
      <c r="V53" s="726" t="s">
        <v>903</v>
      </c>
      <c r="W53" s="727" t="s">
        <v>904</v>
      </c>
      <c r="X53" s="704">
        <f t="shared" si="24"/>
        <v>0</v>
      </c>
      <c r="Y53" s="704" t="str">
        <f t="shared" si="25"/>
        <v>MALO</v>
      </c>
      <c r="Z53" s="705" t="str">
        <f t="shared" si="26"/>
        <v>SIN EJECUTAR</v>
      </c>
      <c r="AA53" s="706">
        <f t="shared" si="27"/>
        <v>0</v>
      </c>
    </row>
    <row r="54" spans="2:27" s="422" customFormat="1" ht="80.099999999999994" customHeight="1" thickBot="1" x14ac:dyDescent="0.3">
      <c r="B54" s="385" t="s">
        <v>391</v>
      </c>
      <c r="C54" s="355" t="s">
        <v>734</v>
      </c>
      <c r="D54" s="54" t="s">
        <v>52</v>
      </c>
      <c r="E54" s="385" t="s">
        <v>539</v>
      </c>
      <c r="F54" s="523" t="s">
        <v>176</v>
      </c>
      <c r="G54" s="529">
        <v>5</v>
      </c>
      <c r="H54" s="357" t="s">
        <v>785</v>
      </c>
      <c r="I54" s="635">
        <v>0.2</v>
      </c>
      <c r="J54" s="359">
        <v>100</v>
      </c>
      <c r="K54" s="358" t="s">
        <v>481</v>
      </c>
      <c r="L54" s="358" t="s">
        <v>786</v>
      </c>
      <c r="M54" s="579" t="s">
        <v>775</v>
      </c>
      <c r="N54" s="596">
        <v>0</v>
      </c>
      <c r="O54" s="597">
        <v>0.65</v>
      </c>
      <c r="P54" s="597">
        <v>0.75</v>
      </c>
      <c r="Q54" s="628">
        <v>1</v>
      </c>
      <c r="R54" s="327">
        <f t="shared" si="4"/>
        <v>0.65</v>
      </c>
      <c r="S54" s="526">
        <f t="shared" si="5"/>
        <v>0.2</v>
      </c>
      <c r="T54" s="419">
        <v>0.54</v>
      </c>
      <c r="U54" s="725" t="s">
        <v>1171</v>
      </c>
      <c r="V54" s="726" t="s">
        <v>905</v>
      </c>
      <c r="W54" s="727"/>
      <c r="X54" s="704">
        <f t="shared" si="24"/>
        <v>0.83076923076923082</v>
      </c>
      <c r="Y54" s="704" t="str">
        <f t="shared" si="25"/>
        <v>BUENO</v>
      </c>
      <c r="Z54" s="705" t="str">
        <f t="shared" si="26"/>
        <v>EN EJECUCIÓN</v>
      </c>
      <c r="AA54" s="706">
        <f t="shared" si="27"/>
        <v>0.16615384615384618</v>
      </c>
    </row>
    <row r="55" spans="2:27" ht="80.099999999999994" customHeight="1" thickBot="1" x14ac:dyDescent="0.3">
      <c r="B55" s="387" t="s">
        <v>391</v>
      </c>
      <c r="C55" s="347" t="s">
        <v>734</v>
      </c>
      <c r="D55" s="348" t="s">
        <v>23</v>
      </c>
      <c r="E55" s="349" t="s">
        <v>787</v>
      </c>
      <c r="F55" s="350" t="s">
        <v>183</v>
      </c>
      <c r="G55" s="551">
        <v>1</v>
      </c>
      <c r="H55" s="636" t="s">
        <v>788</v>
      </c>
      <c r="I55" s="364">
        <v>0.5</v>
      </c>
      <c r="J55" s="363">
        <v>100</v>
      </c>
      <c r="K55" s="364" t="s">
        <v>184</v>
      </c>
      <c r="L55" s="637" t="s">
        <v>789</v>
      </c>
      <c r="M55" s="364" t="s">
        <v>790</v>
      </c>
      <c r="N55" s="588">
        <v>50</v>
      </c>
      <c r="O55" s="588">
        <v>100</v>
      </c>
      <c r="P55" s="588"/>
      <c r="Q55" s="621"/>
      <c r="R55" s="528">
        <f t="shared" si="4"/>
        <v>100</v>
      </c>
      <c r="S55" s="526">
        <f t="shared" si="5"/>
        <v>0.5</v>
      </c>
      <c r="T55" s="688">
        <v>100</v>
      </c>
      <c r="U55" s="728" t="s">
        <v>1183</v>
      </c>
      <c r="V55" s="564" t="s">
        <v>1341</v>
      </c>
      <c r="W55" s="733"/>
      <c r="X55" s="704">
        <f t="shared" si="24"/>
        <v>1</v>
      </c>
      <c r="Y55" s="704" t="str">
        <f t="shared" si="25"/>
        <v>EXCELENTE</v>
      </c>
      <c r="Z55" s="705" t="str">
        <f t="shared" si="26"/>
        <v>EN EJECUCIÓN</v>
      </c>
      <c r="AA55" s="706">
        <f t="shared" si="27"/>
        <v>0.5</v>
      </c>
    </row>
    <row r="56" spans="2:27" ht="80.099999999999994" customHeight="1" thickBot="1" x14ac:dyDescent="0.3">
      <c r="B56" s="385" t="s">
        <v>391</v>
      </c>
      <c r="C56" s="355" t="s">
        <v>734</v>
      </c>
      <c r="D56" s="52" t="s">
        <v>23</v>
      </c>
      <c r="E56" s="229" t="s">
        <v>787</v>
      </c>
      <c r="F56" s="356" t="s">
        <v>183</v>
      </c>
      <c r="G56" s="533">
        <v>2</v>
      </c>
      <c r="H56" s="429" t="s">
        <v>791</v>
      </c>
      <c r="I56" s="381">
        <v>0.25</v>
      </c>
      <c r="J56" s="380">
        <v>100</v>
      </c>
      <c r="K56" s="381" t="s">
        <v>184</v>
      </c>
      <c r="L56" s="392" t="s">
        <v>792</v>
      </c>
      <c r="M56" s="582" t="s">
        <v>790</v>
      </c>
      <c r="N56" s="589">
        <v>10</v>
      </c>
      <c r="O56" s="589">
        <v>30</v>
      </c>
      <c r="P56" s="589">
        <v>60</v>
      </c>
      <c r="Q56" s="622">
        <v>100</v>
      </c>
      <c r="R56" s="528">
        <f>O56</f>
        <v>30</v>
      </c>
      <c r="S56" s="526">
        <f>IFERROR(R56/O56,0)*I56</f>
        <v>0.25</v>
      </c>
      <c r="T56" s="688">
        <v>24</v>
      </c>
      <c r="U56" s="632" t="s">
        <v>906</v>
      </c>
      <c r="V56" s="565" t="s">
        <v>907</v>
      </c>
      <c r="W56" s="733"/>
      <c r="X56" s="704">
        <f t="shared" si="24"/>
        <v>0.8</v>
      </c>
      <c r="Y56" s="704" t="str">
        <f t="shared" si="25"/>
        <v>REGULAR</v>
      </c>
      <c r="Z56" s="705" t="str">
        <f t="shared" si="26"/>
        <v>EN EJECUCIÓN</v>
      </c>
      <c r="AA56" s="706">
        <f t="shared" si="27"/>
        <v>0.2</v>
      </c>
    </row>
    <row r="57" spans="2:27" ht="80.099999999999994" customHeight="1" thickBot="1" x14ac:dyDescent="0.3">
      <c r="B57" s="387" t="s">
        <v>391</v>
      </c>
      <c r="C57" s="347" t="s">
        <v>734</v>
      </c>
      <c r="D57" s="348" t="s">
        <v>23</v>
      </c>
      <c r="E57" s="349" t="s">
        <v>787</v>
      </c>
      <c r="F57" s="350" t="s">
        <v>183</v>
      </c>
      <c r="G57" s="551">
        <v>3</v>
      </c>
      <c r="H57" s="636" t="s">
        <v>793</v>
      </c>
      <c r="I57" s="364">
        <v>0.25</v>
      </c>
      <c r="J57" s="363">
        <v>100</v>
      </c>
      <c r="K57" s="364" t="s">
        <v>184</v>
      </c>
      <c r="L57" s="364" t="s">
        <v>794</v>
      </c>
      <c r="M57" s="364" t="s">
        <v>790</v>
      </c>
      <c r="N57" s="588">
        <v>10</v>
      </c>
      <c r="O57" s="588">
        <v>30</v>
      </c>
      <c r="P57" s="588">
        <v>60</v>
      </c>
      <c r="Q57" s="621">
        <v>100</v>
      </c>
      <c r="R57" s="528">
        <f>O57</f>
        <v>30</v>
      </c>
      <c r="S57" s="526">
        <f>IFERROR(R57/O57,0)*I57</f>
        <v>0.25</v>
      </c>
      <c r="T57" s="688">
        <v>12</v>
      </c>
      <c r="U57" s="631" t="s">
        <v>908</v>
      </c>
      <c r="V57" s="565" t="s">
        <v>909</v>
      </c>
      <c r="W57" s="733"/>
      <c r="X57" s="704">
        <f t="shared" si="24"/>
        <v>0.4</v>
      </c>
      <c r="Y57" s="704" t="str">
        <f t="shared" si="25"/>
        <v>MALO</v>
      </c>
      <c r="Z57" s="705" t="str">
        <f t="shared" si="26"/>
        <v>EN EJECUCIÓN</v>
      </c>
      <c r="AA57" s="706">
        <f t="shared" si="27"/>
        <v>0.1</v>
      </c>
    </row>
    <row r="58" spans="2:27" ht="80.099999999999994" customHeight="1" thickBot="1" x14ac:dyDescent="0.3">
      <c r="B58" s="354" t="s">
        <v>388</v>
      </c>
      <c r="C58" s="355" t="s">
        <v>389</v>
      </c>
      <c r="D58" s="52" t="s">
        <v>23</v>
      </c>
      <c r="E58" s="229" t="s">
        <v>542</v>
      </c>
      <c r="F58" s="356" t="s">
        <v>186</v>
      </c>
      <c r="G58" s="533">
        <v>1</v>
      </c>
      <c r="H58" s="638" t="s">
        <v>795</v>
      </c>
      <c r="I58" s="639">
        <v>6.25E-2</v>
      </c>
      <c r="J58" s="640">
        <v>100</v>
      </c>
      <c r="K58" s="641" t="s">
        <v>184</v>
      </c>
      <c r="L58" s="642" t="s">
        <v>796</v>
      </c>
      <c r="M58" s="643" t="s">
        <v>797</v>
      </c>
      <c r="N58" s="573">
        <v>25</v>
      </c>
      <c r="O58" s="573">
        <v>50</v>
      </c>
      <c r="P58" s="573">
        <v>75</v>
      </c>
      <c r="Q58" s="586">
        <v>100</v>
      </c>
      <c r="R58" s="528">
        <v>50</v>
      </c>
      <c r="S58" s="526">
        <f t="shared" si="5"/>
        <v>6.25E-2</v>
      </c>
      <c r="T58" s="601">
        <v>0</v>
      </c>
      <c r="U58" s="734" t="s">
        <v>1296</v>
      </c>
      <c r="V58" s="735" t="s">
        <v>607</v>
      </c>
      <c r="W58" s="736" t="s">
        <v>910</v>
      </c>
      <c r="X58" s="704">
        <f t="shared" si="24"/>
        <v>0</v>
      </c>
      <c r="Y58" s="704" t="str">
        <f t="shared" si="25"/>
        <v>MALO</v>
      </c>
      <c r="Z58" s="705" t="str">
        <f t="shared" si="26"/>
        <v>SIN EJECUTAR</v>
      </c>
      <c r="AA58" s="706">
        <f t="shared" si="27"/>
        <v>0</v>
      </c>
    </row>
    <row r="59" spans="2:27" ht="80.099999999999994" customHeight="1" thickBot="1" x14ac:dyDescent="0.3">
      <c r="B59" s="346" t="s">
        <v>388</v>
      </c>
      <c r="C59" s="347" t="s">
        <v>389</v>
      </c>
      <c r="D59" s="348" t="s">
        <v>23</v>
      </c>
      <c r="E59" s="349" t="s">
        <v>542</v>
      </c>
      <c r="F59" s="350" t="s">
        <v>186</v>
      </c>
      <c r="G59" s="533">
        <v>2</v>
      </c>
      <c r="H59" s="648" t="s">
        <v>363</v>
      </c>
      <c r="I59" s="649">
        <v>6.25E-2</v>
      </c>
      <c r="J59" s="650">
        <v>0.2</v>
      </c>
      <c r="K59" s="651" t="s">
        <v>184</v>
      </c>
      <c r="L59" s="652" t="s">
        <v>798</v>
      </c>
      <c r="M59" s="653" t="s">
        <v>198</v>
      </c>
      <c r="N59" s="654">
        <v>0.05</v>
      </c>
      <c r="O59" s="654">
        <v>0.1</v>
      </c>
      <c r="P59" s="654">
        <v>0.15</v>
      </c>
      <c r="Q59" s="655">
        <v>0.2</v>
      </c>
      <c r="R59" s="327">
        <v>0.1</v>
      </c>
      <c r="S59" s="526">
        <f t="shared" si="5"/>
        <v>6.25E-2</v>
      </c>
      <c r="T59" s="602">
        <v>0.1</v>
      </c>
      <c r="U59" s="734" t="s">
        <v>911</v>
      </c>
      <c r="V59" s="735" t="s">
        <v>912</v>
      </c>
      <c r="W59" s="736"/>
      <c r="X59" s="704">
        <f t="shared" ref="X59:X64" si="28">IFERROR((T59/R59),0)</f>
        <v>1</v>
      </c>
      <c r="Y59" s="704" t="str">
        <f t="shared" ref="Y59:Y64" si="29">+IF(AND(X59&gt;=0%,X59&lt;=60%),"MALO",IF(AND(X59&gt;=61%,X59&lt;=80%),"REGULAR",IF(AND(X59&gt;=81%,X59&lt;95%),"BUENO","EXCELENTE")))</f>
        <v>EXCELENTE</v>
      </c>
      <c r="Z59" s="705" t="str">
        <f t="shared" ref="Z59:Z65" si="30">IF(X59&gt;0,"EN EJECUCIÓN","SIN EJECUTAR")</f>
        <v>EN EJECUCIÓN</v>
      </c>
      <c r="AA59" s="706">
        <f t="shared" ref="AA59:AA65" si="31">X59*I59</f>
        <v>6.25E-2</v>
      </c>
    </row>
    <row r="60" spans="2:27" ht="80.099999999999994" customHeight="1" thickBot="1" x14ac:dyDescent="0.3">
      <c r="B60" s="354" t="s">
        <v>388</v>
      </c>
      <c r="C60" s="355" t="s">
        <v>389</v>
      </c>
      <c r="D60" s="52" t="s">
        <v>23</v>
      </c>
      <c r="E60" s="229" t="s">
        <v>542</v>
      </c>
      <c r="F60" s="356" t="s">
        <v>186</v>
      </c>
      <c r="G60" s="547">
        <v>3</v>
      </c>
      <c r="H60" s="331" t="s">
        <v>799</v>
      </c>
      <c r="I60" s="372">
        <v>6.25E-2</v>
      </c>
      <c r="J60" s="358">
        <v>0.51</v>
      </c>
      <c r="K60" s="358" t="s">
        <v>800</v>
      </c>
      <c r="L60" s="358" t="s">
        <v>801</v>
      </c>
      <c r="M60" s="579" t="s">
        <v>198</v>
      </c>
      <c r="N60" s="398">
        <v>0</v>
      </c>
      <c r="O60" s="398">
        <v>17</v>
      </c>
      <c r="P60" s="398">
        <v>17</v>
      </c>
      <c r="Q60" s="629">
        <v>17</v>
      </c>
      <c r="R60" s="527">
        <f t="shared" si="4"/>
        <v>17</v>
      </c>
      <c r="S60" s="526">
        <f t="shared" si="5"/>
        <v>6.25E-2</v>
      </c>
      <c r="T60" s="603">
        <v>17</v>
      </c>
      <c r="U60" s="734" t="s">
        <v>1173</v>
      </c>
      <c r="V60" s="735" t="s">
        <v>912</v>
      </c>
      <c r="W60" s="736"/>
      <c r="X60" s="704">
        <f t="shared" si="28"/>
        <v>1</v>
      </c>
      <c r="Y60" s="704" t="str">
        <f t="shared" si="29"/>
        <v>EXCELENTE</v>
      </c>
      <c r="Z60" s="705" t="str">
        <f t="shared" si="30"/>
        <v>EN EJECUCIÓN</v>
      </c>
      <c r="AA60" s="706">
        <f t="shared" si="31"/>
        <v>6.25E-2</v>
      </c>
    </row>
    <row r="61" spans="2:27" ht="80.099999999999994" customHeight="1" thickBot="1" x14ac:dyDescent="0.3">
      <c r="B61" s="346" t="s">
        <v>388</v>
      </c>
      <c r="C61" s="347" t="s">
        <v>389</v>
      </c>
      <c r="D61" s="348" t="s">
        <v>23</v>
      </c>
      <c r="E61" s="349" t="s">
        <v>542</v>
      </c>
      <c r="F61" s="350" t="s">
        <v>186</v>
      </c>
      <c r="G61" s="547">
        <v>4</v>
      </c>
      <c r="H61" s="648" t="s">
        <v>802</v>
      </c>
      <c r="I61" s="649">
        <v>6.25E-2</v>
      </c>
      <c r="J61" s="399">
        <v>4</v>
      </c>
      <c r="K61" s="400" t="s">
        <v>212</v>
      </c>
      <c r="L61" s="401" t="s">
        <v>803</v>
      </c>
      <c r="M61" s="656" t="s">
        <v>804</v>
      </c>
      <c r="N61" s="648">
        <v>1</v>
      </c>
      <c r="O61" s="648">
        <v>2</v>
      </c>
      <c r="P61" s="648">
        <v>3</v>
      </c>
      <c r="Q61" s="657">
        <v>4</v>
      </c>
      <c r="R61" s="528">
        <f t="shared" si="4"/>
        <v>2</v>
      </c>
      <c r="S61" s="526">
        <f t="shared" si="5"/>
        <v>6.25E-2</v>
      </c>
      <c r="T61" s="603">
        <v>2</v>
      </c>
      <c r="U61" s="734" t="s">
        <v>1299</v>
      </c>
      <c r="V61" s="735" t="s">
        <v>913</v>
      </c>
      <c r="W61" s="736"/>
      <c r="X61" s="704">
        <f t="shared" si="28"/>
        <v>1</v>
      </c>
      <c r="Y61" s="704" t="str">
        <f t="shared" si="29"/>
        <v>EXCELENTE</v>
      </c>
      <c r="Z61" s="705" t="str">
        <f t="shared" si="30"/>
        <v>EN EJECUCIÓN</v>
      </c>
      <c r="AA61" s="706">
        <f t="shared" si="31"/>
        <v>6.25E-2</v>
      </c>
    </row>
    <row r="62" spans="2:27" ht="80.099999999999994" customHeight="1" thickBot="1" x14ac:dyDescent="0.3">
      <c r="B62" s="354" t="s">
        <v>388</v>
      </c>
      <c r="C62" s="355" t="s">
        <v>389</v>
      </c>
      <c r="D62" s="52" t="s">
        <v>23</v>
      </c>
      <c r="E62" s="229" t="s">
        <v>542</v>
      </c>
      <c r="F62" s="356" t="s">
        <v>186</v>
      </c>
      <c r="G62" s="547">
        <v>5</v>
      </c>
      <c r="H62" s="402" t="s">
        <v>211</v>
      </c>
      <c r="I62" s="393">
        <v>6.25E-2</v>
      </c>
      <c r="J62" s="403">
        <v>2</v>
      </c>
      <c r="K62" s="404" t="s">
        <v>220</v>
      </c>
      <c r="L62" s="402" t="s">
        <v>213</v>
      </c>
      <c r="M62" s="583" t="s">
        <v>804</v>
      </c>
      <c r="N62" s="573">
        <v>0</v>
      </c>
      <c r="O62" s="573">
        <v>1</v>
      </c>
      <c r="P62" s="573">
        <v>0</v>
      </c>
      <c r="Q62" s="586">
        <v>2</v>
      </c>
      <c r="R62" s="528">
        <f t="shared" si="4"/>
        <v>1</v>
      </c>
      <c r="S62" s="526">
        <f t="shared" si="5"/>
        <v>6.25E-2</v>
      </c>
      <c r="T62" s="603">
        <v>0.5</v>
      </c>
      <c r="U62" s="734" t="s">
        <v>914</v>
      </c>
      <c r="V62" s="735" t="s">
        <v>915</v>
      </c>
      <c r="W62" s="736"/>
      <c r="X62" s="704">
        <f t="shared" si="28"/>
        <v>0.5</v>
      </c>
      <c r="Y62" s="704" t="str">
        <f t="shared" si="29"/>
        <v>MALO</v>
      </c>
      <c r="Z62" s="705" t="str">
        <f t="shared" si="30"/>
        <v>EN EJECUCIÓN</v>
      </c>
      <c r="AA62" s="706">
        <f t="shared" si="31"/>
        <v>3.125E-2</v>
      </c>
    </row>
    <row r="63" spans="2:27" ht="80.099999999999994" customHeight="1" thickBot="1" x14ac:dyDescent="0.3">
      <c r="B63" s="346" t="s">
        <v>388</v>
      </c>
      <c r="C63" s="347" t="s">
        <v>389</v>
      </c>
      <c r="D63" s="348" t="s">
        <v>23</v>
      </c>
      <c r="E63" s="349" t="s">
        <v>536</v>
      </c>
      <c r="F63" s="350" t="s">
        <v>186</v>
      </c>
      <c r="G63" s="533">
        <v>6</v>
      </c>
      <c r="H63" s="405" t="s">
        <v>365</v>
      </c>
      <c r="I63" s="649">
        <v>6.25E-2</v>
      </c>
      <c r="J63" s="658">
        <v>5</v>
      </c>
      <c r="K63" s="659" t="s">
        <v>220</v>
      </c>
      <c r="L63" s="660" t="s">
        <v>805</v>
      </c>
      <c r="M63" s="656" t="s">
        <v>222</v>
      </c>
      <c r="N63" s="661">
        <v>0</v>
      </c>
      <c r="O63" s="661">
        <v>2</v>
      </c>
      <c r="P63" s="661">
        <v>4</v>
      </c>
      <c r="Q63" s="662">
        <v>5</v>
      </c>
      <c r="R63" s="417">
        <f t="shared" si="4"/>
        <v>2</v>
      </c>
      <c r="S63" s="526">
        <f t="shared" si="5"/>
        <v>6.25E-2</v>
      </c>
      <c r="T63" s="601">
        <v>2</v>
      </c>
      <c r="U63" s="734" t="s">
        <v>916</v>
      </c>
      <c r="V63" s="735" t="s">
        <v>917</v>
      </c>
      <c r="W63" s="736"/>
      <c r="X63" s="704">
        <f t="shared" si="28"/>
        <v>1</v>
      </c>
      <c r="Y63" s="704" t="str">
        <f t="shared" si="29"/>
        <v>EXCELENTE</v>
      </c>
      <c r="Z63" s="705" t="str">
        <f t="shared" si="30"/>
        <v>EN EJECUCIÓN</v>
      </c>
      <c r="AA63" s="706">
        <f t="shared" si="31"/>
        <v>6.25E-2</v>
      </c>
    </row>
    <row r="64" spans="2:27" ht="80.099999999999994" customHeight="1" thickBot="1" x14ac:dyDescent="0.3">
      <c r="B64" s="354" t="s">
        <v>388</v>
      </c>
      <c r="C64" s="355" t="s">
        <v>389</v>
      </c>
      <c r="D64" s="52" t="s">
        <v>23</v>
      </c>
      <c r="E64" s="229" t="s">
        <v>545</v>
      </c>
      <c r="F64" s="356" t="s">
        <v>186</v>
      </c>
      <c r="G64" s="533">
        <v>7</v>
      </c>
      <c r="H64" s="395" t="s">
        <v>225</v>
      </c>
      <c r="I64" s="393">
        <v>6.25E-2</v>
      </c>
      <c r="J64" s="407">
        <v>4</v>
      </c>
      <c r="K64" s="406" t="s">
        <v>220</v>
      </c>
      <c r="L64" s="408" t="s">
        <v>806</v>
      </c>
      <c r="M64" s="584" t="s">
        <v>227</v>
      </c>
      <c r="N64" s="398">
        <v>1</v>
      </c>
      <c r="O64" s="398">
        <v>2</v>
      </c>
      <c r="P64" s="398">
        <v>3</v>
      </c>
      <c r="Q64" s="629">
        <v>4</v>
      </c>
      <c r="R64" s="417">
        <f t="shared" si="4"/>
        <v>2</v>
      </c>
      <c r="S64" s="526">
        <f t="shared" si="5"/>
        <v>6.25E-2</v>
      </c>
      <c r="T64" s="685">
        <v>2</v>
      </c>
      <c r="U64" s="734" t="s">
        <v>918</v>
      </c>
      <c r="V64" s="735" t="s">
        <v>919</v>
      </c>
      <c r="W64" s="737"/>
      <c r="X64" s="704">
        <f t="shared" si="28"/>
        <v>1</v>
      </c>
      <c r="Y64" s="704" t="str">
        <f t="shared" si="29"/>
        <v>EXCELENTE</v>
      </c>
      <c r="Z64" s="705" t="str">
        <f t="shared" si="30"/>
        <v>EN EJECUCIÓN</v>
      </c>
      <c r="AA64" s="706">
        <f t="shared" si="31"/>
        <v>6.25E-2</v>
      </c>
    </row>
    <row r="65" spans="2:32" ht="80.099999999999994" customHeight="1" thickBot="1" x14ac:dyDescent="0.3">
      <c r="B65" s="346" t="s">
        <v>388</v>
      </c>
      <c r="C65" s="347" t="s">
        <v>389</v>
      </c>
      <c r="D65" s="348" t="s">
        <v>23</v>
      </c>
      <c r="E65" s="349" t="s">
        <v>543</v>
      </c>
      <c r="F65" s="350" t="s">
        <v>186</v>
      </c>
      <c r="G65" s="547">
        <v>8</v>
      </c>
      <c r="H65" s="648" t="s">
        <v>807</v>
      </c>
      <c r="I65" s="649">
        <v>6.25E-2</v>
      </c>
      <c r="J65" s="663">
        <v>100</v>
      </c>
      <c r="K65" s="664" t="s">
        <v>184</v>
      </c>
      <c r="L65" s="665" t="s">
        <v>808</v>
      </c>
      <c r="M65" s="666" t="s">
        <v>809</v>
      </c>
      <c r="N65" s="667">
        <v>50</v>
      </c>
      <c r="O65" s="667"/>
      <c r="P65" s="667">
        <v>75</v>
      </c>
      <c r="Q65" s="668">
        <v>100</v>
      </c>
      <c r="R65" s="528"/>
      <c r="S65" s="526"/>
      <c r="T65" s="686"/>
      <c r="U65" s="738"/>
      <c r="V65" s="739"/>
      <c r="W65" s="740"/>
      <c r="X65" s="704"/>
      <c r="Y65" s="704"/>
      <c r="Z65" s="705" t="str">
        <f t="shared" si="30"/>
        <v>SIN EJECUTAR</v>
      </c>
      <c r="AA65" s="706">
        <f t="shared" si="31"/>
        <v>0</v>
      </c>
    </row>
    <row r="66" spans="2:32" ht="80.099999999999994" customHeight="1" thickBot="1" x14ac:dyDescent="0.3">
      <c r="B66" s="354" t="s">
        <v>388</v>
      </c>
      <c r="C66" s="355" t="s">
        <v>389</v>
      </c>
      <c r="D66" s="52" t="s">
        <v>23</v>
      </c>
      <c r="E66" s="229" t="s">
        <v>543</v>
      </c>
      <c r="F66" s="356" t="s">
        <v>186</v>
      </c>
      <c r="G66" s="547">
        <v>9</v>
      </c>
      <c r="H66" s="336" t="s">
        <v>810</v>
      </c>
      <c r="I66" s="393">
        <v>6.25E-2</v>
      </c>
      <c r="J66" s="409">
        <v>80</v>
      </c>
      <c r="K66" s="410" t="s">
        <v>184</v>
      </c>
      <c r="L66" s="411" t="s">
        <v>811</v>
      </c>
      <c r="M66" s="585" t="s">
        <v>809</v>
      </c>
      <c r="N66" s="394">
        <v>10</v>
      </c>
      <c r="O66" s="394">
        <v>25</v>
      </c>
      <c r="P66" s="394">
        <v>75</v>
      </c>
      <c r="Q66" s="630">
        <v>80</v>
      </c>
      <c r="R66" s="417">
        <f t="shared" si="4"/>
        <v>25</v>
      </c>
      <c r="S66" s="526">
        <f t="shared" si="5"/>
        <v>6.25E-2</v>
      </c>
      <c r="T66" s="687">
        <v>21</v>
      </c>
      <c r="U66" s="632" t="s">
        <v>920</v>
      </c>
      <c r="V66" s="565" t="s">
        <v>921</v>
      </c>
      <c r="W66" s="740"/>
      <c r="X66" s="704">
        <f t="shared" ref="X66:X73" si="32">IFERROR((T66/R66),0)</f>
        <v>0.84</v>
      </c>
      <c r="Y66" s="704" t="str">
        <f t="shared" ref="Y66:Y73" si="33">+IF(AND(X66&gt;=0%,X66&lt;=60%),"MALO",IF(AND(X66&gt;=61%,X66&lt;=80%),"REGULAR",IF(AND(X66&gt;=81%,X66&lt;95%),"BUENO","EXCELENTE")))</f>
        <v>BUENO</v>
      </c>
      <c r="Z66" s="705" t="str">
        <f t="shared" ref="Z66:Z73" si="34">IF(X66&gt;0,"EN EJECUCIÓN","SIN EJECUTAR")</f>
        <v>EN EJECUCIÓN</v>
      </c>
      <c r="AA66" s="706">
        <f t="shared" ref="AA66:AA73" si="35">X66*I66</f>
        <v>5.2499999999999998E-2</v>
      </c>
    </row>
    <row r="67" spans="2:32" ht="80.099999999999994" customHeight="1" thickBot="1" x14ac:dyDescent="0.3">
      <c r="B67" s="346" t="s">
        <v>388</v>
      </c>
      <c r="C67" s="347" t="s">
        <v>389</v>
      </c>
      <c r="D67" s="348" t="s">
        <v>23</v>
      </c>
      <c r="E67" s="349" t="s">
        <v>543</v>
      </c>
      <c r="F67" s="350" t="s">
        <v>186</v>
      </c>
      <c r="G67" s="547">
        <v>10</v>
      </c>
      <c r="H67" s="648" t="s">
        <v>812</v>
      </c>
      <c r="I67" s="649">
        <v>6.25E-2</v>
      </c>
      <c r="J67" s="663">
        <v>100</v>
      </c>
      <c r="K67" s="651" t="s">
        <v>184</v>
      </c>
      <c r="L67" s="648" t="s">
        <v>813</v>
      </c>
      <c r="M67" s="657" t="s">
        <v>809</v>
      </c>
      <c r="N67" s="661">
        <v>16</v>
      </c>
      <c r="O67" s="661">
        <v>34</v>
      </c>
      <c r="P67" s="661">
        <v>48</v>
      </c>
      <c r="Q67" s="662">
        <v>100</v>
      </c>
      <c r="R67" s="528">
        <f t="shared" si="4"/>
        <v>34</v>
      </c>
      <c r="S67" s="526">
        <f t="shared" si="5"/>
        <v>6.25E-2</v>
      </c>
      <c r="T67" s="687">
        <v>17</v>
      </c>
      <c r="U67" s="632" t="s">
        <v>922</v>
      </c>
      <c r="V67" s="565" t="s">
        <v>923</v>
      </c>
      <c r="W67" s="740"/>
      <c r="X67" s="704">
        <f t="shared" si="32"/>
        <v>0.5</v>
      </c>
      <c r="Y67" s="704" t="str">
        <f t="shared" si="33"/>
        <v>MALO</v>
      </c>
      <c r="Z67" s="705" t="str">
        <f t="shared" si="34"/>
        <v>EN EJECUCIÓN</v>
      </c>
      <c r="AA67" s="706">
        <f t="shared" si="35"/>
        <v>3.125E-2</v>
      </c>
    </row>
    <row r="68" spans="2:32" ht="80.099999999999994" customHeight="1" thickBot="1" x14ac:dyDescent="0.3">
      <c r="B68" s="354" t="s">
        <v>391</v>
      </c>
      <c r="C68" s="355" t="s">
        <v>814</v>
      </c>
      <c r="D68" s="52" t="s">
        <v>23</v>
      </c>
      <c r="E68" s="229" t="s">
        <v>546</v>
      </c>
      <c r="F68" s="356" t="s">
        <v>186</v>
      </c>
      <c r="G68" s="547">
        <v>11</v>
      </c>
      <c r="H68" s="331" t="s">
        <v>240</v>
      </c>
      <c r="I68" s="393">
        <v>6.25E-2</v>
      </c>
      <c r="J68" s="407">
        <v>100</v>
      </c>
      <c r="K68" s="406" t="s">
        <v>184</v>
      </c>
      <c r="L68" s="673" t="s">
        <v>241</v>
      </c>
      <c r="M68" s="587" t="s">
        <v>242</v>
      </c>
      <c r="N68" s="573">
        <v>20</v>
      </c>
      <c r="O68" s="573">
        <v>50</v>
      </c>
      <c r="P68" s="573">
        <v>75</v>
      </c>
      <c r="Q68" s="586">
        <v>100</v>
      </c>
      <c r="R68" s="528">
        <f t="shared" si="4"/>
        <v>50</v>
      </c>
      <c r="S68" s="526">
        <f t="shared" si="5"/>
        <v>6.25E-2</v>
      </c>
      <c r="T68" s="603">
        <v>0</v>
      </c>
      <c r="U68" s="632" t="s">
        <v>924</v>
      </c>
      <c r="V68" s="565" t="s">
        <v>925</v>
      </c>
      <c r="W68" s="720"/>
      <c r="X68" s="704">
        <f t="shared" si="32"/>
        <v>0</v>
      </c>
      <c r="Y68" s="704" t="str">
        <f t="shared" si="33"/>
        <v>MALO</v>
      </c>
      <c r="Z68" s="705" t="str">
        <f t="shared" si="34"/>
        <v>SIN EJECUTAR</v>
      </c>
      <c r="AA68" s="706">
        <f t="shared" si="35"/>
        <v>0</v>
      </c>
    </row>
    <row r="69" spans="2:32" ht="80.099999999999994" customHeight="1" thickBot="1" x14ac:dyDescent="0.3">
      <c r="B69" s="346" t="s">
        <v>391</v>
      </c>
      <c r="C69" s="347" t="s">
        <v>734</v>
      </c>
      <c r="D69" s="348" t="s">
        <v>23</v>
      </c>
      <c r="E69" s="349" t="s">
        <v>546</v>
      </c>
      <c r="F69" s="350" t="s">
        <v>186</v>
      </c>
      <c r="G69" s="533">
        <v>12</v>
      </c>
      <c r="H69" s="426" t="s">
        <v>250</v>
      </c>
      <c r="I69" s="649">
        <v>6.25E-2</v>
      </c>
      <c r="J69" s="667">
        <v>100</v>
      </c>
      <c r="K69" s="659" t="s">
        <v>184</v>
      </c>
      <c r="L69" s="669" t="s">
        <v>815</v>
      </c>
      <c r="M69" s="670" t="s">
        <v>242</v>
      </c>
      <c r="N69" s="588">
        <v>30</v>
      </c>
      <c r="O69" s="588">
        <v>60</v>
      </c>
      <c r="P69" s="588">
        <v>80</v>
      </c>
      <c r="Q69" s="621">
        <v>100</v>
      </c>
      <c r="R69" s="528">
        <f t="shared" si="4"/>
        <v>60</v>
      </c>
      <c r="S69" s="526">
        <f t="shared" si="5"/>
        <v>6.25E-2</v>
      </c>
      <c r="T69" s="603">
        <v>0</v>
      </c>
      <c r="U69" s="632" t="s">
        <v>926</v>
      </c>
      <c r="V69" s="565" t="s">
        <v>927</v>
      </c>
      <c r="W69" s="720"/>
      <c r="X69" s="704">
        <f t="shared" si="32"/>
        <v>0</v>
      </c>
      <c r="Y69" s="704" t="str">
        <f t="shared" si="33"/>
        <v>MALO</v>
      </c>
      <c r="Z69" s="705" t="str">
        <f t="shared" si="34"/>
        <v>SIN EJECUTAR</v>
      </c>
      <c r="AA69" s="706">
        <f t="shared" si="35"/>
        <v>0</v>
      </c>
    </row>
    <row r="70" spans="2:32" ht="80.099999999999994" customHeight="1" thickBot="1" x14ac:dyDescent="0.3">
      <c r="B70" s="354" t="s">
        <v>391</v>
      </c>
      <c r="C70" s="355" t="s">
        <v>734</v>
      </c>
      <c r="D70" s="52" t="s">
        <v>23</v>
      </c>
      <c r="E70" s="229" t="s">
        <v>546</v>
      </c>
      <c r="F70" s="356" t="s">
        <v>186</v>
      </c>
      <c r="G70" s="533">
        <v>13</v>
      </c>
      <c r="H70" s="331" t="s">
        <v>369</v>
      </c>
      <c r="I70" s="393">
        <v>6.25E-2</v>
      </c>
      <c r="J70" s="407">
        <v>100</v>
      </c>
      <c r="K70" s="406" t="s">
        <v>184</v>
      </c>
      <c r="L70" s="412" t="s">
        <v>816</v>
      </c>
      <c r="M70" s="587" t="s">
        <v>242</v>
      </c>
      <c r="N70" s="589">
        <v>25</v>
      </c>
      <c r="O70" s="589">
        <v>50</v>
      </c>
      <c r="P70" s="589">
        <v>75</v>
      </c>
      <c r="Q70" s="622">
        <v>100</v>
      </c>
      <c r="R70" s="528">
        <f t="shared" si="4"/>
        <v>50</v>
      </c>
      <c r="S70" s="526">
        <f t="shared" si="5"/>
        <v>6.25E-2</v>
      </c>
      <c r="T70" s="603">
        <v>50</v>
      </c>
      <c r="U70" s="632" t="s">
        <v>928</v>
      </c>
      <c r="V70" s="565" t="s">
        <v>929</v>
      </c>
      <c r="W70" s="720"/>
      <c r="X70" s="704">
        <f t="shared" si="32"/>
        <v>1</v>
      </c>
      <c r="Y70" s="704" t="str">
        <f t="shared" si="33"/>
        <v>EXCELENTE</v>
      </c>
      <c r="Z70" s="705" t="str">
        <f t="shared" si="34"/>
        <v>EN EJECUCIÓN</v>
      </c>
      <c r="AA70" s="706">
        <f t="shared" si="35"/>
        <v>6.25E-2</v>
      </c>
    </row>
    <row r="71" spans="2:32" ht="80.099999999999994" customHeight="1" thickBot="1" x14ac:dyDescent="0.3">
      <c r="B71" s="346" t="s">
        <v>391</v>
      </c>
      <c r="C71" s="347" t="s">
        <v>817</v>
      </c>
      <c r="D71" s="348" t="s">
        <v>23</v>
      </c>
      <c r="E71" s="349" t="s">
        <v>546</v>
      </c>
      <c r="F71" s="350" t="s">
        <v>186</v>
      </c>
      <c r="G71" s="533">
        <v>14</v>
      </c>
      <c r="H71" s="671" t="s">
        <v>256</v>
      </c>
      <c r="I71" s="649">
        <v>6.25E-2</v>
      </c>
      <c r="J71" s="667">
        <v>100</v>
      </c>
      <c r="K71" s="659" t="s">
        <v>184</v>
      </c>
      <c r="L71" s="672" t="s">
        <v>818</v>
      </c>
      <c r="M71" s="670" t="s">
        <v>242</v>
      </c>
      <c r="N71" s="588">
        <v>30</v>
      </c>
      <c r="O71" s="588">
        <v>60</v>
      </c>
      <c r="P71" s="588">
        <v>90</v>
      </c>
      <c r="Q71" s="621">
        <v>100</v>
      </c>
      <c r="R71" s="528">
        <f t="shared" ref="R71:R79" si="36">O71</f>
        <v>60</v>
      </c>
      <c r="S71" s="526">
        <f t="shared" ref="S71:S78" si="37">IFERROR(R71/O71,0)*I71</f>
        <v>6.25E-2</v>
      </c>
      <c r="T71" s="603">
        <v>10</v>
      </c>
      <c r="U71" s="632" t="s">
        <v>930</v>
      </c>
      <c r="V71" s="565" t="s">
        <v>931</v>
      </c>
      <c r="W71" s="741"/>
      <c r="X71" s="704">
        <f t="shared" si="32"/>
        <v>0.16666666666666666</v>
      </c>
      <c r="Y71" s="704" t="str">
        <f t="shared" si="33"/>
        <v>MALO</v>
      </c>
      <c r="Z71" s="705" t="str">
        <f t="shared" si="34"/>
        <v>EN EJECUCIÓN</v>
      </c>
      <c r="AA71" s="706">
        <f t="shared" si="35"/>
        <v>1.0416666666666666E-2</v>
      </c>
    </row>
    <row r="72" spans="2:32" ht="80.099999999999994" customHeight="1" thickBot="1" x14ac:dyDescent="0.3">
      <c r="B72" s="354" t="s">
        <v>391</v>
      </c>
      <c r="C72" s="355" t="s">
        <v>819</v>
      </c>
      <c r="D72" s="52" t="s">
        <v>23</v>
      </c>
      <c r="E72" s="229" t="s">
        <v>546</v>
      </c>
      <c r="F72" s="356" t="s">
        <v>186</v>
      </c>
      <c r="G72" s="533">
        <v>15</v>
      </c>
      <c r="H72" s="339" t="s">
        <v>261</v>
      </c>
      <c r="I72" s="393">
        <v>6.25E-2</v>
      </c>
      <c r="J72" s="407">
        <v>100</v>
      </c>
      <c r="K72" s="406" t="s">
        <v>184</v>
      </c>
      <c r="L72" s="412" t="s">
        <v>820</v>
      </c>
      <c r="M72" s="587" t="s">
        <v>242</v>
      </c>
      <c r="N72" s="589">
        <v>20</v>
      </c>
      <c r="O72" s="589">
        <v>50</v>
      </c>
      <c r="P72" s="589">
        <v>80</v>
      </c>
      <c r="Q72" s="622">
        <v>100</v>
      </c>
      <c r="R72" s="528">
        <f t="shared" si="36"/>
        <v>50</v>
      </c>
      <c r="S72" s="526">
        <f t="shared" si="37"/>
        <v>6.25E-2</v>
      </c>
      <c r="T72" s="604">
        <v>0</v>
      </c>
      <c r="U72" s="742" t="s">
        <v>932</v>
      </c>
      <c r="V72" s="743" t="s">
        <v>933</v>
      </c>
      <c r="W72" s="741"/>
      <c r="X72" s="704">
        <f t="shared" si="32"/>
        <v>0</v>
      </c>
      <c r="Y72" s="704" t="str">
        <f t="shared" si="33"/>
        <v>MALO</v>
      </c>
      <c r="Z72" s="705" t="str">
        <f t="shared" si="34"/>
        <v>SIN EJECUTAR</v>
      </c>
      <c r="AA72" s="706">
        <f t="shared" si="35"/>
        <v>0</v>
      </c>
    </row>
    <row r="73" spans="2:32" ht="80.099999999999994" customHeight="1" thickBot="1" x14ac:dyDescent="0.3">
      <c r="B73" s="346" t="s">
        <v>391</v>
      </c>
      <c r="C73" s="347" t="s">
        <v>734</v>
      </c>
      <c r="D73" s="348" t="s">
        <v>23</v>
      </c>
      <c r="E73" s="349" t="s">
        <v>546</v>
      </c>
      <c r="F73" s="350" t="s">
        <v>186</v>
      </c>
      <c r="G73" s="533">
        <v>16</v>
      </c>
      <c r="H73" s="671" t="s">
        <v>266</v>
      </c>
      <c r="I73" s="649">
        <v>6.25E-2</v>
      </c>
      <c r="J73" s="667">
        <v>100</v>
      </c>
      <c r="K73" s="659" t="s">
        <v>184</v>
      </c>
      <c r="L73" s="672" t="s">
        <v>267</v>
      </c>
      <c r="M73" s="670" t="s">
        <v>242</v>
      </c>
      <c r="N73" s="595">
        <v>20</v>
      </c>
      <c r="O73" s="595">
        <v>40</v>
      </c>
      <c r="P73" s="595">
        <v>80</v>
      </c>
      <c r="Q73" s="621">
        <v>100</v>
      </c>
      <c r="R73" s="528">
        <f t="shared" si="36"/>
        <v>40</v>
      </c>
      <c r="S73" s="526">
        <f t="shared" si="37"/>
        <v>6.25E-2</v>
      </c>
      <c r="T73" s="604">
        <v>40</v>
      </c>
      <c r="U73" s="742" t="s">
        <v>934</v>
      </c>
      <c r="V73" s="743" t="s">
        <v>935</v>
      </c>
      <c r="W73" s="720"/>
      <c r="X73" s="704">
        <f t="shared" si="32"/>
        <v>1</v>
      </c>
      <c r="Y73" s="704" t="str">
        <f t="shared" si="33"/>
        <v>EXCELENTE</v>
      </c>
      <c r="Z73" s="705" t="str">
        <f t="shared" si="34"/>
        <v>EN EJECUCIÓN</v>
      </c>
      <c r="AA73" s="706">
        <f t="shared" si="35"/>
        <v>6.25E-2</v>
      </c>
    </row>
    <row r="74" spans="2:32" ht="80.099999999999994" customHeight="1" thickBot="1" x14ac:dyDescent="0.3">
      <c r="B74" s="354" t="s">
        <v>391</v>
      </c>
      <c r="C74" s="355" t="s">
        <v>734</v>
      </c>
      <c r="D74" s="52" t="s">
        <v>23</v>
      </c>
      <c r="E74" s="229" t="s">
        <v>547</v>
      </c>
      <c r="F74" s="356" t="s">
        <v>271</v>
      </c>
      <c r="G74" s="533">
        <v>1</v>
      </c>
      <c r="H74" s="357" t="s">
        <v>821</v>
      </c>
      <c r="I74" s="358">
        <v>0.2</v>
      </c>
      <c r="J74" s="359">
        <v>100</v>
      </c>
      <c r="K74" s="358" t="s">
        <v>628</v>
      </c>
      <c r="L74" s="358" t="s">
        <v>822</v>
      </c>
      <c r="M74" s="579" t="s">
        <v>823</v>
      </c>
      <c r="N74" s="383">
        <v>0.25</v>
      </c>
      <c r="O74" s="383">
        <v>0.5</v>
      </c>
      <c r="P74" s="383">
        <v>0.7</v>
      </c>
      <c r="Q74" s="627">
        <v>1</v>
      </c>
      <c r="R74" s="327">
        <f t="shared" si="36"/>
        <v>0.5</v>
      </c>
      <c r="S74" s="526">
        <f t="shared" si="37"/>
        <v>0.2</v>
      </c>
      <c r="T74" s="420">
        <v>0.5</v>
      </c>
      <c r="U74" s="631" t="s">
        <v>936</v>
      </c>
      <c r="V74" s="610" t="s">
        <v>937</v>
      </c>
      <c r="W74" s="719"/>
      <c r="X74" s="704">
        <f>IFERROR((T74/R74),0)</f>
        <v>1</v>
      </c>
      <c r="Y74" s="704" t="str">
        <f>+IF(AND(X74&gt;=0%,X74&lt;=60%),"MALO",IF(AND(X74&gt;=61%,X74&lt;=80%),"REGULAR",IF(AND(X74&gt;=81%,X74&lt;95%),"BUENO","EXCELENTE")))</f>
        <v>EXCELENTE</v>
      </c>
      <c r="Z74" s="705" t="str">
        <f>IF(X74&gt;0,"EN EJECUCIÓN","SIN EJECUTAR")</f>
        <v>EN EJECUCIÓN</v>
      </c>
      <c r="AA74" s="706">
        <f>X74*I74</f>
        <v>0.2</v>
      </c>
      <c r="AC74" s="1"/>
      <c r="AD74" s="1"/>
      <c r="AE74" s="1"/>
      <c r="AF74" s="1"/>
    </row>
    <row r="75" spans="2:32" ht="80.099999999999994" customHeight="1" thickBot="1" x14ac:dyDescent="0.3">
      <c r="B75" s="346" t="s">
        <v>391</v>
      </c>
      <c r="C75" s="347" t="s">
        <v>734</v>
      </c>
      <c r="D75" s="348" t="s">
        <v>23</v>
      </c>
      <c r="E75" s="349" t="s">
        <v>547</v>
      </c>
      <c r="F75" s="350" t="s">
        <v>271</v>
      </c>
      <c r="G75" s="533">
        <v>2</v>
      </c>
      <c r="H75" s="351" t="s">
        <v>824</v>
      </c>
      <c r="I75" s="352">
        <v>0.2</v>
      </c>
      <c r="J75" s="353">
        <v>100</v>
      </c>
      <c r="K75" s="352" t="s">
        <v>628</v>
      </c>
      <c r="L75" s="352" t="s">
        <v>825</v>
      </c>
      <c r="M75" s="578" t="s">
        <v>823</v>
      </c>
      <c r="N75" s="384">
        <v>0.25</v>
      </c>
      <c r="O75" s="384">
        <v>0.5</v>
      </c>
      <c r="P75" s="384">
        <v>0.75</v>
      </c>
      <c r="Q75" s="623">
        <v>1</v>
      </c>
      <c r="R75" s="327">
        <f t="shared" si="36"/>
        <v>0.5</v>
      </c>
      <c r="S75" s="526">
        <f t="shared" si="37"/>
        <v>0.2</v>
      </c>
      <c r="T75" s="605">
        <v>0</v>
      </c>
      <c r="U75" s="632" t="s">
        <v>938</v>
      </c>
      <c r="V75" s="565" t="s">
        <v>607</v>
      </c>
      <c r="W75" s="720" t="s">
        <v>938</v>
      </c>
      <c r="X75" s="704">
        <f t="shared" ref="X75" si="38">IFERROR((T75/R75),0)</f>
        <v>0</v>
      </c>
      <c r="Y75" s="704" t="str">
        <f t="shared" ref="Y75" si="39">+IF(AND(X75&gt;=0%,X75&lt;=60%),"MALO",IF(AND(X75&gt;=61%,X75&lt;=80%),"REGULAR",IF(AND(X75&gt;=81%,X75&lt;95%),"BUENO","EXCELENTE")))</f>
        <v>MALO</v>
      </c>
      <c r="Z75" s="705" t="str">
        <f t="shared" ref="Z75" si="40">IF(X75&gt;0,"EN EJECUCIÓN","SIN EJECUTAR")</f>
        <v>SIN EJECUTAR</v>
      </c>
      <c r="AA75" s="706">
        <f t="shared" ref="AA75" si="41">X75*I75</f>
        <v>0</v>
      </c>
      <c r="AC75" s="1"/>
      <c r="AD75" s="1"/>
      <c r="AE75" s="1"/>
      <c r="AF75" s="1"/>
    </row>
    <row r="76" spans="2:32" ht="80.099999999999994" customHeight="1" thickBot="1" x14ac:dyDescent="0.3">
      <c r="B76" s="354" t="s">
        <v>391</v>
      </c>
      <c r="C76" s="355" t="s">
        <v>734</v>
      </c>
      <c r="D76" s="52" t="s">
        <v>23</v>
      </c>
      <c r="E76" s="229" t="s">
        <v>547</v>
      </c>
      <c r="F76" s="356" t="s">
        <v>271</v>
      </c>
      <c r="G76" s="533">
        <v>3</v>
      </c>
      <c r="H76" s="331" t="s">
        <v>826</v>
      </c>
      <c r="I76" s="358">
        <v>0.2</v>
      </c>
      <c r="J76" s="359">
        <v>100</v>
      </c>
      <c r="K76" s="358" t="s">
        <v>628</v>
      </c>
      <c r="L76" s="358" t="s">
        <v>827</v>
      </c>
      <c r="M76" s="579" t="s">
        <v>823</v>
      </c>
      <c r="N76" s="383">
        <v>0.25</v>
      </c>
      <c r="O76" s="383">
        <v>0.5</v>
      </c>
      <c r="P76" s="383">
        <v>0.75</v>
      </c>
      <c r="Q76" s="627">
        <v>1</v>
      </c>
      <c r="R76" s="327">
        <f t="shared" si="36"/>
        <v>0.5</v>
      </c>
      <c r="S76" s="526">
        <f t="shared" si="37"/>
        <v>0.2</v>
      </c>
      <c r="T76" s="598">
        <v>0.5</v>
      </c>
      <c r="U76" s="631" t="s">
        <v>939</v>
      </c>
      <c r="V76" s="564" t="s">
        <v>937</v>
      </c>
      <c r="W76" s="719"/>
      <c r="X76" s="704">
        <f>IFERROR((T76/R76),0)</f>
        <v>1</v>
      </c>
      <c r="Y76" s="704" t="str">
        <f>+IF(AND(X76&gt;=0%,X76&lt;=60%),"MALO",IF(AND(X76&gt;=61%,X76&lt;=80%),"REGULAR",IF(AND(X76&gt;=81%,X76&lt;95%),"BUENO","EXCELENTE")))</f>
        <v>EXCELENTE</v>
      </c>
      <c r="Z76" s="705" t="str">
        <f>IF(X76&gt;0,"EN EJECUCIÓN","SIN EJECUTAR")</f>
        <v>EN EJECUCIÓN</v>
      </c>
      <c r="AA76" s="706">
        <f>X76*I76</f>
        <v>0.2</v>
      </c>
    </row>
    <row r="77" spans="2:32" ht="80.099999999999994" customHeight="1" thickBot="1" x14ac:dyDescent="0.3">
      <c r="B77" s="346" t="s">
        <v>391</v>
      </c>
      <c r="C77" s="347" t="s">
        <v>828</v>
      </c>
      <c r="D77" s="348" t="s">
        <v>23</v>
      </c>
      <c r="E77" s="349" t="s">
        <v>547</v>
      </c>
      <c r="F77" s="350" t="s">
        <v>271</v>
      </c>
      <c r="G77" s="533">
        <v>4</v>
      </c>
      <c r="H77" s="426" t="s">
        <v>829</v>
      </c>
      <c r="I77" s="352">
        <v>0.2</v>
      </c>
      <c r="J77" s="353">
        <v>100</v>
      </c>
      <c r="K77" s="352" t="s">
        <v>628</v>
      </c>
      <c r="L77" s="352" t="s">
        <v>830</v>
      </c>
      <c r="M77" s="578" t="s">
        <v>375</v>
      </c>
      <c r="N77" s="384">
        <v>0.25</v>
      </c>
      <c r="O77" s="384">
        <v>0.5</v>
      </c>
      <c r="P77" s="384">
        <v>0.75</v>
      </c>
      <c r="Q77" s="623">
        <v>1</v>
      </c>
      <c r="R77" s="327">
        <f t="shared" si="36"/>
        <v>0.5</v>
      </c>
      <c r="S77" s="526">
        <f t="shared" si="37"/>
        <v>0.2</v>
      </c>
      <c r="T77" s="600">
        <v>0.5</v>
      </c>
      <c r="U77" s="725" t="s">
        <v>940</v>
      </c>
      <c r="V77" s="726" t="s">
        <v>941</v>
      </c>
      <c r="W77" s="727"/>
      <c r="X77" s="704">
        <f>IFERROR((T77/R77),0)</f>
        <v>1</v>
      </c>
      <c r="Y77" s="704" t="str">
        <f>+IF(AND(X77&gt;=0%,X77&lt;=60%),"MALO",IF(AND(X77&gt;=61%,X77&lt;=80%),"REGULAR",IF(AND(X77&gt;=81%,X77&lt;95%),"BUENO","EXCELENTE")))</f>
        <v>EXCELENTE</v>
      </c>
      <c r="Z77" s="705" t="str">
        <f>IF(X77&gt;0,"EN EJECUCIÓN","SIN EJECUTAR")</f>
        <v>EN EJECUCIÓN</v>
      </c>
      <c r="AA77" s="706">
        <f>X77*I77</f>
        <v>0.2</v>
      </c>
    </row>
    <row r="78" spans="2:32" ht="80.099999999999994" customHeight="1" thickBot="1" x14ac:dyDescent="0.3">
      <c r="B78" s="413" t="s">
        <v>391</v>
      </c>
      <c r="C78" s="414" t="s">
        <v>828</v>
      </c>
      <c r="D78" s="415" t="s">
        <v>23</v>
      </c>
      <c r="E78" s="416" t="s">
        <v>547</v>
      </c>
      <c r="F78" s="415" t="s">
        <v>271</v>
      </c>
      <c r="G78" s="548">
        <v>5</v>
      </c>
      <c r="H78" s="575" t="s">
        <v>831</v>
      </c>
      <c r="I78" s="361">
        <v>0.2</v>
      </c>
      <c r="J78" s="576">
        <v>100</v>
      </c>
      <c r="K78" s="361" t="s">
        <v>628</v>
      </c>
      <c r="L78" s="361" t="s">
        <v>832</v>
      </c>
      <c r="M78" s="361" t="s">
        <v>823</v>
      </c>
      <c r="N78" s="383">
        <v>0.25</v>
      </c>
      <c r="O78" s="383">
        <v>0.5</v>
      </c>
      <c r="P78" s="383">
        <v>0.75</v>
      </c>
      <c r="Q78" s="627">
        <v>1</v>
      </c>
      <c r="R78" s="327">
        <f t="shared" si="36"/>
        <v>0.5</v>
      </c>
      <c r="S78" s="526">
        <f t="shared" si="37"/>
        <v>0.2</v>
      </c>
      <c r="T78" s="606">
        <v>0.4</v>
      </c>
      <c r="U78" s="725" t="s">
        <v>942</v>
      </c>
      <c r="V78" s="726" t="s">
        <v>943</v>
      </c>
      <c r="W78" s="727" t="s">
        <v>944</v>
      </c>
      <c r="X78" s="704">
        <f>IFERROR((T78/R78),0)</f>
        <v>0.8</v>
      </c>
      <c r="Y78" s="704" t="str">
        <f>+IF(AND(X78&gt;=0%,X78&lt;=60%),"MALO",IF(AND(X78&gt;=61%,X78&lt;=80%),"REGULAR",IF(AND(X78&gt;=81%,X78&lt;95%),"BUENO","EXCELENTE")))</f>
        <v>REGULAR</v>
      </c>
      <c r="Z78" s="705" t="str">
        <f>IF(X78&gt;0,"EN EJECUCIÓN","SIN EJECUTAR")</f>
        <v>EN EJECUCIÓN</v>
      </c>
      <c r="AA78" s="706">
        <f>X78*I78</f>
        <v>0.16000000000000003</v>
      </c>
    </row>
    <row r="79" spans="2:32" ht="80.099999999999994" customHeight="1" thickBot="1" x14ac:dyDescent="0.3">
      <c r="B79" s="258" t="s">
        <v>391</v>
      </c>
      <c r="C79" s="259" t="s">
        <v>529</v>
      </c>
      <c r="D79" s="260" t="s">
        <v>23</v>
      </c>
      <c r="E79" s="261" t="s">
        <v>548</v>
      </c>
      <c r="F79" s="674" t="s">
        <v>176</v>
      </c>
      <c r="G79" s="619">
        <v>1</v>
      </c>
      <c r="H79" s="675" t="s">
        <v>835</v>
      </c>
      <c r="I79" s="676">
        <v>1</v>
      </c>
      <c r="J79" s="677">
        <v>100</v>
      </c>
      <c r="K79" s="678" t="s">
        <v>481</v>
      </c>
      <c r="L79" s="678" t="s">
        <v>836</v>
      </c>
      <c r="M79" s="678" t="s">
        <v>834</v>
      </c>
      <c r="N79" s="679">
        <v>0.25</v>
      </c>
      <c r="O79" s="679">
        <v>0.5</v>
      </c>
      <c r="P79" s="679">
        <v>0.75</v>
      </c>
      <c r="Q79" s="679">
        <v>1</v>
      </c>
      <c r="R79" s="327">
        <f t="shared" si="36"/>
        <v>0.5</v>
      </c>
      <c r="S79" s="620"/>
      <c r="T79" s="607">
        <v>0.5</v>
      </c>
      <c r="U79" s="564" t="s">
        <v>1166</v>
      </c>
      <c r="V79" s="723"/>
      <c r="W79" s="724"/>
      <c r="X79" s="704">
        <f t="shared" ref="X79" si="42">IFERROR((T79/R79),0)</f>
        <v>1</v>
      </c>
      <c r="Y79" s="704" t="str">
        <f t="shared" ref="Y79" si="43">+IF(AND(X79&gt;=0%,X79&lt;=60%),"MALO",IF(AND(X79&gt;=61%,X79&lt;=80%),"REGULAR",IF(AND(X79&gt;=81%,X79&lt;95%),"BUENO","EXCELENTE")))</f>
        <v>EXCELENTE</v>
      </c>
      <c r="Z79" s="705" t="str">
        <f t="shared" ref="Z79" si="44">IF(X79&gt;0,"EN EJECUCIÓN","SIN EJECUTAR")</f>
        <v>EN EJECUCIÓN</v>
      </c>
      <c r="AA79" s="706">
        <f t="shared" ref="AA79" si="45">X79*I79</f>
        <v>1</v>
      </c>
    </row>
    <row r="81" spans="2:22" x14ac:dyDescent="0.25">
      <c r="B81" s="286" t="s">
        <v>837</v>
      </c>
    </row>
    <row r="82" spans="2:22" x14ac:dyDescent="0.25">
      <c r="F82" s="228"/>
    </row>
    <row r="83" spans="2:22" x14ac:dyDescent="0.25">
      <c r="B83" t="s">
        <v>838</v>
      </c>
      <c r="E83" s="228"/>
    </row>
    <row r="84" spans="2:22" x14ac:dyDescent="0.25">
      <c r="B84" t="s">
        <v>839</v>
      </c>
    </row>
    <row r="85" spans="2:22" x14ac:dyDescent="0.25">
      <c r="B85" t="s">
        <v>840</v>
      </c>
      <c r="V85" s="278"/>
    </row>
  </sheetData>
  <autoFilter ref="B6:AF79"/>
  <mergeCells count="1">
    <mergeCell ref="X1:X5"/>
  </mergeCells>
  <conditionalFormatting sqref="X7:X79">
    <cfRule type="iconSet" priority="78">
      <iconSet>
        <cfvo type="percent" val="0"/>
        <cfvo type="num" val="0.6" gte="0"/>
        <cfvo type="num" val="0.8" gte="0"/>
      </iconSet>
    </cfRule>
  </conditionalFormatting>
  <pageMargins left="0.7" right="0.7" top="0.75" bottom="0.75" header="0.3" footer="0.3"/>
  <pageSetup scale="65" orientation="landscape" horizontalDpi="4294967294" verticalDpi="4294967294" r:id="rId1"/>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'C:\Users\Nicolas Casallas\Downloads\[Plan de Acción Institucional 2019 Final (2).xlsx]listas'!#REF!</xm:f>
          </x14:formula1>
          <xm:sqref>B7:F78 F79</xm:sqref>
        </x14:dataValidation>
        <x14:dataValidation type="list" allowBlank="1" showInputMessage="1" showErrorMessage="1">
          <x14:formula1>
            <xm:f>'C:\Users\Soporte\Downloads\[Instrumento de Planeación 2018-Captura.xlsx]listas'!#REF!</xm:f>
          </x14:formula1>
          <xm:sqref>D79</xm:sqref>
        </x14:dataValidation>
        <x14:dataValidation type="list" allowBlank="1" showInputMessage="1" showErrorMessage="1">
          <x14:formula1>
            <xm:f>'C:\Users\Soporte\Downloads\[Instrumento de Planeación 2018-CapturaSGR (1).xlsx]listas'!#REF!</xm:f>
          </x14:formula1>
          <xm:sqref>B79:C79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sheetPr>
  <dimension ref="B4:Y257"/>
  <sheetViews>
    <sheetView showGridLines="0" tabSelected="1" topLeftCell="M1" zoomScale="70" zoomScaleNormal="70" workbookViewId="0">
      <selection activeCell="V75" sqref="V75"/>
    </sheetView>
  </sheetViews>
  <sheetFormatPr baseColWidth="10" defaultRowHeight="15" x14ac:dyDescent="0.25"/>
  <cols>
    <col min="1" max="1" width="5.25" customWidth="1"/>
    <col min="2" max="3" width="29.75" customWidth="1"/>
    <col min="4" max="4" width="38.625" customWidth="1"/>
    <col min="5" max="5" width="26.375" customWidth="1"/>
    <col min="6" max="6" width="30.75" customWidth="1"/>
    <col min="7" max="7" width="8.375" customWidth="1"/>
    <col min="8" max="8" width="31.625" customWidth="1"/>
    <col min="9" max="9" width="25.375" customWidth="1"/>
    <col min="10" max="10" width="31.625" customWidth="1"/>
    <col min="11" max="11" width="55.375" customWidth="1"/>
    <col min="12" max="12" width="31.625" customWidth="1"/>
    <col min="13" max="13" width="60.5" bestFit="1" customWidth="1"/>
    <col min="14" max="14" width="11.375" customWidth="1"/>
    <col min="15" max="16" width="30.75" customWidth="1"/>
    <col min="17" max="17" width="26.875" customWidth="1"/>
    <col min="18" max="18" width="25.75" customWidth="1"/>
    <col min="19" max="19" width="32.625" hidden="1" customWidth="1"/>
    <col min="20" max="20" width="30.75" style="545" customWidth="1"/>
    <col min="21" max="21" width="22.125" customWidth="1"/>
    <col min="22" max="22" width="28.375" customWidth="1"/>
    <col min="23" max="23" width="25.75" customWidth="1"/>
    <col min="24" max="25" width="33.75" customWidth="1"/>
  </cols>
  <sheetData>
    <row r="4" spans="2:25" ht="15.75" thickBot="1" x14ac:dyDescent="0.3"/>
    <row r="5" spans="2:25" ht="66.75" customHeight="1" thickBot="1" x14ac:dyDescent="0.3">
      <c r="B5" s="2" t="s">
        <v>386</v>
      </c>
      <c r="C5" s="2" t="s">
        <v>387</v>
      </c>
      <c r="D5" s="2" t="s">
        <v>4</v>
      </c>
      <c r="E5" s="3" t="s">
        <v>5</v>
      </c>
      <c r="F5" s="4" t="s">
        <v>6</v>
      </c>
      <c r="G5" s="5" t="s">
        <v>7</v>
      </c>
      <c r="H5" s="5" t="s">
        <v>8</v>
      </c>
      <c r="I5" s="6" t="s">
        <v>9</v>
      </c>
      <c r="J5" s="7" t="s">
        <v>10</v>
      </c>
      <c r="K5" s="7" t="s">
        <v>11</v>
      </c>
      <c r="L5" s="7" t="s">
        <v>12</v>
      </c>
      <c r="M5" s="6" t="s">
        <v>13</v>
      </c>
      <c r="N5" s="9" t="s">
        <v>7</v>
      </c>
      <c r="O5" s="10" t="s">
        <v>18</v>
      </c>
      <c r="P5" s="11" t="s">
        <v>19</v>
      </c>
      <c r="Q5" s="281" t="s">
        <v>20</v>
      </c>
      <c r="R5" s="281" t="s">
        <v>21</v>
      </c>
      <c r="S5" s="279" t="s">
        <v>618</v>
      </c>
      <c r="T5" s="11" t="s">
        <v>22</v>
      </c>
      <c r="U5" s="80" t="s">
        <v>468</v>
      </c>
      <c r="V5" s="80" t="s">
        <v>470</v>
      </c>
      <c r="W5" s="80" t="s">
        <v>615</v>
      </c>
      <c r="X5" s="609" t="s">
        <v>617</v>
      </c>
      <c r="Y5" s="97" t="s">
        <v>616</v>
      </c>
    </row>
    <row r="6" spans="2:25" ht="76.5" customHeight="1" x14ac:dyDescent="0.25">
      <c r="B6" s="484" t="s">
        <v>388</v>
      </c>
      <c r="C6" s="484" t="s">
        <v>389</v>
      </c>
      <c r="D6" s="55" t="s">
        <v>23</v>
      </c>
      <c r="E6" s="229" t="s">
        <v>532</v>
      </c>
      <c r="F6" s="56" t="s">
        <v>24</v>
      </c>
      <c r="G6" s="965">
        <v>1</v>
      </c>
      <c r="H6" s="55" t="s">
        <v>25</v>
      </c>
      <c r="I6" s="488">
        <v>0.2</v>
      </c>
      <c r="J6" s="491">
        <v>12</v>
      </c>
      <c r="K6" s="1028" t="s">
        <v>664</v>
      </c>
      <c r="L6" s="1028" t="s">
        <v>27</v>
      </c>
      <c r="M6" s="473" t="s">
        <v>28</v>
      </c>
      <c r="N6" s="42">
        <v>1</v>
      </c>
      <c r="O6" s="333" t="s">
        <v>641</v>
      </c>
      <c r="P6" s="430">
        <v>0.25</v>
      </c>
      <c r="Q6" s="431">
        <v>43466</v>
      </c>
      <c r="R6" s="432">
        <v>43555</v>
      </c>
      <c r="S6" s="430">
        <f t="shared" ref="S6:S69" si="0">+I6*P6</f>
        <v>0.05</v>
      </c>
      <c r="T6" s="536" t="s">
        <v>28</v>
      </c>
      <c r="U6" s="433">
        <v>1</v>
      </c>
      <c r="V6" s="707" t="s">
        <v>679</v>
      </c>
      <c r="W6" s="81">
        <f t="shared" ref="W6:W18" si="1">U6*P6</f>
        <v>0.25</v>
      </c>
      <c r="X6" s="442">
        <f t="shared" ref="X6:X18" si="2">W6*U6</f>
        <v>0.25</v>
      </c>
      <c r="Y6" s="280">
        <f t="shared" ref="Y6:Y69" si="3">W6*I6</f>
        <v>0.05</v>
      </c>
    </row>
    <row r="7" spans="2:25" ht="76.5" customHeight="1" x14ac:dyDescent="0.25">
      <c r="B7" s="484" t="s">
        <v>388</v>
      </c>
      <c r="C7" s="484" t="s">
        <v>389</v>
      </c>
      <c r="D7" s="55" t="s">
        <v>23</v>
      </c>
      <c r="E7" s="229" t="s">
        <v>532</v>
      </c>
      <c r="F7" s="56" t="s">
        <v>24</v>
      </c>
      <c r="G7" s="965"/>
      <c r="H7" s="55" t="s">
        <v>25</v>
      </c>
      <c r="I7" s="488">
        <v>0.2</v>
      </c>
      <c r="J7" s="491">
        <v>12</v>
      </c>
      <c r="K7" s="1028"/>
      <c r="L7" s="1028"/>
      <c r="M7" s="473" t="s">
        <v>28</v>
      </c>
      <c r="N7" s="42">
        <v>2</v>
      </c>
      <c r="O7" s="333" t="s">
        <v>642</v>
      </c>
      <c r="P7" s="430">
        <v>0.25</v>
      </c>
      <c r="Q7" s="431">
        <v>43556</v>
      </c>
      <c r="R7" s="432">
        <v>43646</v>
      </c>
      <c r="S7" s="430">
        <f t="shared" si="0"/>
        <v>0.05</v>
      </c>
      <c r="T7" s="536" t="s">
        <v>28</v>
      </c>
      <c r="U7" s="81">
        <v>1</v>
      </c>
      <c r="V7" s="708" t="s">
        <v>841</v>
      </c>
      <c r="W7" s="81">
        <f t="shared" si="1"/>
        <v>0.25</v>
      </c>
      <c r="X7" s="442">
        <f t="shared" si="2"/>
        <v>0.25</v>
      </c>
      <c r="Y7" s="280">
        <f t="shared" si="3"/>
        <v>0.05</v>
      </c>
    </row>
    <row r="8" spans="2:25" ht="76.5" customHeight="1" x14ac:dyDescent="0.25">
      <c r="B8" s="484" t="s">
        <v>388</v>
      </c>
      <c r="C8" s="484" t="s">
        <v>389</v>
      </c>
      <c r="D8" s="55" t="s">
        <v>23</v>
      </c>
      <c r="E8" s="229" t="s">
        <v>532</v>
      </c>
      <c r="F8" s="56" t="s">
        <v>24</v>
      </c>
      <c r="G8" s="965"/>
      <c r="H8" s="55" t="s">
        <v>25</v>
      </c>
      <c r="I8" s="488">
        <v>0.2</v>
      </c>
      <c r="J8" s="491">
        <v>12</v>
      </c>
      <c r="K8" s="1028"/>
      <c r="L8" s="1028"/>
      <c r="M8" s="473" t="s">
        <v>28</v>
      </c>
      <c r="N8" s="42">
        <v>3</v>
      </c>
      <c r="O8" s="333" t="s">
        <v>643</v>
      </c>
      <c r="P8" s="430">
        <v>0.25</v>
      </c>
      <c r="Q8" s="431">
        <v>43647</v>
      </c>
      <c r="R8" s="432">
        <v>43738</v>
      </c>
      <c r="S8" s="430">
        <f t="shared" si="0"/>
        <v>0.05</v>
      </c>
      <c r="T8" s="536" t="s">
        <v>28</v>
      </c>
      <c r="U8" s="81"/>
      <c r="V8" s="709"/>
      <c r="W8" s="81">
        <f t="shared" si="1"/>
        <v>0</v>
      </c>
      <c r="X8" s="442">
        <f t="shared" si="2"/>
        <v>0</v>
      </c>
      <c r="Y8" s="280">
        <f t="shared" si="3"/>
        <v>0</v>
      </c>
    </row>
    <row r="9" spans="2:25" ht="76.5" customHeight="1" x14ac:dyDescent="0.25">
      <c r="B9" s="484" t="s">
        <v>388</v>
      </c>
      <c r="C9" s="484" t="s">
        <v>389</v>
      </c>
      <c r="D9" s="55" t="s">
        <v>23</v>
      </c>
      <c r="E9" s="229" t="s">
        <v>532</v>
      </c>
      <c r="F9" s="56" t="s">
        <v>24</v>
      </c>
      <c r="G9" s="965"/>
      <c r="H9" s="55" t="s">
        <v>25</v>
      </c>
      <c r="I9" s="488">
        <v>0.2</v>
      </c>
      <c r="J9" s="491">
        <v>12</v>
      </c>
      <c r="K9" s="1028"/>
      <c r="L9" s="1028"/>
      <c r="M9" s="473" t="s">
        <v>28</v>
      </c>
      <c r="N9" s="42">
        <v>4</v>
      </c>
      <c r="O9" s="333" t="s">
        <v>644</v>
      </c>
      <c r="P9" s="430">
        <v>0.25</v>
      </c>
      <c r="Q9" s="431">
        <v>43739</v>
      </c>
      <c r="R9" s="432">
        <v>43830</v>
      </c>
      <c r="S9" s="430">
        <f t="shared" si="0"/>
        <v>0.05</v>
      </c>
      <c r="T9" s="536" t="s">
        <v>28</v>
      </c>
      <c r="U9" s="81"/>
      <c r="V9" s="708"/>
      <c r="W9" s="81">
        <f t="shared" si="1"/>
        <v>0</v>
      </c>
      <c r="X9" s="442">
        <f t="shared" si="2"/>
        <v>0</v>
      </c>
      <c r="Y9" s="280">
        <f t="shared" si="3"/>
        <v>0</v>
      </c>
    </row>
    <row r="10" spans="2:25" ht="76.5" customHeight="1" x14ac:dyDescent="0.25">
      <c r="B10" s="484" t="s">
        <v>388</v>
      </c>
      <c r="C10" s="484" t="s">
        <v>389</v>
      </c>
      <c r="D10" s="55" t="s">
        <v>23</v>
      </c>
      <c r="E10" s="229" t="s">
        <v>532</v>
      </c>
      <c r="F10" s="435" t="s">
        <v>24</v>
      </c>
      <c r="G10" s="965">
        <v>2</v>
      </c>
      <c r="H10" s="55" t="s">
        <v>665</v>
      </c>
      <c r="I10" s="488">
        <v>0.2</v>
      </c>
      <c r="J10" s="491">
        <v>50</v>
      </c>
      <c r="K10" s="1028" t="s">
        <v>666</v>
      </c>
      <c r="L10" s="1028" t="s">
        <v>667</v>
      </c>
      <c r="M10" s="436" t="s">
        <v>28</v>
      </c>
      <c r="N10" s="42">
        <v>1</v>
      </c>
      <c r="O10" s="333" t="s">
        <v>945</v>
      </c>
      <c r="P10" s="430">
        <v>0.25</v>
      </c>
      <c r="Q10" s="431">
        <v>43466</v>
      </c>
      <c r="R10" s="432">
        <v>43555</v>
      </c>
      <c r="S10" s="430">
        <f t="shared" si="0"/>
        <v>0.05</v>
      </c>
      <c r="T10" s="536" t="s">
        <v>28</v>
      </c>
      <c r="U10" s="433">
        <v>1</v>
      </c>
      <c r="V10" s="707" t="s">
        <v>680</v>
      </c>
      <c r="W10" s="81">
        <f t="shared" si="1"/>
        <v>0.25</v>
      </c>
      <c r="X10" s="442">
        <f t="shared" si="2"/>
        <v>0.25</v>
      </c>
      <c r="Y10" s="280">
        <f t="shared" si="3"/>
        <v>0.05</v>
      </c>
    </row>
    <row r="11" spans="2:25" ht="76.5" customHeight="1" x14ac:dyDescent="0.25">
      <c r="B11" s="484" t="s">
        <v>388</v>
      </c>
      <c r="C11" s="484" t="s">
        <v>389</v>
      </c>
      <c r="D11" s="55" t="s">
        <v>23</v>
      </c>
      <c r="E11" s="229" t="s">
        <v>532</v>
      </c>
      <c r="F11" s="435" t="s">
        <v>24</v>
      </c>
      <c r="G11" s="965"/>
      <c r="H11" s="55" t="s">
        <v>665</v>
      </c>
      <c r="I11" s="488">
        <v>0.2</v>
      </c>
      <c r="J11" s="491">
        <v>50</v>
      </c>
      <c r="K11" s="1028"/>
      <c r="L11" s="1028"/>
      <c r="M11" s="436" t="s">
        <v>28</v>
      </c>
      <c r="N11" s="42">
        <v>2</v>
      </c>
      <c r="O11" s="495" t="s">
        <v>946</v>
      </c>
      <c r="P11" s="430">
        <v>0.25</v>
      </c>
      <c r="Q11" s="431">
        <v>43556</v>
      </c>
      <c r="R11" s="432">
        <v>43646</v>
      </c>
      <c r="S11" s="430">
        <f t="shared" si="0"/>
        <v>0.05</v>
      </c>
      <c r="T11" s="536" t="s">
        <v>28</v>
      </c>
      <c r="U11" s="81">
        <v>1</v>
      </c>
      <c r="V11" s="708" t="s">
        <v>680</v>
      </c>
      <c r="W11" s="81">
        <f t="shared" si="1"/>
        <v>0.25</v>
      </c>
      <c r="X11" s="442">
        <f t="shared" si="2"/>
        <v>0.25</v>
      </c>
      <c r="Y11" s="280">
        <f t="shared" si="3"/>
        <v>0.05</v>
      </c>
    </row>
    <row r="12" spans="2:25" ht="76.5" customHeight="1" x14ac:dyDescent="0.25">
      <c r="B12" s="484" t="s">
        <v>388</v>
      </c>
      <c r="C12" s="484" t="s">
        <v>389</v>
      </c>
      <c r="D12" s="55" t="s">
        <v>23</v>
      </c>
      <c r="E12" s="229" t="s">
        <v>532</v>
      </c>
      <c r="F12" s="435" t="s">
        <v>24</v>
      </c>
      <c r="G12" s="965"/>
      <c r="H12" s="55" t="s">
        <v>665</v>
      </c>
      <c r="I12" s="488">
        <v>0.2</v>
      </c>
      <c r="J12" s="491">
        <v>50</v>
      </c>
      <c r="K12" s="1028"/>
      <c r="L12" s="1028"/>
      <c r="M12" s="436" t="s">
        <v>28</v>
      </c>
      <c r="N12" s="42">
        <v>3</v>
      </c>
      <c r="O12" s="495" t="s">
        <v>946</v>
      </c>
      <c r="P12" s="430">
        <v>0.25</v>
      </c>
      <c r="Q12" s="431">
        <v>43647</v>
      </c>
      <c r="R12" s="432">
        <v>43738</v>
      </c>
      <c r="S12" s="430">
        <f t="shared" si="0"/>
        <v>0.05</v>
      </c>
      <c r="T12" s="536" t="s">
        <v>28</v>
      </c>
      <c r="U12" s="81"/>
      <c r="V12" s="709"/>
      <c r="W12" s="81">
        <f t="shared" si="1"/>
        <v>0</v>
      </c>
      <c r="X12" s="442">
        <f t="shared" si="2"/>
        <v>0</v>
      </c>
      <c r="Y12" s="280">
        <f t="shared" si="3"/>
        <v>0</v>
      </c>
    </row>
    <row r="13" spans="2:25" ht="76.5" customHeight="1" x14ac:dyDescent="0.25">
      <c r="B13" s="484" t="s">
        <v>388</v>
      </c>
      <c r="C13" s="484" t="s">
        <v>389</v>
      </c>
      <c r="D13" s="55" t="s">
        <v>23</v>
      </c>
      <c r="E13" s="229" t="s">
        <v>532</v>
      </c>
      <c r="F13" s="435" t="s">
        <v>24</v>
      </c>
      <c r="G13" s="965"/>
      <c r="H13" s="55" t="s">
        <v>665</v>
      </c>
      <c r="I13" s="488">
        <v>0.2</v>
      </c>
      <c r="J13" s="491">
        <v>50</v>
      </c>
      <c r="K13" s="1028"/>
      <c r="L13" s="1028"/>
      <c r="M13" s="436" t="s">
        <v>28</v>
      </c>
      <c r="N13" s="42">
        <v>4</v>
      </c>
      <c r="O13" s="495" t="s">
        <v>945</v>
      </c>
      <c r="P13" s="430">
        <v>0.25</v>
      </c>
      <c r="Q13" s="431">
        <v>43739</v>
      </c>
      <c r="R13" s="432">
        <v>43830</v>
      </c>
      <c r="S13" s="430">
        <f t="shared" si="0"/>
        <v>0.05</v>
      </c>
      <c r="T13" s="536" t="s">
        <v>28</v>
      </c>
      <c r="U13" s="81"/>
      <c r="V13" s="709"/>
      <c r="W13" s="81">
        <f t="shared" si="1"/>
        <v>0</v>
      </c>
      <c r="X13" s="442">
        <f t="shared" si="2"/>
        <v>0</v>
      </c>
      <c r="Y13" s="280">
        <f t="shared" si="3"/>
        <v>0</v>
      </c>
    </row>
    <row r="14" spans="2:25" ht="76.5" customHeight="1" x14ac:dyDescent="0.25">
      <c r="B14" s="484" t="s">
        <v>388</v>
      </c>
      <c r="C14" s="484" t="s">
        <v>389</v>
      </c>
      <c r="D14" s="55" t="s">
        <v>23</v>
      </c>
      <c r="E14" s="229" t="s">
        <v>532</v>
      </c>
      <c r="F14" s="435" t="s">
        <v>24</v>
      </c>
      <c r="G14" s="965">
        <v>3</v>
      </c>
      <c r="H14" s="55" t="s">
        <v>947</v>
      </c>
      <c r="I14" s="488">
        <v>0.15</v>
      </c>
      <c r="J14" s="491">
        <v>50</v>
      </c>
      <c r="K14" s="1028" t="s">
        <v>669</v>
      </c>
      <c r="L14" s="1028" t="s">
        <v>670</v>
      </c>
      <c r="M14" s="436" t="s">
        <v>28</v>
      </c>
      <c r="N14" s="42">
        <v>1</v>
      </c>
      <c r="O14" s="495" t="s">
        <v>948</v>
      </c>
      <c r="P14" s="430">
        <v>0.25</v>
      </c>
      <c r="Q14" s="431">
        <v>43466</v>
      </c>
      <c r="R14" s="432">
        <v>43555</v>
      </c>
      <c r="S14" s="430">
        <f t="shared" si="0"/>
        <v>3.7499999999999999E-2</v>
      </c>
      <c r="T14" s="536" t="s">
        <v>28</v>
      </c>
      <c r="U14" s="433">
        <v>1</v>
      </c>
      <c r="V14" s="707" t="s">
        <v>681</v>
      </c>
      <c r="W14" s="81">
        <f t="shared" si="1"/>
        <v>0.25</v>
      </c>
      <c r="X14" s="442">
        <f t="shared" si="2"/>
        <v>0.25</v>
      </c>
      <c r="Y14" s="280">
        <f t="shared" si="3"/>
        <v>3.7499999999999999E-2</v>
      </c>
    </row>
    <row r="15" spans="2:25" ht="76.5" customHeight="1" x14ac:dyDescent="0.25">
      <c r="B15" s="484" t="s">
        <v>388</v>
      </c>
      <c r="C15" s="484" t="s">
        <v>389</v>
      </c>
      <c r="D15" s="55" t="s">
        <v>23</v>
      </c>
      <c r="E15" s="229" t="s">
        <v>532</v>
      </c>
      <c r="F15" s="435" t="s">
        <v>24</v>
      </c>
      <c r="G15" s="965"/>
      <c r="H15" s="55" t="s">
        <v>947</v>
      </c>
      <c r="I15" s="488">
        <v>0.15</v>
      </c>
      <c r="J15" s="491">
        <v>50</v>
      </c>
      <c r="K15" s="1028"/>
      <c r="L15" s="1028"/>
      <c r="M15" s="436" t="s">
        <v>28</v>
      </c>
      <c r="N15" s="42">
        <v>2</v>
      </c>
      <c r="O15" s="495" t="s">
        <v>949</v>
      </c>
      <c r="P15" s="430">
        <v>0.25</v>
      </c>
      <c r="Q15" s="431">
        <v>43556</v>
      </c>
      <c r="R15" s="432">
        <v>43646</v>
      </c>
      <c r="S15" s="430">
        <f t="shared" si="0"/>
        <v>3.7499999999999999E-2</v>
      </c>
      <c r="T15" s="536" t="s">
        <v>28</v>
      </c>
      <c r="U15" s="81">
        <v>1</v>
      </c>
      <c r="V15" s="708" t="s">
        <v>843</v>
      </c>
      <c r="W15" s="81">
        <f t="shared" si="1"/>
        <v>0.25</v>
      </c>
      <c r="X15" s="442">
        <f t="shared" si="2"/>
        <v>0.25</v>
      </c>
      <c r="Y15" s="280">
        <f t="shared" si="3"/>
        <v>3.7499999999999999E-2</v>
      </c>
    </row>
    <row r="16" spans="2:25" ht="76.5" customHeight="1" x14ac:dyDescent="0.25">
      <c r="B16" s="484" t="s">
        <v>388</v>
      </c>
      <c r="C16" s="484" t="s">
        <v>389</v>
      </c>
      <c r="D16" s="55" t="s">
        <v>23</v>
      </c>
      <c r="E16" s="229" t="s">
        <v>532</v>
      </c>
      <c r="F16" s="435" t="s">
        <v>24</v>
      </c>
      <c r="G16" s="965"/>
      <c r="H16" s="55" t="s">
        <v>947</v>
      </c>
      <c r="I16" s="488">
        <v>0.15</v>
      </c>
      <c r="J16" s="491">
        <v>50</v>
      </c>
      <c r="K16" s="1028"/>
      <c r="L16" s="1028"/>
      <c r="M16" s="436" t="s">
        <v>28</v>
      </c>
      <c r="N16" s="42">
        <v>3</v>
      </c>
      <c r="O16" s="495" t="s">
        <v>949</v>
      </c>
      <c r="P16" s="430">
        <v>0.25</v>
      </c>
      <c r="Q16" s="431">
        <v>43647</v>
      </c>
      <c r="R16" s="432">
        <v>43738</v>
      </c>
      <c r="S16" s="430">
        <f t="shared" si="0"/>
        <v>3.7499999999999999E-2</v>
      </c>
      <c r="T16" s="536" t="s">
        <v>28</v>
      </c>
      <c r="U16" s="81"/>
      <c r="V16" s="709"/>
      <c r="W16" s="81">
        <f t="shared" si="1"/>
        <v>0</v>
      </c>
      <c r="X16" s="442">
        <f t="shared" si="2"/>
        <v>0</v>
      </c>
      <c r="Y16" s="280">
        <f t="shared" si="3"/>
        <v>0</v>
      </c>
    </row>
    <row r="17" spans="2:25" ht="76.5" customHeight="1" x14ac:dyDescent="0.25">
      <c r="B17" s="484" t="s">
        <v>388</v>
      </c>
      <c r="C17" s="484" t="s">
        <v>389</v>
      </c>
      <c r="D17" s="55" t="s">
        <v>23</v>
      </c>
      <c r="E17" s="229" t="s">
        <v>532</v>
      </c>
      <c r="F17" s="435" t="s">
        <v>24</v>
      </c>
      <c r="G17" s="965"/>
      <c r="H17" s="55" t="s">
        <v>947</v>
      </c>
      <c r="I17" s="488">
        <v>0.15</v>
      </c>
      <c r="J17" s="491">
        <v>50</v>
      </c>
      <c r="K17" s="1028"/>
      <c r="L17" s="1028"/>
      <c r="M17" s="436" t="s">
        <v>28</v>
      </c>
      <c r="N17" s="42">
        <v>4</v>
      </c>
      <c r="O17" s="495" t="s">
        <v>948</v>
      </c>
      <c r="P17" s="430">
        <v>0.25</v>
      </c>
      <c r="Q17" s="431">
        <v>43739</v>
      </c>
      <c r="R17" s="432">
        <v>43830</v>
      </c>
      <c r="S17" s="430">
        <f t="shared" si="0"/>
        <v>3.7499999999999999E-2</v>
      </c>
      <c r="T17" s="536" t="s">
        <v>28</v>
      </c>
      <c r="U17" s="81"/>
      <c r="V17" s="709"/>
      <c r="W17" s="81">
        <f t="shared" si="1"/>
        <v>0</v>
      </c>
      <c r="X17" s="442">
        <f t="shared" si="2"/>
        <v>0</v>
      </c>
      <c r="Y17" s="280">
        <f t="shared" si="3"/>
        <v>0</v>
      </c>
    </row>
    <row r="18" spans="2:25" ht="76.5" customHeight="1" x14ac:dyDescent="0.25">
      <c r="B18" s="484" t="s">
        <v>388</v>
      </c>
      <c r="C18" s="484" t="s">
        <v>389</v>
      </c>
      <c r="D18" s="55" t="s">
        <v>23</v>
      </c>
      <c r="E18" s="229" t="s">
        <v>532</v>
      </c>
      <c r="F18" s="435" t="s">
        <v>24</v>
      </c>
      <c r="G18" s="965">
        <v>4</v>
      </c>
      <c r="H18" s="55" t="s">
        <v>671</v>
      </c>
      <c r="I18" s="488">
        <v>0.2</v>
      </c>
      <c r="J18" s="491">
        <v>50</v>
      </c>
      <c r="K18" s="1028" t="s">
        <v>672</v>
      </c>
      <c r="L18" s="1028" t="s">
        <v>673</v>
      </c>
      <c r="M18" s="436" t="s">
        <v>28</v>
      </c>
      <c r="N18" s="42">
        <v>1</v>
      </c>
      <c r="O18" s="495" t="s">
        <v>950</v>
      </c>
      <c r="P18" s="430">
        <v>0.25</v>
      </c>
      <c r="Q18" s="431">
        <v>43466</v>
      </c>
      <c r="R18" s="432">
        <v>43555</v>
      </c>
      <c r="S18" s="430">
        <f t="shared" si="0"/>
        <v>0.05</v>
      </c>
      <c r="T18" s="536" t="s">
        <v>28</v>
      </c>
      <c r="U18" s="433">
        <v>1</v>
      </c>
      <c r="V18" s="707" t="s">
        <v>1335</v>
      </c>
      <c r="W18" s="81">
        <f t="shared" si="1"/>
        <v>0.25</v>
      </c>
      <c r="X18" s="442">
        <f t="shared" si="2"/>
        <v>0.25</v>
      </c>
      <c r="Y18" s="280">
        <f t="shared" si="3"/>
        <v>0.05</v>
      </c>
    </row>
    <row r="19" spans="2:25" ht="76.5" customHeight="1" x14ac:dyDescent="0.25">
      <c r="B19" s="484" t="s">
        <v>388</v>
      </c>
      <c r="C19" s="484" t="s">
        <v>389</v>
      </c>
      <c r="D19" s="55" t="s">
        <v>23</v>
      </c>
      <c r="E19" s="229" t="s">
        <v>532</v>
      </c>
      <c r="F19" s="435" t="s">
        <v>24</v>
      </c>
      <c r="G19" s="965"/>
      <c r="H19" s="55" t="s">
        <v>671</v>
      </c>
      <c r="I19" s="488">
        <v>0.2</v>
      </c>
      <c r="J19" s="491">
        <v>50</v>
      </c>
      <c r="K19" s="1028"/>
      <c r="L19" s="1028"/>
      <c r="M19" s="436" t="s">
        <v>28</v>
      </c>
      <c r="N19" s="42">
        <v>2</v>
      </c>
      <c r="O19" s="495" t="s">
        <v>951</v>
      </c>
      <c r="P19" s="430">
        <v>0.25</v>
      </c>
      <c r="Q19" s="431">
        <v>43556</v>
      </c>
      <c r="R19" s="432">
        <v>43646</v>
      </c>
      <c r="S19" s="430">
        <f t="shared" si="0"/>
        <v>0.05</v>
      </c>
      <c r="T19" s="536" t="s">
        <v>28</v>
      </c>
      <c r="U19" s="433">
        <v>1</v>
      </c>
      <c r="V19" s="708" t="s">
        <v>845</v>
      </c>
      <c r="W19" s="81">
        <f t="shared" ref="W19:W29" si="4">U19*P19</f>
        <v>0.25</v>
      </c>
      <c r="X19" s="442">
        <f t="shared" ref="X19:X29" si="5">W19*U19</f>
        <v>0.25</v>
      </c>
      <c r="Y19" s="280">
        <f t="shared" si="3"/>
        <v>0.05</v>
      </c>
    </row>
    <row r="20" spans="2:25" ht="76.5" customHeight="1" x14ac:dyDescent="0.25">
      <c r="B20" s="484" t="s">
        <v>388</v>
      </c>
      <c r="C20" s="484" t="s">
        <v>389</v>
      </c>
      <c r="D20" s="55" t="s">
        <v>23</v>
      </c>
      <c r="E20" s="229" t="s">
        <v>532</v>
      </c>
      <c r="F20" s="435" t="s">
        <v>24</v>
      </c>
      <c r="G20" s="965"/>
      <c r="H20" s="55" t="s">
        <v>671</v>
      </c>
      <c r="I20" s="488">
        <v>0.2</v>
      </c>
      <c r="J20" s="491">
        <v>50</v>
      </c>
      <c r="K20" s="1028"/>
      <c r="L20" s="1028"/>
      <c r="M20" s="436" t="s">
        <v>28</v>
      </c>
      <c r="N20" s="42">
        <v>3</v>
      </c>
      <c r="O20" s="495" t="s">
        <v>951</v>
      </c>
      <c r="P20" s="430">
        <v>0.25</v>
      </c>
      <c r="Q20" s="431">
        <v>43647</v>
      </c>
      <c r="R20" s="432">
        <v>43738</v>
      </c>
      <c r="S20" s="430">
        <f t="shared" si="0"/>
        <v>0.05</v>
      </c>
      <c r="T20" s="536" t="s">
        <v>28</v>
      </c>
      <c r="U20" s="292"/>
      <c r="V20" s="709"/>
      <c r="W20" s="81">
        <f t="shared" si="4"/>
        <v>0</v>
      </c>
      <c r="X20" s="442">
        <f t="shared" si="5"/>
        <v>0</v>
      </c>
      <c r="Y20" s="280">
        <f t="shared" si="3"/>
        <v>0</v>
      </c>
    </row>
    <row r="21" spans="2:25" ht="76.5" customHeight="1" x14ac:dyDescent="0.25">
      <c r="B21" s="484" t="s">
        <v>388</v>
      </c>
      <c r="C21" s="484" t="s">
        <v>389</v>
      </c>
      <c r="D21" s="55" t="s">
        <v>23</v>
      </c>
      <c r="E21" s="229" t="s">
        <v>532</v>
      </c>
      <c r="F21" s="435" t="s">
        <v>24</v>
      </c>
      <c r="G21" s="965"/>
      <c r="H21" s="55" t="s">
        <v>671</v>
      </c>
      <c r="I21" s="488">
        <v>0.2</v>
      </c>
      <c r="J21" s="491">
        <v>50</v>
      </c>
      <c r="K21" s="1028"/>
      <c r="L21" s="1028"/>
      <c r="M21" s="436" t="s">
        <v>28</v>
      </c>
      <c r="N21" s="42">
        <v>4</v>
      </c>
      <c r="O21" s="495" t="s">
        <v>950</v>
      </c>
      <c r="P21" s="430">
        <v>0.25</v>
      </c>
      <c r="Q21" s="431">
        <v>43739</v>
      </c>
      <c r="R21" s="432">
        <v>43830</v>
      </c>
      <c r="S21" s="430">
        <f t="shared" si="0"/>
        <v>0.05</v>
      </c>
      <c r="T21" s="536" t="s">
        <v>28</v>
      </c>
      <c r="U21" s="292"/>
      <c r="V21" s="709"/>
      <c r="W21" s="81">
        <f t="shared" si="4"/>
        <v>0</v>
      </c>
      <c r="X21" s="442">
        <f t="shared" si="5"/>
        <v>0</v>
      </c>
      <c r="Y21" s="280">
        <f t="shared" si="3"/>
        <v>0</v>
      </c>
    </row>
    <row r="22" spans="2:25" ht="76.5" customHeight="1" x14ac:dyDescent="0.25">
      <c r="B22" s="484" t="s">
        <v>388</v>
      </c>
      <c r="C22" s="484" t="s">
        <v>389</v>
      </c>
      <c r="D22" s="55" t="s">
        <v>23</v>
      </c>
      <c r="E22" s="229" t="s">
        <v>532</v>
      </c>
      <c r="F22" s="435" t="s">
        <v>24</v>
      </c>
      <c r="G22" s="965">
        <v>5</v>
      </c>
      <c r="H22" s="55" t="s">
        <v>674</v>
      </c>
      <c r="I22" s="488">
        <v>0.1</v>
      </c>
      <c r="J22" s="491">
        <v>50</v>
      </c>
      <c r="K22" s="1028" t="s">
        <v>675</v>
      </c>
      <c r="L22" s="1028" t="s">
        <v>676</v>
      </c>
      <c r="M22" s="436" t="s">
        <v>28</v>
      </c>
      <c r="N22" s="42">
        <v>1</v>
      </c>
      <c r="O22" s="495" t="s">
        <v>952</v>
      </c>
      <c r="P22" s="430">
        <v>0.25</v>
      </c>
      <c r="Q22" s="431">
        <v>43466</v>
      </c>
      <c r="R22" s="432">
        <v>43555</v>
      </c>
      <c r="S22" s="430">
        <f t="shared" si="0"/>
        <v>2.5000000000000001E-2</v>
      </c>
      <c r="T22" s="536" t="s">
        <v>28</v>
      </c>
      <c r="U22" s="433">
        <v>1</v>
      </c>
      <c r="V22" s="707" t="s">
        <v>1339</v>
      </c>
      <c r="W22" s="81">
        <f t="shared" si="4"/>
        <v>0.25</v>
      </c>
      <c r="X22" s="442">
        <f t="shared" si="5"/>
        <v>0.25</v>
      </c>
      <c r="Y22" s="280">
        <f t="shared" si="3"/>
        <v>2.5000000000000001E-2</v>
      </c>
    </row>
    <row r="23" spans="2:25" ht="76.5" customHeight="1" x14ac:dyDescent="0.25">
      <c r="B23" s="484" t="s">
        <v>388</v>
      </c>
      <c r="C23" s="484" t="s">
        <v>389</v>
      </c>
      <c r="D23" s="55" t="s">
        <v>23</v>
      </c>
      <c r="E23" s="229" t="s">
        <v>532</v>
      </c>
      <c r="F23" s="435" t="s">
        <v>24</v>
      </c>
      <c r="G23" s="965"/>
      <c r="H23" s="55" t="s">
        <v>674</v>
      </c>
      <c r="I23" s="488">
        <v>0.1</v>
      </c>
      <c r="J23" s="491">
        <v>50</v>
      </c>
      <c r="K23" s="1028"/>
      <c r="L23" s="1028"/>
      <c r="M23" s="436" t="s">
        <v>28</v>
      </c>
      <c r="N23" s="42">
        <v>2</v>
      </c>
      <c r="O23" s="495" t="s">
        <v>953</v>
      </c>
      <c r="P23" s="430">
        <v>0.25</v>
      </c>
      <c r="Q23" s="431">
        <v>43556</v>
      </c>
      <c r="R23" s="432">
        <v>43646</v>
      </c>
      <c r="S23" s="430">
        <f t="shared" si="0"/>
        <v>2.5000000000000001E-2</v>
      </c>
      <c r="T23" s="536" t="s">
        <v>28</v>
      </c>
      <c r="U23" s="433">
        <v>1</v>
      </c>
      <c r="V23" s="708" t="s">
        <v>1339</v>
      </c>
      <c r="W23" s="81">
        <f t="shared" si="4"/>
        <v>0.25</v>
      </c>
      <c r="X23" s="442">
        <f t="shared" si="5"/>
        <v>0.25</v>
      </c>
      <c r="Y23" s="280">
        <f t="shared" si="3"/>
        <v>2.5000000000000001E-2</v>
      </c>
    </row>
    <row r="24" spans="2:25" ht="76.5" customHeight="1" x14ac:dyDescent="0.25">
      <c r="B24" s="484" t="s">
        <v>388</v>
      </c>
      <c r="C24" s="484" t="s">
        <v>389</v>
      </c>
      <c r="D24" s="55" t="s">
        <v>23</v>
      </c>
      <c r="E24" s="229" t="s">
        <v>532</v>
      </c>
      <c r="F24" s="435" t="s">
        <v>24</v>
      </c>
      <c r="G24" s="965"/>
      <c r="H24" s="55" t="s">
        <v>674</v>
      </c>
      <c r="I24" s="488">
        <v>0.1</v>
      </c>
      <c r="J24" s="491">
        <v>50</v>
      </c>
      <c r="K24" s="1028"/>
      <c r="L24" s="1028"/>
      <c r="M24" s="436" t="s">
        <v>28</v>
      </c>
      <c r="N24" s="42">
        <v>3</v>
      </c>
      <c r="O24" s="495" t="s">
        <v>953</v>
      </c>
      <c r="P24" s="430">
        <v>0.25</v>
      </c>
      <c r="Q24" s="431">
        <v>43647</v>
      </c>
      <c r="R24" s="432">
        <v>43738</v>
      </c>
      <c r="S24" s="430">
        <f t="shared" si="0"/>
        <v>2.5000000000000001E-2</v>
      </c>
      <c r="T24" s="536" t="s">
        <v>28</v>
      </c>
      <c r="U24" s="292"/>
      <c r="V24" s="709"/>
      <c r="W24" s="81">
        <f t="shared" si="4"/>
        <v>0</v>
      </c>
      <c r="X24" s="442">
        <f t="shared" si="5"/>
        <v>0</v>
      </c>
      <c r="Y24" s="280">
        <f t="shared" si="3"/>
        <v>0</v>
      </c>
    </row>
    <row r="25" spans="2:25" ht="76.5" customHeight="1" x14ac:dyDescent="0.25">
      <c r="B25" s="484" t="s">
        <v>388</v>
      </c>
      <c r="C25" s="484" t="s">
        <v>389</v>
      </c>
      <c r="D25" s="55" t="s">
        <v>23</v>
      </c>
      <c r="E25" s="229" t="s">
        <v>532</v>
      </c>
      <c r="F25" s="435" t="s">
        <v>24</v>
      </c>
      <c r="G25" s="965"/>
      <c r="H25" s="55" t="s">
        <v>674</v>
      </c>
      <c r="I25" s="488">
        <v>0.1</v>
      </c>
      <c r="J25" s="491">
        <v>50</v>
      </c>
      <c r="K25" s="1028"/>
      <c r="L25" s="1028"/>
      <c r="M25" s="436" t="s">
        <v>28</v>
      </c>
      <c r="N25" s="42">
        <v>4</v>
      </c>
      <c r="O25" s="495" t="s">
        <v>952</v>
      </c>
      <c r="P25" s="430">
        <v>0.25</v>
      </c>
      <c r="Q25" s="431">
        <v>43739</v>
      </c>
      <c r="R25" s="432">
        <v>43830</v>
      </c>
      <c r="S25" s="430">
        <f t="shared" si="0"/>
        <v>2.5000000000000001E-2</v>
      </c>
      <c r="T25" s="536" t="s">
        <v>28</v>
      </c>
      <c r="U25" s="292"/>
      <c r="V25" s="709"/>
      <c r="W25" s="81">
        <f t="shared" si="4"/>
        <v>0</v>
      </c>
      <c r="X25" s="442">
        <f t="shared" si="5"/>
        <v>0</v>
      </c>
      <c r="Y25" s="280">
        <f t="shared" si="3"/>
        <v>0</v>
      </c>
    </row>
    <row r="26" spans="2:25" ht="76.5" customHeight="1" x14ac:dyDescent="0.25">
      <c r="B26" s="484" t="s">
        <v>388</v>
      </c>
      <c r="C26" s="484" t="s">
        <v>389</v>
      </c>
      <c r="D26" s="55" t="s">
        <v>23</v>
      </c>
      <c r="E26" s="229" t="s">
        <v>532</v>
      </c>
      <c r="F26" s="435" t="s">
        <v>24</v>
      </c>
      <c r="G26" s="965">
        <v>6</v>
      </c>
      <c r="H26" s="55" t="s">
        <v>677</v>
      </c>
      <c r="I26" s="488">
        <v>0.15</v>
      </c>
      <c r="J26" s="491">
        <v>50</v>
      </c>
      <c r="K26" s="1028" t="s">
        <v>672</v>
      </c>
      <c r="L26" s="1028" t="s">
        <v>678</v>
      </c>
      <c r="M26" s="436" t="s">
        <v>28</v>
      </c>
      <c r="N26" s="42">
        <v>1</v>
      </c>
      <c r="O26" s="495" t="s">
        <v>954</v>
      </c>
      <c r="P26" s="430">
        <v>0.25</v>
      </c>
      <c r="Q26" s="431">
        <v>43466</v>
      </c>
      <c r="R26" s="432">
        <v>43555</v>
      </c>
      <c r="S26" s="430">
        <f t="shared" si="0"/>
        <v>3.7499999999999999E-2</v>
      </c>
      <c r="T26" s="536" t="s">
        <v>28</v>
      </c>
      <c r="U26" s="433">
        <v>1</v>
      </c>
      <c r="V26" s="707" t="s">
        <v>1336</v>
      </c>
      <c r="W26" s="81">
        <f t="shared" si="4"/>
        <v>0.25</v>
      </c>
      <c r="X26" s="442">
        <f t="shared" si="5"/>
        <v>0.25</v>
      </c>
      <c r="Y26" s="280">
        <f t="shared" si="3"/>
        <v>3.7499999999999999E-2</v>
      </c>
    </row>
    <row r="27" spans="2:25" ht="76.5" customHeight="1" x14ac:dyDescent="0.25">
      <c r="B27" s="484" t="s">
        <v>388</v>
      </c>
      <c r="C27" s="484" t="s">
        <v>389</v>
      </c>
      <c r="D27" s="55" t="s">
        <v>23</v>
      </c>
      <c r="E27" s="229" t="s">
        <v>532</v>
      </c>
      <c r="F27" s="435" t="s">
        <v>24</v>
      </c>
      <c r="G27" s="965"/>
      <c r="H27" s="55" t="s">
        <v>677</v>
      </c>
      <c r="I27" s="488">
        <v>0.15</v>
      </c>
      <c r="J27" s="491">
        <v>50</v>
      </c>
      <c r="K27" s="1028"/>
      <c r="L27" s="1028"/>
      <c r="M27" s="436" t="s">
        <v>28</v>
      </c>
      <c r="N27" s="42">
        <v>2</v>
      </c>
      <c r="O27" s="495" t="s">
        <v>955</v>
      </c>
      <c r="P27" s="430">
        <v>0.25</v>
      </c>
      <c r="Q27" s="431">
        <v>43556</v>
      </c>
      <c r="R27" s="432">
        <v>43646</v>
      </c>
      <c r="S27" s="430">
        <f t="shared" si="0"/>
        <v>3.7499999999999999E-2</v>
      </c>
      <c r="T27" s="536" t="s">
        <v>28</v>
      </c>
      <c r="U27" s="433">
        <v>1</v>
      </c>
      <c r="V27" s="708" t="s">
        <v>1337</v>
      </c>
      <c r="W27" s="81">
        <f t="shared" si="4"/>
        <v>0.25</v>
      </c>
      <c r="X27" s="442">
        <f t="shared" si="5"/>
        <v>0.25</v>
      </c>
      <c r="Y27" s="280">
        <f t="shared" si="3"/>
        <v>3.7499999999999999E-2</v>
      </c>
    </row>
    <row r="28" spans="2:25" ht="76.5" customHeight="1" x14ac:dyDescent="0.25">
      <c r="B28" s="484" t="s">
        <v>388</v>
      </c>
      <c r="C28" s="484" t="s">
        <v>389</v>
      </c>
      <c r="D28" s="55" t="s">
        <v>23</v>
      </c>
      <c r="E28" s="229" t="s">
        <v>532</v>
      </c>
      <c r="F28" s="435" t="s">
        <v>24</v>
      </c>
      <c r="G28" s="965"/>
      <c r="H28" s="55" t="s">
        <v>677</v>
      </c>
      <c r="I28" s="488">
        <v>0.15</v>
      </c>
      <c r="J28" s="491">
        <v>50</v>
      </c>
      <c r="K28" s="1028"/>
      <c r="L28" s="1028"/>
      <c r="M28" s="436" t="s">
        <v>28</v>
      </c>
      <c r="N28" s="42">
        <v>3</v>
      </c>
      <c r="O28" s="495" t="s">
        <v>955</v>
      </c>
      <c r="P28" s="430">
        <v>0.25</v>
      </c>
      <c r="Q28" s="431">
        <v>43647</v>
      </c>
      <c r="R28" s="432">
        <v>43738</v>
      </c>
      <c r="S28" s="430">
        <f t="shared" si="0"/>
        <v>3.7499999999999999E-2</v>
      </c>
      <c r="T28" s="536" t="s">
        <v>28</v>
      </c>
      <c r="U28" s="292"/>
      <c r="V28" s="709"/>
      <c r="W28" s="81">
        <f t="shared" si="4"/>
        <v>0</v>
      </c>
      <c r="X28" s="442">
        <f t="shared" si="5"/>
        <v>0</v>
      </c>
      <c r="Y28" s="280">
        <f t="shared" si="3"/>
        <v>0</v>
      </c>
    </row>
    <row r="29" spans="2:25" ht="76.5" customHeight="1" x14ac:dyDescent="0.25">
      <c r="B29" s="484" t="s">
        <v>388</v>
      </c>
      <c r="C29" s="484" t="s">
        <v>389</v>
      </c>
      <c r="D29" s="55" t="s">
        <v>23</v>
      </c>
      <c r="E29" s="229" t="s">
        <v>532</v>
      </c>
      <c r="F29" s="435" t="s">
        <v>24</v>
      </c>
      <c r="G29" s="965"/>
      <c r="H29" s="55" t="s">
        <v>677</v>
      </c>
      <c r="I29" s="488">
        <v>0.15</v>
      </c>
      <c r="J29" s="491">
        <v>50</v>
      </c>
      <c r="K29" s="1028"/>
      <c r="L29" s="1028"/>
      <c r="M29" s="436" t="s">
        <v>28</v>
      </c>
      <c r="N29" s="42">
        <v>4</v>
      </c>
      <c r="O29" s="495" t="s">
        <v>954</v>
      </c>
      <c r="P29" s="430">
        <v>0.25</v>
      </c>
      <c r="Q29" s="431">
        <v>43739</v>
      </c>
      <c r="R29" s="432">
        <v>43830</v>
      </c>
      <c r="S29" s="430">
        <f t="shared" si="0"/>
        <v>3.7499999999999999E-2</v>
      </c>
      <c r="T29" s="536" t="s">
        <v>28</v>
      </c>
      <c r="U29" s="292"/>
      <c r="V29" s="709"/>
      <c r="W29" s="81">
        <f t="shared" si="4"/>
        <v>0</v>
      </c>
      <c r="X29" s="442">
        <f t="shared" si="5"/>
        <v>0</v>
      </c>
      <c r="Y29" s="280">
        <f t="shared" si="3"/>
        <v>0</v>
      </c>
    </row>
    <row r="30" spans="2:25" ht="76.5" customHeight="1" x14ac:dyDescent="0.25">
      <c r="B30" s="484" t="s">
        <v>388</v>
      </c>
      <c r="C30" s="484" t="s">
        <v>389</v>
      </c>
      <c r="D30" s="55" t="s">
        <v>23</v>
      </c>
      <c r="E30" s="229" t="s">
        <v>533</v>
      </c>
      <c r="F30" s="55" t="s">
        <v>53</v>
      </c>
      <c r="G30" s="965">
        <v>1</v>
      </c>
      <c r="H30" s="55" t="s">
        <v>683</v>
      </c>
      <c r="I30" s="488">
        <v>1</v>
      </c>
      <c r="J30" s="488">
        <v>1</v>
      </c>
      <c r="K30" s="1028" t="s">
        <v>184</v>
      </c>
      <c r="L30" s="1028" t="s">
        <v>956</v>
      </c>
      <c r="M30" s="436" t="s">
        <v>56</v>
      </c>
      <c r="N30" s="42">
        <v>1</v>
      </c>
      <c r="O30" s="495" t="s">
        <v>1270</v>
      </c>
      <c r="P30" s="430">
        <v>0.25</v>
      </c>
      <c r="Q30" s="431">
        <v>43466</v>
      </c>
      <c r="R30" s="432">
        <v>43555</v>
      </c>
      <c r="S30" s="430">
        <f t="shared" si="0"/>
        <v>0.25</v>
      </c>
      <c r="T30" s="535" t="s">
        <v>56</v>
      </c>
      <c r="U30" s="437">
        <v>1</v>
      </c>
      <c r="V30" s="715" t="s">
        <v>957</v>
      </c>
      <c r="W30" s="81">
        <f>U30*P30</f>
        <v>0.25</v>
      </c>
      <c r="X30" s="442">
        <f>W30*U30</f>
        <v>0.25</v>
      </c>
      <c r="Y30" s="280">
        <f t="shared" si="3"/>
        <v>0.25</v>
      </c>
    </row>
    <row r="31" spans="2:25" ht="76.5" customHeight="1" x14ac:dyDescent="0.25">
      <c r="B31" s="484" t="s">
        <v>388</v>
      </c>
      <c r="C31" s="484" t="s">
        <v>389</v>
      </c>
      <c r="D31" s="55" t="s">
        <v>23</v>
      </c>
      <c r="E31" s="229" t="s">
        <v>533</v>
      </c>
      <c r="F31" s="55" t="s">
        <v>53</v>
      </c>
      <c r="G31" s="965"/>
      <c r="H31" s="55" t="s">
        <v>683</v>
      </c>
      <c r="I31" s="488">
        <v>1</v>
      </c>
      <c r="J31" s="488">
        <v>1</v>
      </c>
      <c r="K31" s="1028"/>
      <c r="L31" s="1028"/>
      <c r="M31" s="436" t="s">
        <v>56</v>
      </c>
      <c r="N31" s="42">
        <v>2</v>
      </c>
      <c r="O31" s="495" t="s">
        <v>958</v>
      </c>
      <c r="P31" s="430">
        <v>0.25</v>
      </c>
      <c r="Q31" s="431">
        <v>43556</v>
      </c>
      <c r="R31" s="432">
        <v>43646</v>
      </c>
      <c r="S31" s="430">
        <f t="shared" si="0"/>
        <v>0.25</v>
      </c>
      <c r="T31" s="535" t="s">
        <v>56</v>
      </c>
      <c r="U31" s="437">
        <v>0.93</v>
      </c>
      <c r="V31" s="708" t="s">
        <v>1338</v>
      </c>
      <c r="W31" s="81">
        <f>U31*P31</f>
        <v>0.23250000000000001</v>
      </c>
      <c r="X31" s="442">
        <f>W31*U31</f>
        <v>0.21622500000000003</v>
      </c>
      <c r="Y31" s="280">
        <f t="shared" si="3"/>
        <v>0.23250000000000001</v>
      </c>
    </row>
    <row r="32" spans="2:25" ht="76.5" customHeight="1" x14ac:dyDescent="0.25">
      <c r="B32" s="484" t="s">
        <v>388</v>
      </c>
      <c r="C32" s="484" t="s">
        <v>389</v>
      </c>
      <c r="D32" s="55" t="s">
        <v>23</v>
      </c>
      <c r="E32" s="229" t="s">
        <v>533</v>
      </c>
      <c r="F32" s="55" t="s">
        <v>53</v>
      </c>
      <c r="G32" s="965"/>
      <c r="H32" s="55" t="s">
        <v>683</v>
      </c>
      <c r="I32" s="488">
        <v>1</v>
      </c>
      <c r="J32" s="488">
        <v>1</v>
      </c>
      <c r="K32" s="1028"/>
      <c r="L32" s="1028"/>
      <c r="M32" s="436" t="s">
        <v>56</v>
      </c>
      <c r="N32" s="42">
        <v>3</v>
      </c>
      <c r="O32" s="495" t="s">
        <v>959</v>
      </c>
      <c r="P32" s="430">
        <v>0.25</v>
      </c>
      <c r="Q32" s="431">
        <v>43647</v>
      </c>
      <c r="R32" s="432">
        <v>43738</v>
      </c>
      <c r="S32" s="430">
        <f t="shared" si="0"/>
        <v>0.25</v>
      </c>
      <c r="T32" s="535" t="s">
        <v>56</v>
      </c>
      <c r="U32" s="292"/>
      <c r="V32" s="709"/>
      <c r="W32" s="81">
        <f>U32*P32</f>
        <v>0</v>
      </c>
      <c r="X32" s="442">
        <f>W32*U32</f>
        <v>0</v>
      </c>
      <c r="Y32" s="280">
        <f t="shared" si="3"/>
        <v>0</v>
      </c>
    </row>
    <row r="33" spans="2:25" ht="76.5" customHeight="1" x14ac:dyDescent="0.25">
      <c r="B33" s="484" t="s">
        <v>388</v>
      </c>
      <c r="C33" s="484" t="s">
        <v>389</v>
      </c>
      <c r="D33" s="55" t="s">
        <v>23</v>
      </c>
      <c r="E33" s="229" t="s">
        <v>533</v>
      </c>
      <c r="F33" s="55" t="s">
        <v>53</v>
      </c>
      <c r="G33" s="965"/>
      <c r="H33" s="55" t="s">
        <v>683</v>
      </c>
      <c r="I33" s="488">
        <v>1</v>
      </c>
      <c r="J33" s="488">
        <v>1</v>
      </c>
      <c r="K33" s="1028"/>
      <c r="L33" s="1028"/>
      <c r="M33" s="436" t="s">
        <v>56</v>
      </c>
      <c r="N33" s="42">
        <v>4</v>
      </c>
      <c r="O33" s="495" t="s">
        <v>960</v>
      </c>
      <c r="P33" s="430">
        <v>0.25</v>
      </c>
      <c r="Q33" s="431">
        <v>43739</v>
      </c>
      <c r="R33" s="432">
        <v>43830</v>
      </c>
      <c r="S33" s="430">
        <f t="shared" si="0"/>
        <v>0.25</v>
      </c>
      <c r="T33" s="535" t="s">
        <v>56</v>
      </c>
      <c r="U33" s="292"/>
      <c r="V33" s="709"/>
      <c r="W33" s="81">
        <f>U33*P33</f>
        <v>0</v>
      </c>
      <c r="X33" s="442">
        <f>W33*U33</f>
        <v>0</v>
      </c>
      <c r="Y33" s="280">
        <f t="shared" si="3"/>
        <v>0</v>
      </c>
    </row>
    <row r="34" spans="2:25" ht="76.5" customHeight="1" x14ac:dyDescent="0.25">
      <c r="B34" s="484" t="s">
        <v>388</v>
      </c>
      <c r="C34" s="484" t="s">
        <v>389</v>
      </c>
      <c r="D34" s="55" t="s">
        <v>23</v>
      </c>
      <c r="E34" s="229" t="s">
        <v>543</v>
      </c>
      <c r="F34" s="55" t="s">
        <v>59</v>
      </c>
      <c r="G34" s="965">
        <v>1</v>
      </c>
      <c r="H34" s="55" t="s">
        <v>685</v>
      </c>
      <c r="I34" s="365">
        <v>6.25E-2</v>
      </c>
      <c r="J34" s="488">
        <v>1</v>
      </c>
      <c r="K34" s="1028" t="s">
        <v>481</v>
      </c>
      <c r="L34" s="1028" t="s">
        <v>686</v>
      </c>
      <c r="M34" s="436" t="s">
        <v>687</v>
      </c>
      <c r="N34" s="42">
        <v>1</v>
      </c>
      <c r="O34" s="224" t="s">
        <v>961</v>
      </c>
      <c r="P34" s="430">
        <v>0.111</v>
      </c>
      <c r="Q34" s="431">
        <v>43469</v>
      </c>
      <c r="R34" s="432">
        <v>43524</v>
      </c>
      <c r="S34" s="430">
        <f t="shared" si="0"/>
        <v>6.9375000000000001E-3</v>
      </c>
      <c r="T34" s="535" t="s">
        <v>962</v>
      </c>
      <c r="U34" s="81">
        <v>1</v>
      </c>
      <c r="V34" s="708" t="s">
        <v>963</v>
      </c>
      <c r="W34" s="81">
        <f t="shared" ref="W34:W76" si="6">U34*P34</f>
        <v>0.111</v>
      </c>
      <c r="X34" s="442">
        <f t="shared" ref="X34:X76" si="7">W34*U34</f>
        <v>0.111</v>
      </c>
      <c r="Y34" s="280">
        <f t="shared" si="3"/>
        <v>6.9375000000000001E-3</v>
      </c>
    </row>
    <row r="35" spans="2:25" ht="76.5" customHeight="1" x14ac:dyDescent="0.25">
      <c r="B35" s="484" t="s">
        <v>388</v>
      </c>
      <c r="C35" s="484" t="s">
        <v>389</v>
      </c>
      <c r="D35" s="55" t="s">
        <v>23</v>
      </c>
      <c r="E35" s="229" t="s">
        <v>543</v>
      </c>
      <c r="F35" s="55" t="s">
        <v>59</v>
      </c>
      <c r="G35" s="965"/>
      <c r="H35" s="55" t="s">
        <v>685</v>
      </c>
      <c r="I35" s="365">
        <v>6.25E-2</v>
      </c>
      <c r="J35" s="488">
        <v>1</v>
      </c>
      <c r="K35" s="1028"/>
      <c r="L35" s="1028"/>
      <c r="M35" s="436" t="s">
        <v>687</v>
      </c>
      <c r="N35" s="42">
        <v>2</v>
      </c>
      <c r="O35" s="224" t="s">
        <v>964</v>
      </c>
      <c r="P35" s="430">
        <v>0.111</v>
      </c>
      <c r="Q35" s="431">
        <v>43525</v>
      </c>
      <c r="R35" s="432">
        <v>43555</v>
      </c>
      <c r="S35" s="430">
        <f t="shared" si="0"/>
        <v>6.9375000000000001E-3</v>
      </c>
      <c r="T35" s="535" t="s">
        <v>962</v>
      </c>
      <c r="U35" s="81">
        <v>1</v>
      </c>
      <c r="V35" s="708" t="s">
        <v>965</v>
      </c>
      <c r="W35" s="81">
        <f t="shared" si="6"/>
        <v>0.111</v>
      </c>
      <c r="X35" s="442">
        <f t="shared" si="7"/>
        <v>0.111</v>
      </c>
      <c r="Y35" s="280">
        <f t="shared" si="3"/>
        <v>6.9375000000000001E-3</v>
      </c>
    </row>
    <row r="36" spans="2:25" ht="76.5" customHeight="1" x14ac:dyDescent="0.25">
      <c r="B36" s="484" t="s">
        <v>388</v>
      </c>
      <c r="C36" s="484" t="s">
        <v>389</v>
      </c>
      <c r="D36" s="55" t="s">
        <v>23</v>
      </c>
      <c r="E36" s="229" t="s">
        <v>543</v>
      </c>
      <c r="F36" s="55" t="s">
        <v>59</v>
      </c>
      <c r="G36" s="965"/>
      <c r="H36" s="55" t="s">
        <v>685</v>
      </c>
      <c r="I36" s="365">
        <v>6.25E-2</v>
      </c>
      <c r="J36" s="488">
        <v>1</v>
      </c>
      <c r="K36" s="1028"/>
      <c r="L36" s="1028"/>
      <c r="M36" s="436" t="s">
        <v>687</v>
      </c>
      <c r="N36" s="42">
        <v>3</v>
      </c>
      <c r="O36" s="333" t="s">
        <v>966</v>
      </c>
      <c r="P36" s="430">
        <v>0.111</v>
      </c>
      <c r="Q36" s="431">
        <v>43556</v>
      </c>
      <c r="R36" s="432">
        <v>43585</v>
      </c>
      <c r="S36" s="430">
        <f t="shared" si="0"/>
        <v>6.9375000000000001E-3</v>
      </c>
      <c r="T36" s="535" t="s">
        <v>962</v>
      </c>
      <c r="U36" s="81">
        <v>1</v>
      </c>
      <c r="V36" s="707" t="s">
        <v>1232</v>
      </c>
      <c r="W36" s="81">
        <f t="shared" si="6"/>
        <v>0.111</v>
      </c>
      <c r="X36" s="442">
        <f t="shared" si="7"/>
        <v>0.111</v>
      </c>
      <c r="Y36" s="280">
        <f t="shared" si="3"/>
        <v>6.9375000000000001E-3</v>
      </c>
    </row>
    <row r="37" spans="2:25" ht="76.5" customHeight="1" x14ac:dyDescent="0.25">
      <c r="B37" s="484" t="s">
        <v>388</v>
      </c>
      <c r="C37" s="484" t="s">
        <v>389</v>
      </c>
      <c r="D37" s="55" t="s">
        <v>23</v>
      </c>
      <c r="E37" s="229" t="s">
        <v>543</v>
      </c>
      <c r="F37" s="55" t="s">
        <v>59</v>
      </c>
      <c r="G37" s="965"/>
      <c r="H37" s="55" t="s">
        <v>685</v>
      </c>
      <c r="I37" s="365">
        <v>6.25E-2</v>
      </c>
      <c r="J37" s="488">
        <v>1</v>
      </c>
      <c r="K37" s="1028"/>
      <c r="L37" s="1028"/>
      <c r="M37" s="436" t="s">
        <v>687</v>
      </c>
      <c r="N37" s="42">
        <v>4</v>
      </c>
      <c r="O37" s="333" t="s">
        <v>967</v>
      </c>
      <c r="P37" s="430">
        <v>0.111</v>
      </c>
      <c r="Q37" s="431">
        <v>43497</v>
      </c>
      <c r="R37" s="432">
        <v>43616</v>
      </c>
      <c r="S37" s="430">
        <f t="shared" si="0"/>
        <v>6.9375000000000001E-3</v>
      </c>
      <c r="T37" s="535" t="s">
        <v>962</v>
      </c>
      <c r="U37" s="81">
        <v>0.1</v>
      </c>
      <c r="V37" s="707" t="s">
        <v>1233</v>
      </c>
      <c r="W37" s="81">
        <f t="shared" si="6"/>
        <v>1.11E-2</v>
      </c>
      <c r="X37" s="442">
        <f t="shared" si="7"/>
        <v>1.1100000000000001E-3</v>
      </c>
      <c r="Y37" s="280">
        <f t="shared" si="3"/>
        <v>6.9375000000000003E-4</v>
      </c>
    </row>
    <row r="38" spans="2:25" ht="76.5" customHeight="1" x14ac:dyDescent="0.25">
      <c r="B38" s="484" t="s">
        <v>388</v>
      </c>
      <c r="C38" s="484" t="s">
        <v>389</v>
      </c>
      <c r="D38" s="55" t="s">
        <v>23</v>
      </c>
      <c r="E38" s="229" t="s">
        <v>543</v>
      </c>
      <c r="F38" s="55" t="s">
        <v>59</v>
      </c>
      <c r="G38" s="965"/>
      <c r="H38" s="55" t="s">
        <v>685</v>
      </c>
      <c r="I38" s="365">
        <v>6.25E-2</v>
      </c>
      <c r="J38" s="488">
        <v>1</v>
      </c>
      <c r="K38" s="1028"/>
      <c r="L38" s="1028"/>
      <c r="M38" s="436" t="s">
        <v>687</v>
      </c>
      <c r="N38" s="42">
        <v>5</v>
      </c>
      <c r="O38" s="333" t="s">
        <v>968</v>
      </c>
      <c r="P38" s="430">
        <v>0.111</v>
      </c>
      <c r="Q38" s="431">
        <v>43497</v>
      </c>
      <c r="R38" s="432">
        <v>43617</v>
      </c>
      <c r="S38" s="430">
        <f t="shared" si="0"/>
        <v>6.9375000000000001E-3</v>
      </c>
      <c r="T38" s="535" t="s">
        <v>962</v>
      </c>
      <c r="U38" s="81">
        <v>0.3</v>
      </c>
      <c r="V38" s="708" t="s">
        <v>1234</v>
      </c>
      <c r="W38" s="81">
        <f t="shared" si="6"/>
        <v>3.3299999999999996E-2</v>
      </c>
      <c r="X38" s="442">
        <f t="shared" si="7"/>
        <v>9.9899999999999989E-3</v>
      </c>
      <c r="Y38" s="280">
        <f t="shared" si="3"/>
        <v>2.0812499999999998E-3</v>
      </c>
    </row>
    <row r="39" spans="2:25" ht="76.5" customHeight="1" x14ac:dyDescent="0.25">
      <c r="B39" s="484" t="s">
        <v>388</v>
      </c>
      <c r="C39" s="484" t="s">
        <v>389</v>
      </c>
      <c r="D39" s="55" t="s">
        <v>23</v>
      </c>
      <c r="E39" s="229" t="s">
        <v>543</v>
      </c>
      <c r="F39" s="55" t="s">
        <v>59</v>
      </c>
      <c r="G39" s="965"/>
      <c r="H39" s="55" t="s">
        <v>685</v>
      </c>
      <c r="I39" s="365">
        <v>6.25E-2</v>
      </c>
      <c r="J39" s="488">
        <v>1</v>
      </c>
      <c r="K39" s="1028"/>
      <c r="L39" s="1028"/>
      <c r="M39" s="436" t="s">
        <v>687</v>
      </c>
      <c r="N39" s="42">
        <v>6</v>
      </c>
      <c r="O39" s="333" t="s">
        <v>969</v>
      </c>
      <c r="P39" s="430">
        <v>0.111</v>
      </c>
      <c r="Q39" s="431">
        <v>43497</v>
      </c>
      <c r="R39" s="432">
        <v>43830</v>
      </c>
      <c r="S39" s="430">
        <f t="shared" si="0"/>
        <v>6.9375000000000001E-3</v>
      </c>
      <c r="T39" s="535" t="s">
        <v>962</v>
      </c>
      <c r="U39" s="437">
        <v>0</v>
      </c>
      <c r="V39" s="708" t="s">
        <v>1235</v>
      </c>
      <c r="W39" s="81">
        <f t="shared" si="6"/>
        <v>0</v>
      </c>
      <c r="X39" s="442">
        <f t="shared" si="7"/>
        <v>0</v>
      </c>
      <c r="Y39" s="280">
        <f t="shared" si="3"/>
        <v>0</v>
      </c>
    </row>
    <row r="40" spans="2:25" ht="76.5" customHeight="1" x14ac:dyDescent="0.25">
      <c r="B40" s="484" t="s">
        <v>388</v>
      </c>
      <c r="C40" s="484" t="s">
        <v>389</v>
      </c>
      <c r="D40" s="55" t="s">
        <v>23</v>
      </c>
      <c r="E40" s="229" t="s">
        <v>543</v>
      </c>
      <c r="F40" s="55" t="s">
        <v>59</v>
      </c>
      <c r="G40" s="965"/>
      <c r="H40" s="55" t="s">
        <v>685</v>
      </c>
      <c r="I40" s="365">
        <v>6.25E-2</v>
      </c>
      <c r="J40" s="488">
        <v>1</v>
      </c>
      <c r="K40" s="1028"/>
      <c r="L40" s="1028"/>
      <c r="M40" s="436" t="s">
        <v>687</v>
      </c>
      <c r="N40" s="42">
        <v>7</v>
      </c>
      <c r="O40" s="333" t="s">
        <v>970</v>
      </c>
      <c r="P40" s="430">
        <v>0.111</v>
      </c>
      <c r="Q40" s="431">
        <v>43497</v>
      </c>
      <c r="R40" s="432">
        <v>43646</v>
      </c>
      <c r="S40" s="430">
        <f t="shared" si="0"/>
        <v>6.9375000000000001E-3</v>
      </c>
      <c r="T40" s="535" t="s">
        <v>962</v>
      </c>
      <c r="U40" s="437">
        <v>1</v>
      </c>
      <c r="V40" s="708" t="s">
        <v>971</v>
      </c>
      <c r="W40" s="81">
        <f t="shared" si="6"/>
        <v>0.111</v>
      </c>
      <c r="X40" s="442">
        <f t="shared" si="7"/>
        <v>0.111</v>
      </c>
      <c r="Y40" s="280">
        <f t="shared" si="3"/>
        <v>6.9375000000000001E-3</v>
      </c>
    </row>
    <row r="41" spans="2:25" ht="76.5" customHeight="1" x14ac:dyDescent="0.25">
      <c r="B41" s="484" t="s">
        <v>388</v>
      </c>
      <c r="C41" s="484" t="s">
        <v>389</v>
      </c>
      <c r="D41" s="55" t="s">
        <v>23</v>
      </c>
      <c r="E41" s="229" t="s">
        <v>543</v>
      </c>
      <c r="F41" s="55" t="s">
        <v>59</v>
      </c>
      <c r="G41" s="965"/>
      <c r="H41" s="55" t="s">
        <v>685</v>
      </c>
      <c r="I41" s="365">
        <v>6.25E-2</v>
      </c>
      <c r="J41" s="488">
        <v>1</v>
      </c>
      <c r="K41" s="1028"/>
      <c r="L41" s="1028"/>
      <c r="M41" s="436" t="s">
        <v>687</v>
      </c>
      <c r="N41" s="42">
        <v>8</v>
      </c>
      <c r="O41" s="224" t="s">
        <v>972</v>
      </c>
      <c r="P41" s="430">
        <v>0.111</v>
      </c>
      <c r="Q41" s="431">
        <v>43497</v>
      </c>
      <c r="R41" s="432">
        <v>43830</v>
      </c>
      <c r="S41" s="430">
        <f t="shared" si="0"/>
        <v>6.9375000000000001E-3</v>
      </c>
      <c r="T41" s="535" t="s">
        <v>962</v>
      </c>
      <c r="U41" s="437">
        <v>0</v>
      </c>
      <c r="V41" s="709"/>
      <c r="W41" s="81">
        <f t="shared" si="6"/>
        <v>0</v>
      </c>
      <c r="X41" s="442">
        <f t="shared" si="7"/>
        <v>0</v>
      </c>
      <c r="Y41" s="280">
        <f t="shared" si="3"/>
        <v>0</v>
      </c>
    </row>
    <row r="42" spans="2:25" ht="76.5" customHeight="1" x14ac:dyDescent="0.25">
      <c r="B42" s="484" t="s">
        <v>388</v>
      </c>
      <c r="C42" s="484" t="s">
        <v>389</v>
      </c>
      <c r="D42" s="55" t="s">
        <v>23</v>
      </c>
      <c r="E42" s="229" t="s">
        <v>543</v>
      </c>
      <c r="F42" s="55" t="s">
        <v>59</v>
      </c>
      <c r="G42" s="965"/>
      <c r="H42" s="55" t="s">
        <v>685</v>
      </c>
      <c r="I42" s="365">
        <v>6.25E-2</v>
      </c>
      <c r="J42" s="488">
        <v>1</v>
      </c>
      <c r="K42" s="1028"/>
      <c r="L42" s="1028"/>
      <c r="M42" s="436" t="s">
        <v>687</v>
      </c>
      <c r="N42" s="42">
        <v>9</v>
      </c>
      <c r="O42" s="333" t="s">
        <v>973</v>
      </c>
      <c r="P42" s="430">
        <v>0.111</v>
      </c>
      <c r="Q42" s="431">
        <v>43497</v>
      </c>
      <c r="R42" s="432">
        <v>43646</v>
      </c>
      <c r="S42" s="430">
        <f t="shared" si="0"/>
        <v>6.9375000000000001E-3</v>
      </c>
      <c r="T42" s="535" t="s">
        <v>962</v>
      </c>
      <c r="U42" s="437">
        <v>1</v>
      </c>
      <c r="V42" s="708" t="s">
        <v>1160</v>
      </c>
      <c r="W42" s="81">
        <f t="shared" si="6"/>
        <v>0.111</v>
      </c>
      <c r="X42" s="442">
        <f t="shared" si="7"/>
        <v>0.111</v>
      </c>
      <c r="Y42" s="280">
        <f t="shared" si="3"/>
        <v>6.9375000000000001E-3</v>
      </c>
    </row>
    <row r="43" spans="2:25" ht="76.5" customHeight="1" x14ac:dyDescent="0.25">
      <c r="B43" s="484" t="s">
        <v>388</v>
      </c>
      <c r="C43" s="484" t="s">
        <v>389</v>
      </c>
      <c r="D43" s="55" t="s">
        <v>23</v>
      </c>
      <c r="E43" s="229" t="s">
        <v>543</v>
      </c>
      <c r="F43" s="55" t="s">
        <v>59</v>
      </c>
      <c r="G43" s="965">
        <v>2</v>
      </c>
      <c r="H43" s="55" t="s">
        <v>688</v>
      </c>
      <c r="I43" s="365">
        <v>6.25E-2</v>
      </c>
      <c r="J43" s="491">
        <v>12</v>
      </c>
      <c r="K43" s="1028" t="s">
        <v>689</v>
      </c>
      <c r="L43" s="1028" t="s">
        <v>690</v>
      </c>
      <c r="M43" s="436" t="s">
        <v>687</v>
      </c>
      <c r="N43" s="42">
        <v>1</v>
      </c>
      <c r="O43" s="495" t="s">
        <v>974</v>
      </c>
      <c r="P43" s="430">
        <v>0.5</v>
      </c>
      <c r="Q43" s="431">
        <v>43500</v>
      </c>
      <c r="R43" s="432">
        <v>43555</v>
      </c>
      <c r="S43" s="430">
        <f t="shared" si="0"/>
        <v>3.125E-2</v>
      </c>
      <c r="T43" s="535" t="s">
        <v>962</v>
      </c>
      <c r="U43" s="437">
        <v>1</v>
      </c>
      <c r="V43" s="708" t="s">
        <v>1329</v>
      </c>
      <c r="W43" s="81">
        <f t="shared" si="6"/>
        <v>0.5</v>
      </c>
      <c r="X43" s="442">
        <f t="shared" si="7"/>
        <v>0.5</v>
      </c>
      <c r="Y43" s="280">
        <f t="shared" si="3"/>
        <v>3.125E-2</v>
      </c>
    </row>
    <row r="44" spans="2:25" ht="76.5" customHeight="1" x14ac:dyDescent="0.25">
      <c r="B44" s="484" t="s">
        <v>388</v>
      </c>
      <c r="C44" s="484" t="s">
        <v>389</v>
      </c>
      <c r="D44" s="55" t="s">
        <v>23</v>
      </c>
      <c r="E44" s="229" t="s">
        <v>543</v>
      </c>
      <c r="F44" s="55" t="s">
        <v>59</v>
      </c>
      <c r="G44" s="965"/>
      <c r="H44" s="55" t="s">
        <v>688</v>
      </c>
      <c r="I44" s="365">
        <v>6.25E-2</v>
      </c>
      <c r="J44" s="491">
        <v>12</v>
      </c>
      <c r="K44" s="1028"/>
      <c r="L44" s="1028"/>
      <c r="M44" s="436" t="s">
        <v>687</v>
      </c>
      <c r="N44" s="42">
        <v>2</v>
      </c>
      <c r="O44" s="495" t="s">
        <v>975</v>
      </c>
      <c r="P44" s="430">
        <v>0.5</v>
      </c>
      <c r="Q44" s="431">
        <v>43556</v>
      </c>
      <c r="R44" s="432">
        <v>43646</v>
      </c>
      <c r="S44" s="430">
        <f t="shared" si="0"/>
        <v>3.125E-2</v>
      </c>
      <c r="T44" s="535" t="s">
        <v>962</v>
      </c>
      <c r="U44" s="437">
        <v>1</v>
      </c>
      <c r="V44" s="708" t="s">
        <v>1330</v>
      </c>
      <c r="W44" s="81">
        <f t="shared" si="6"/>
        <v>0.5</v>
      </c>
      <c r="X44" s="442">
        <f t="shared" si="7"/>
        <v>0.5</v>
      </c>
      <c r="Y44" s="280">
        <f t="shared" si="3"/>
        <v>3.125E-2</v>
      </c>
    </row>
    <row r="45" spans="2:25" ht="76.5" customHeight="1" x14ac:dyDescent="0.25">
      <c r="B45" s="484" t="s">
        <v>388</v>
      </c>
      <c r="C45" s="484" t="s">
        <v>389</v>
      </c>
      <c r="D45" s="55" t="s">
        <v>23</v>
      </c>
      <c r="E45" s="229" t="s">
        <v>543</v>
      </c>
      <c r="F45" s="55" t="s">
        <v>59</v>
      </c>
      <c r="G45" s="965">
        <v>3</v>
      </c>
      <c r="H45" s="55" t="s">
        <v>976</v>
      </c>
      <c r="I45" s="365">
        <v>6.25E-2</v>
      </c>
      <c r="J45" s="491">
        <v>15</v>
      </c>
      <c r="K45" s="1029" t="s">
        <v>977</v>
      </c>
      <c r="L45" s="1029" t="s">
        <v>693</v>
      </c>
      <c r="M45" s="438" t="s">
        <v>687</v>
      </c>
      <c r="N45" s="42">
        <v>1</v>
      </c>
      <c r="O45" s="495" t="s">
        <v>978</v>
      </c>
      <c r="P45" s="430">
        <v>0.5</v>
      </c>
      <c r="Q45" s="431">
        <v>43500</v>
      </c>
      <c r="R45" s="432">
        <v>43555</v>
      </c>
      <c r="S45" s="430">
        <f t="shared" si="0"/>
        <v>3.125E-2</v>
      </c>
      <c r="T45" s="535" t="s">
        <v>962</v>
      </c>
      <c r="U45" s="439">
        <v>0.2</v>
      </c>
      <c r="V45" s="708" t="s">
        <v>719</v>
      </c>
      <c r="W45" s="81">
        <f t="shared" si="6"/>
        <v>0.1</v>
      </c>
      <c r="X45" s="442">
        <f t="shared" si="7"/>
        <v>2.0000000000000004E-2</v>
      </c>
      <c r="Y45" s="280">
        <f t="shared" si="3"/>
        <v>6.2500000000000003E-3</v>
      </c>
    </row>
    <row r="46" spans="2:25" ht="76.5" customHeight="1" x14ac:dyDescent="0.25">
      <c r="B46" s="484" t="s">
        <v>388</v>
      </c>
      <c r="C46" s="484" t="s">
        <v>389</v>
      </c>
      <c r="D46" s="55" t="s">
        <v>23</v>
      </c>
      <c r="E46" s="229" t="s">
        <v>543</v>
      </c>
      <c r="F46" s="55" t="s">
        <v>59</v>
      </c>
      <c r="G46" s="965"/>
      <c r="H46" s="55" t="s">
        <v>976</v>
      </c>
      <c r="I46" s="365">
        <v>6.25E-2</v>
      </c>
      <c r="J46" s="491">
        <v>15</v>
      </c>
      <c r="K46" s="1029"/>
      <c r="L46" s="1029"/>
      <c r="M46" s="438" t="s">
        <v>687</v>
      </c>
      <c r="N46" s="42">
        <v>2</v>
      </c>
      <c r="O46" s="495" t="s">
        <v>979</v>
      </c>
      <c r="P46" s="430">
        <v>0.5</v>
      </c>
      <c r="Q46" s="431">
        <v>43556</v>
      </c>
      <c r="R46" s="432">
        <v>43646</v>
      </c>
      <c r="S46" s="430">
        <f t="shared" si="0"/>
        <v>3.125E-2</v>
      </c>
      <c r="T46" s="535" t="s">
        <v>962</v>
      </c>
      <c r="U46" s="439">
        <v>0.15</v>
      </c>
      <c r="V46" s="708" t="s">
        <v>1304</v>
      </c>
      <c r="W46" s="81">
        <f t="shared" si="6"/>
        <v>7.4999999999999997E-2</v>
      </c>
      <c r="X46" s="442">
        <f t="shared" si="7"/>
        <v>1.125E-2</v>
      </c>
      <c r="Y46" s="280">
        <f t="shared" si="3"/>
        <v>4.6874999999999998E-3</v>
      </c>
    </row>
    <row r="47" spans="2:25" ht="76.5" customHeight="1" x14ac:dyDescent="0.25">
      <c r="B47" s="484" t="s">
        <v>388</v>
      </c>
      <c r="C47" s="484" t="s">
        <v>694</v>
      </c>
      <c r="D47" s="55" t="s">
        <v>23</v>
      </c>
      <c r="E47" s="229" t="s">
        <v>534</v>
      </c>
      <c r="F47" s="55" t="s">
        <v>59</v>
      </c>
      <c r="G47" s="965">
        <v>4</v>
      </c>
      <c r="H47" s="441" t="s">
        <v>695</v>
      </c>
      <c r="I47" s="365">
        <v>6.25E-2</v>
      </c>
      <c r="J47" s="491">
        <v>100</v>
      </c>
      <c r="K47" s="1028" t="s">
        <v>184</v>
      </c>
      <c r="L47" s="1028" t="s">
        <v>62</v>
      </c>
      <c r="M47" s="436" t="s">
        <v>293</v>
      </c>
      <c r="N47" s="42">
        <v>1</v>
      </c>
      <c r="O47" s="224" t="s">
        <v>980</v>
      </c>
      <c r="P47" s="430">
        <v>0.3</v>
      </c>
      <c r="Q47" s="432">
        <v>43466</v>
      </c>
      <c r="R47" s="432">
        <v>43646</v>
      </c>
      <c r="S47" s="430">
        <f t="shared" si="0"/>
        <v>1.8749999999999999E-2</v>
      </c>
      <c r="T47" s="540" t="s">
        <v>64</v>
      </c>
      <c r="U47" s="81">
        <v>1</v>
      </c>
      <c r="V47" s="708" t="s">
        <v>1236</v>
      </c>
      <c r="W47" s="81">
        <f t="shared" si="6"/>
        <v>0.3</v>
      </c>
      <c r="X47" s="442">
        <f t="shared" si="7"/>
        <v>0.3</v>
      </c>
      <c r="Y47" s="280">
        <f t="shared" si="3"/>
        <v>1.8749999999999999E-2</v>
      </c>
    </row>
    <row r="48" spans="2:25" ht="76.5" customHeight="1" x14ac:dyDescent="0.25">
      <c r="B48" s="484" t="s">
        <v>388</v>
      </c>
      <c r="C48" s="484" t="s">
        <v>694</v>
      </c>
      <c r="D48" s="55" t="s">
        <v>23</v>
      </c>
      <c r="E48" s="229" t="s">
        <v>534</v>
      </c>
      <c r="F48" s="55" t="s">
        <v>59</v>
      </c>
      <c r="G48" s="965"/>
      <c r="H48" s="441" t="s">
        <v>695</v>
      </c>
      <c r="I48" s="365">
        <v>6.25E-2</v>
      </c>
      <c r="J48" s="491">
        <v>100</v>
      </c>
      <c r="K48" s="1028"/>
      <c r="L48" s="1028"/>
      <c r="M48" s="436" t="s">
        <v>293</v>
      </c>
      <c r="N48" s="42">
        <v>2</v>
      </c>
      <c r="O48" s="224" t="s">
        <v>1237</v>
      </c>
      <c r="P48" s="430">
        <v>0.3</v>
      </c>
      <c r="Q48" s="432">
        <v>43646</v>
      </c>
      <c r="R48" s="432">
        <v>43738</v>
      </c>
      <c r="S48" s="430">
        <f t="shared" si="0"/>
        <v>1.8749999999999999E-2</v>
      </c>
      <c r="T48" s="540" t="s">
        <v>64</v>
      </c>
      <c r="U48" s="81">
        <v>1</v>
      </c>
      <c r="V48" s="708" t="s">
        <v>1238</v>
      </c>
      <c r="W48" s="81">
        <f t="shared" si="6"/>
        <v>0.3</v>
      </c>
      <c r="X48" s="442">
        <f t="shared" si="7"/>
        <v>0.3</v>
      </c>
      <c r="Y48" s="280">
        <f t="shared" si="3"/>
        <v>1.8749999999999999E-2</v>
      </c>
    </row>
    <row r="49" spans="2:25" ht="76.5" customHeight="1" x14ac:dyDescent="0.25">
      <c r="B49" s="484" t="s">
        <v>388</v>
      </c>
      <c r="C49" s="484" t="s">
        <v>694</v>
      </c>
      <c r="D49" s="55" t="s">
        <v>23</v>
      </c>
      <c r="E49" s="229" t="s">
        <v>534</v>
      </c>
      <c r="F49" s="55" t="s">
        <v>59</v>
      </c>
      <c r="G49" s="965"/>
      <c r="H49" s="441" t="s">
        <v>695</v>
      </c>
      <c r="I49" s="365">
        <v>6.25E-2</v>
      </c>
      <c r="J49" s="491">
        <v>100</v>
      </c>
      <c r="K49" s="1028"/>
      <c r="L49" s="1028"/>
      <c r="M49" s="436" t="s">
        <v>293</v>
      </c>
      <c r="N49" s="42">
        <v>3</v>
      </c>
      <c r="O49" s="224" t="s">
        <v>981</v>
      </c>
      <c r="P49" s="430">
        <v>0.4</v>
      </c>
      <c r="Q49" s="432">
        <v>43738</v>
      </c>
      <c r="R49" s="432">
        <v>43799</v>
      </c>
      <c r="S49" s="430">
        <f t="shared" si="0"/>
        <v>2.5000000000000001E-2</v>
      </c>
      <c r="T49" s="540" t="s">
        <v>64</v>
      </c>
      <c r="U49" s="292"/>
      <c r="V49" s="709"/>
      <c r="W49" s="81">
        <f t="shared" si="6"/>
        <v>0</v>
      </c>
      <c r="X49" s="442">
        <f t="shared" si="7"/>
        <v>0</v>
      </c>
      <c r="Y49" s="280">
        <f t="shared" si="3"/>
        <v>0</v>
      </c>
    </row>
    <row r="50" spans="2:25" ht="76.5" customHeight="1" x14ac:dyDescent="0.25">
      <c r="B50" s="484" t="s">
        <v>388</v>
      </c>
      <c r="C50" s="484" t="s">
        <v>694</v>
      </c>
      <c r="D50" s="55" t="s">
        <v>23</v>
      </c>
      <c r="E50" s="229" t="s">
        <v>534</v>
      </c>
      <c r="F50" s="55" t="s">
        <v>59</v>
      </c>
      <c r="G50" s="965">
        <v>5</v>
      </c>
      <c r="H50" s="441" t="s">
        <v>696</v>
      </c>
      <c r="I50" s="365">
        <v>6.25E-2</v>
      </c>
      <c r="J50" s="491">
        <v>100</v>
      </c>
      <c r="K50" s="1028" t="s">
        <v>184</v>
      </c>
      <c r="L50" s="1028" t="s">
        <v>697</v>
      </c>
      <c r="M50" s="436" t="s">
        <v>293</v>
      </c>
      <c r="N50" s="42">
        <v>1</v>
      </c>
      <c r="O50" s="224" t="s">
        <v>982</v>
      </c>
      <c r="P50" s="430">
        <v>0.25</v>
      </c>
      <c r="Q50" s="432">
        <v>43466</v>
      </c>
      <c r="R50" s="432">
        <v>43646</v>
      </c>
      <c r="S50" s="430">
        <f t="shared" si="0"/>
        <v>1.5625E-2</v>
      </c>
      <c r="T50" s="536" t="s">
        <v>983</v>
      </c>
      <c r="U50" s="437">
        <v>1</v>
      </c>
      <c r="V50" s="708" t="s">
        <v>1239</v>
      </c>
      <c r="W50" s="81">
        <f t="shared" si="6"/>
        <v>0.25</v>
      </c>
      <c r="X50" s="442">
        <f t="shared" si="7"/>
        <v>0.25</v>
      </c>
      <c r="Y50" s="280">
        <f t="shared" si="3"/>
        <v>1.5625E-2</v>
      </c>
    </row>
    <row r="51" spans="2:25" ht="76.5" customHeight="1" x14ac:dyDescent="0.25">
      <c r="B51" s="484" t="s">
        <v>388</v>
      </c>
      <c r="C51" s="484" t="s">
        <v>694</v>
      </c>
      <c r="D51" s="55" t="s">
        <v>23</v>
      </c>
      <c r="E51" s="229" t="s">
        <v>534</v>
      </c>
      <c r="F51" s="55" t="s">
        <v>59</v>
      </c>
      <c r="G51" s="965"/>
      <c r="H51" s="441" t="s">
        <v>696</v>
      </c>
      <c r="I51" s="365">
        <v>6.25E-2</v>
      </c>
      <c r="J51" s="491">
        <v>100</v>
      </c>
      <c r="K51" s="1028"/>
      <c r="L51" s="1028"/>
      <c r="M51" s="436" t="s">
        <v>293</v>
      </c>
      <c r="N51" s="42">
        <v>2</v>
      </c>
      <c r="O51" s="224" t="s">
        <v>984</v>
      </c>
      <c r="P51" s="430">
        <v>0.25</v>
      </c>
      <c r="Q51" s="432">
        <v>43646</v>
      </c>
      <c r="R51" s="432">
        <v>43738</v>
      </c>
      <c r="S51" s="430">
        <f t="shared" si="0"/>
        <v>1.5625E-2</v>
      </c>
      <c r="T51" s="536" t="s">
        <v>983</v>
      </c>
      <c r="U51" s="437">
        <v>1</v>
      </c>
      <c r="V51" s="708" t="s">
        <v>1240</v>
      </c>
      <c r="W51" s="81">
        <f t="shared" si="6"/>
        <v>0.25</v>
      </c>
      <c r="X51" s="442">
        <f t="shared" si="7"/>
        <v>0.25</v>
      </c>
      <c r="Y51" s="280">
        <f t="shared" si="3"/>
        <v>1.5625E-2</v>
      </c>
    </row>
    <row r="52" spans="2:25" ht="76.5" customHeight="1" x14ac:dyDescent="0.25">
      <c r="B52" s="484" t="s">
        <v>388</v>
      </c>
      <c r="C52" s="484" t="s">
        <v>694</v>
      </c>
      <c r="D52" s="55" t="s">
        <v>23</v>
      </c>
      <c r="E52" s="229" t="s">
        <v>534</v>
      </c>
      <c r="F52" s="55" t="s">
        <v>59</v>
      </c>
      <c r="G52" s="965"/>
      <c r="H52" s="441" t="s">
        <v>696</v>
      </c>
      <c r="I52" s="365">
        <v>6.25E-2</v>
      </c>
      <c r="J52" s="491">
        <v>100</v>
      </c>
      <c r="K52" s="1028"/>
      <c r="L52" s="1028"/>
      <c r="M52" s="436" t="s">
        <v>293</v>
      </c>
      <c r="N52" s="42">
        <v>3</v>
      </c>
      <c r="O52" s="224" t="s">
        <v>985</v>
      </c>
      <c r="P52" s="430">
        <v>0.25</v>
      </c>
      <c r="Q52" s="432">
        <v>43738</v>
      </c>
      <c r="R52" s="432">
        <v>43768</v>
      </c>
      <c r="S52" s="430">
        <f t="shared" si="0"/>
        <v>1.5625E-2</v>
      </c>
      <c r="T52" s="536" t="s">
        <v>983</v>
      </c>
      <c r="U52" s="292"/>
      <c r="V52" s="709"/>
      <c r="W52" s="81">
        <f t="shared" si="6"/>
        <v>0</v>
      </c>
      <c r="X52" s="442">
        <f t="shared" si="7"/>
        <v>0</v>
      </c>
      <c r="Y52" s="280">
        <f t="shared" si="3"/>
        <v>0</v>
      </c>
    </row>
    <row r="53" spans="2:25" ht="76.5" customHeight="1" x14ac:dyDescent="0.25">
      <c r="B53" s="484" t="s">
        <v>388</v>
      </c>
      <c r="C53" s="484" t="s">
        <v>694</v>
      </c>
      <c r="D53" s="55" t="s">
        <v>23</v>
      </c>
      <c r="E53" s="229" t="s">
        <v>534</v>
      </c>
      <c r="F53" s="55" t="s">
        <v>59</v>
      </c>
      <c r="G53" s="965"/>
      <c r="H53" s="441" t="s">
        <v>696</v>
      </c>
      <c r="I53" s="365">
        <v>6.25E-2</v>
      </c>
      <c r="J53" s="491">
        <v>100</v>
      </c>
      <c r="K53" s="1028"/>
      <c r="L53" s="1028"/>
      <c r="M53" s="436" t="s">
        <v>293</v>
      </c>
      <c r="N53" s="42">
        <v>4</v>
      </c>
      <c r="O53" s="224" t="s">
        <v>986</v>
      </c>
      <c r="P53" s="430">
        <v>0.25</v>
      </c>
      <c r="Q53" s="432">
        <v>43768</v>
      </c>
      <c r="R53" s="432">
        <v>43829</v>
      </c>
      <c r="S53" s="430">
        <f t="shared" si="0"/>
        <v>1.5625E-2</v>
      </c>
      <c r="T53" s="536" t="s">
        <v>983</v>
      </c>
      <c r="U53" s="292"/>
      <c r="V53" s="709"/>
      <c r="W53" s="81">
        <f t="shared" si="6"/>
        <v>0</v>
      </c>
      <c r="X53" s="442">
        <f t="shared" si="7"/>
        <v>0</v>
      </c>
      <c r="Y53" s="280">
        <f t="shared" si="3"/>
        <v>0</v>
      </c>
    </row>
    <row r="54" spans="2:25" ht="76.5" customHeight="1" x14ac:dyDescent="0.25">
      <c r="B54" s="484" t="s">
        <v>388</v>
      </c>
      <c r="C54" s="484" t="s">
        <v>694</v>
      </c>
      <c r="D54" s="55" t="s">
        <v>23</v>
      </c>
      <c r="E54" s="229" t="s">
        <v>534</v>
      </c>
      <c r="F54" s="55" t="s">
        <v>59</v>
      </c>
      <c r="G54" s="965">
        <v>6</v>
      </c>
      <c r="H54" s="441" t="s">
        <v>698</v>
      </c>
      <c r="I54" s="365">
        <v>6.25E-2</v>
      </c>
      <c r="J54" s="491">
        <v>100</v>
      </c>
      <c r="K54" s="1028" t="s">
        <v>184</v>
      </c>
      <c r="L54" s="1028" t="s">
        <v>699</v>
      </c>
      <c r="M54" s="436" t="s">
        <v>293</v>
      </c>
      <c r="N54" s="42">
        <v>1</v>
      </c>
      <c r="O54" s="224" t="s">
        <v>987</v>
      </c>
      <c r="P54" s="430">
        <v>0.33</v>
      </c>
      <c r="Q54" s="432">
        <v>43466</v>
      </c>
      <c r="R54" s="432">
        <v>43646</v>
      </c>
      <c r="S54" s="430">
        <f t="shared" si="0"/>
        <v>2.0625000000000001E-2</v>
      </c>
      <c r="T54" s="536" t="s">
        <v>983</v>
      </c>
      <c r="U54" s="437">
        <v>1</v>
      </c>
      <c r="V54" s="708" t="s">
        <v>1241</v>
      </c>
      <c r="W54" s="81">
        <f t="shared" si="6"/>
        <v>0.33</v>
      </c>
      <c r="X54" s="442">
        <f t="shared" si="7"/>
        <v>0.33</v>
      </c>
      <c r="Y54" s="280">
        <f t="shared" si="3"/>
        <v>2.0625000000000001E-2</v>
      </c>
    </row>
    <row r="55" spans="2:25" ht="76.5" customHeight="1" x14ac:dyDescent="0.25">
      <c r="B55" s="484" t="s">
        <v>388</v>
      </c>
      <c r="C55" s="484" t="s">
        <v>694</v>
      </c>
      <c r="D55" s="55" t="s">
        <v>23</v>
      </c>
      <c r="E55" s="229" t="s">
        <v>534</v>
      </c>
      <c r="F55" s="55" t="s">
        <v>59</v>
      </c>
      <c r="G55" s="965"/>
      <c r="H55" s="441" t="s">
        <v>698</v>
      </c>
      <c r="I55" s="365">
        <v>6.25E-2</v>
      </c>
      <c r="J55" s="491">
        <v>100</v>
      </c>
      <c r="K55" s="1028"/>
      <c r="L55" s="1028"/>
      <c r="M55" s="436" t="s">
        <v>293</v>
      </c>
      <c r="N55" s="42">
        <v>2</v>
      </c>
      <c r="O55" s="224" t="s">
        <v>988</v>
      </c>
      <c r="P55" s="430">
        <v>0.33</v>
      </c>
      <c r="Q55" s="432">
        <v>43646</v>
      </c>
      <c r="R55" s="432">
        <v>43768</v>
      </c>
      <c r="S55" s="430">
        <f t="shared" si="0"/>
        <v>2.0625000000000001E-2</v>
      </c>
      <c r="T55" s="536" t="s">
        <v>983</v>
      </c>
      <c r="U55" s="437">
        <v>1</v>
      </c>
      <c r="V55" s="708" t="s">
        <v>1242</v>
      </c>
      <c r="W55" s="81">
        <f t="shared" si="6"/>
        <v>0.33</v>
      </c>
      <c r="X55" s="442">
        <f t="shared" si="7"/>
        <v>0.33</v>
      </c>
      <c r="Y55" s="280">
        <f t="shared" si="3"/>
        <v>2.0625000000000001E-2</v>
      </c>
    </row>
    <row r="56" spans="2:25" ht="76.5" customHeight="1" x14ac:dyDescent="0.25">
      <c r="B56" s="484" t="s">
        <v>388</v>
      </c>
      <c r="C56" s="484" t="s">
        <v>694</v>
      </c>
      <c r="D56" s="55" t="s">
        <v>23</v>
      </c>
      <c r="E56" s="229" t="s">
        <v>534</v>
      </c>
      <c r="F56" s="55" t="s">
        <v>59</v>
      </c>
      <c r="G56" s="965"/>
      <c r="H56" s="441" t="s">
        <v>698</v>
      </c>
      <c r="I56" s="365">
        <v>6.25E-2</v>
      </c>
      <c r="J56" s="491">
        <v>100</v>
      </c>
      <c r="K56" s="1028"/>
      <c r="L56" s="1028"/>
      <c r="M56" s="436" t="s">
        <v>293</v>
      </c>
      <c r="N56" s="42">
        <v>3</v>
      </c>
      <c r="O56" s="224" t="s">
        <v>989</v>
      </c>
      <c r="P56" s="430">
        <v>0.34</v>
      </c>
      <c r="Q56" s="432">
        <v>43768</v>
      </c>
      <c r="R56" s="432">
        <v>43829</v>
      </c>
      <c r="S56" s="430">
        <f t="shared" si="0"/>
        <v>2.1250000000000002E-2</v>
      </c>
      <c r="T56" s="536" t="s">
        <v>983</v>
      </c>
      <c r="U56" s="292"/>
      <c r="V56" s="709"/>
      <c r="W56" s="81">
        <f t="shared" si="6"/>
        <v>0</v>
      </c>
      <c r="X56" s="442">
        <f t="shared" si="7"/>
        <v>0</v>
      </c>
      <c r="Y56" s="280">
        <f t="shared" si="3"/>
        <v>0</v>
      </c>
    </row>
    <row r="57" spans="2:25" ht="76.5" customHeight="1" x14ac:dyDescent="0.25">
      <c r="B57" s="355" t="s">
        <v>388</v>
      </c>
      <c r="C57" s="355" t="s">
        <v>694</v>
      </c>
      <c r="D57" s="55" t="s">
        <v>23</v>
      </c>
      <c r="E57" s="229" t="s">
        <v>534</v>
      </c>
      <c r="F57" s="55" t="s">
        <v>59</v>
      </c>
      <c r="G57" s="334">
        <v>7</v>
      </c>
      <c r="H57" s="16" t="s">
        <v>700</v>
      </c>
      <c r="I57" s="365">
        <v>6.25E-2</v>
      </c>
      <c r="J57" s="491">
        <v>100</v>
      </c>
      <c r="K57" s="434" t="s">
        <v>184</v>
      </c>
      <c r="L57" s="434" t="s">
        <v>294</v>
      </c>
      <c r="M57" s="543" t="s">
        <v>293</v>
      </c>
      <c r="N57" s="42">
        <v>1</v>
      </c>
      <c r="O57" s="333" t="s">
        <v>66</v>
      </c>
      <c r="P57" s="430">
        <v>1</v>
      </c>
      <c r="Q57" s="431">
        <v>43495</v>
      </c>
      <c r="R57" s="432">
        <v>43585</v>
      </c>
      <c r="S57" s="430">
        <f t="shared" si="0"/>
        <v>6.25E-2</v>
      </c>
      <c r="T57" s="540" t="s">
        <v>990</v>
      </c>
      <c r="U57" s="81">
        <v>1</v>
      </c>
      <c r="V57" s="710" t="s">
        <v>1243</v>
      </c>
      <c r="W57" s="81">
        <f t="shared" si="6"/>
        <v>1</v>
      </c>
      <c r="X57" s="442">
        <f t="shared" si="7"/>
        <v>1</v>
      </c>
      <c r="Y57" s="280">
        <f t="shared" si="3"/>
        <v>6.25E-2</v>
      </c>
    </row>
    <row r="58" spans="2:25" ht="76.5" customHeight="1" x14ac:dyDescent="0.25">
      <c r="B58" s="355" t="s">
        <v>388</v>
      </c>
      <c r="C58" s="355" t="s">
        <v>694</v>
      </c>
      <c r="D58" s="55" t="s">
        <v>23</v>
      </c>
      <c r="E58" s="229" t="s">
        <v>534</v>
      </c>
      <c r="F58" s="55" t="s">
        <v>59</v>
      </c>
      <c r="G58" s="334">
        <v>8</v>
      </c>
      <c r="H58" s="335" t="s">
        <v>701</v>
      </c>
      <c r="I58" s="365">
        <v>6.25E-2</v>
      </c>
      <c r="J58" s="491">
        <v>100</v>
      </c>
      <c r="K58" s="434" t="s">
        <v>184</v>
      </c>
      <c r="L58" s="434" t="s">
        <v>72</v>
      </c>
      <c r="M58" s="543" t="s">
        <v>293</v>
      </c>
      <c r="N58" s="42">
        <v>1</v>
      </c>
      <c r="O58" s="224" t="s">
        <v>66</v>
      </c>
      <c r="P58" s="430">
        <v>1</v>
      </c>
      <c r="Q58" s="431">
        <v>43466</v>
      </c>
      <c r="R58" s="452">
        <v>43554</v>
      </c>
      <c r="S58" s="430">
        <f t="shared" si="0"/>
        <v>6.25E-2</v>
      </c>
      <c r="T58" s="540" t="s">
        <v>74</v>
      </c>
      <c r="U58" s="81">
        <v>1</v>
      </c>
      <c r="V58" s="710" t="s">
        <v>1244</v>
      </c>
      <c r="W58" s="81">
        <f t="shared" si="6"/>
        <v>1</v>
      </c>
      <c r="X58" s="442">
        <f t="shared" si="7"/>
        <v>1</v>
      </c>
      <c r="Y58" s="280">
        <f t="shared" si="3"/>
        <v>6.25E-2</v>
      </c>
    </row>
    <row r="59" spans="2:25" ht="76.5" customHeight="1" x14ac:dyDescent="0.25">
      <c r="B59" s="355" t="s">
        <v>388</v>
      </c>
      <c r="C59" s="355" t="s">
        <v>694</v>
      </c>
      <c r="D59" s="55" t="s">
        <v>23</v>
      </c>
      <c r="E59" s="229" t="s">
        <v>534</v>
      </c>
      <c r="F59" s="55" t="s">
        <v>59</v>
      </c>
      <c r="G59" s="334">
        <v>9</v>
      </c>
      <c r="H59" s="16" t="s">
        <v>702</v>
      </c>
      <c r="I59" s="365">
        <v>6.25E-2</v>
      </c>
      <c r="J59" s="491">
        <v>100</v>
      </c>
      <c r="K59" s="434" t="s">
        <v>184</v>
      </c>
      <c r="L59" s="434" t="s">
        <v>81</v>
      </c>
      <c r="M59" s="543" t="s">
        <v>293</v>
      </c>
      <c r="N59" s="42">
        <v>1</v>
      </c>
      <c r="O59" s="333" t="s">
        <v>991</v>
      </c>
      <c r="P59" s="430">
        <v>1</v>
      </c>
      <c r="Q59" s="431">
        <v>43466</v>
      </c>
      <c r="R59" s="432">
        <v>43554</v>
      </c>
      <c r="S59" s="430">
        <f t="shared" si="0"/>
        <v>6.25E-2</v>
      </c>
      <c r="T59" s="540" t="s">
        <v>74</v>
      </c>
      <c r="U59" s="81">
        <v>1</v>
      </c>
      <c r="V59" s="716" t="s">
        <v>1245</v>
      </c>
      <c r="W59" s="81">
        <f t="shared" si="6"/>
        <v>1</v>
      </c>
      <c r="X59" s="442">
        <f t="shared" si="7"/>
        <v>1</v>
      </c>
      <c r="Y59" s="280">
        <f t="shared" si="3"/>
        <v>6.25E-2</v>
      </c>
    </row>
    <row r="60" spans="2:25" s="502" customFormat="1" ht="76.5" customHeight="1" x14ac:dyDescent="0.25">
      <c r="B60" s="503" t="s">
        <v>388</v>
      </c>
      <c r="C60" s="503" t="s">
        <v>694</v>
      </c>
      <c r="D60" s="55" t="s">
        <v>23</v>
      </c>
      <c r="E60" s="229" t="s">
        <v>534</v>
      </c>
      <c r="F60" s="56" t="s">
        <v>59</v>
      </c>
      <c r="G60" s="764">
        <v>10</v>
      </c>
      <c r="H60" s="499" t="s">
        <v>1247</v>
      </c>
      <c r="I60" s="365">
        <v>6.25E-2</v>
      </c>
      <c r="J60" s="498">
        <v>100</v>
      </c>
      <c r="K60" s="501" t="s">
        <v>184</v>
      </c>
      <c r="L60" s="496" t="s">
        <v>88</v>
      </c>
      <c r="M60" s="436" t="s">
        <v>293</v>
      </c>
      <c r="N60" s="42">
        <v>1</v>
      </c>
      <c r="O60" s="497" t="s">
        <v>1246</v>
      </c>
      <c r="P60" s="430">
        <v>0.5</v>
      </c>
      <c r="Q60" s="432">
        <v>43466</v>
      </c>
      <c r="R60" s="432">
        <v>43646</v>
      </c>
      <c r="S60" s="430">
        <f t="shared" si="0"/>
        <v>3.125E-2</v>
      </c>
      <c r="T60" s="540" t="s">
        <v>992</v>
      </c>
      <c r="U60" s="81">
        <v>1</v>
      </c>
      <c r="V60" s="708" t="s">
        <v>1250</v>
      </c>
      <c r="W60" s="81">
        <f>U60*P60</f>
        <v>0.5</v>
      </c>
      <c r="X60" s="442">
        <f>W60*U60</f>
        <v>0.5</v>
      </c>
      <c r="Y60" s="280">
        <f t="shared" si="3"/>
        <v>3.125E-2</v>
      </c>
    </row>
    <row r="61" spans="2:25" ht="76.5" customHeight="1" x14ac:dyDescent="0.25">
      <c r="B61" s="503" t="s">
        <v>388</v>
      </c>
      <c r="C61" s="503" t="s">
        <v>694</v>
      </c>
      <c r="D61" s="55" t="s">
        <v>23</v>
      </c>
      <c r="E61" s="229" t="s">
        <v>534</v>
      </c>
      <c r="F61" s="56" t="s">
        <v>59</v>
      </c>
      <c r="G61" s="765"/>
      <c r="H61" s="337" t="s">
        <v>1247</v>
      </c>
      <c r="I61" s="365">
        <v>6.25E-2</v>
      </c>
      <c r="J61" s="487">
        <v>100</v>
      </c>
      <c r="K61" s="501" t="s">
        <v>184</v>
      </c>
      <c r="L61" s="332" t="s">
        <v>88</v>
      </c>
      <c r="M61" s="436" t="s">
        <v>293</v>
      </c>
      <c r="N61" s="42">
        <v>2</v>
      </c>
      <c r="O61" s="333" t="s">
        <v>1248</v>
      </c>
      <c r="P61" s="430">
        <v>0.5</v>
      </c>
      <c r="Q61" s="521">
        <v>43617</v>
      </c>
      <c r="R61" s="521">
        <v>43829</v>
      </c>
      <c r="S61" s="430">
        <f t="shared" si="0"/>
        <v>3.125E-2</v>
      </c>
      <c r="T61" s="540" t="s">
        <v>992</v>
      </c>
      <c r="U61" s="81"/>
      <c r="V61" s="708"/>
      <c r="W61" s="81">
        <f t="shared" si="6"/>
        <v>0</v>
      </c>
      <c r="X61" s="442">
        <f t="shared" si="7"/>
        <v>0</v>
      </c>
      <c r="Y61" s="280">
        <f t="shared" si="3"/>
        <v>0</v>
      </c>
    </row>
    <row r="62" spans="2:25" ht="76.5" customHeight="1" x14ac:dyDescent="0.25">
      <c r="B62" s="484" t="s">
        <v>388</v>
      </c>
      <c r="C62" s="484" t="s">
        <v>390</v>
      </c>
      <c r="D62" s="55" t="s">
        <v>23</v>
      </c>
      <c r="E62" s="229" t="s">
        <v>534</v>
      </c>
      <c r="F62" s="55" t="s">
        <v>59</v>
      </c>
      <c r="G62" s="965">
        <v>11</v>
      </c>
      <c r="H62" s="441" t="s">
        <v>704</v>
      </c>
      <c r="I62" s="365">
        <v>6.25E-2</v>
      </c>
      <c r="J62" s="491">
        <v>100</v>
      </c>
      <c r="K62" s="1028" t="s">
        <v>184</v>
      </c>
      <c r="L62" s="1028" t="s">
        <v>705</v>
      </c>
      <c r="M62" s="436" t="s">
        <v>293</v>
      </c>
      <c r="N62" s="42">
        <v>1</v>
      </c>
      <c r="O62" s="441" t="s">
        <v>993</v>
      </c>
      <c r="P62" s="430">
        <v>0.25</v>
      </c>
      <c r="Q62" s="432">
        <v>43466</v>
      </c>
      <c r="R62" s="432">
        <v>43646</v>
      </c>
      <c r="S62" s="430">
        <f t="shared" si="0"/>
        <v>1.5625E-2</v>
      </c>
      <c r="T62" s="540" t="s">
        <v>994</v>
      </c>
      <c r="U62" s="81">
        <v>1</v>
      </c>
      <c r="V62" s="708" t="s">
        <v>1249</v>
      </c>
      <c r="W62" s="81">
        <f t="shared" si="6"/>
        <v>0.25</v>
      </c>
      <c r="X62" s="442">
        <f t="shared" si="7"/>
        <v>0.25</v>
      </c>
      <c r="Y62" s="280">
        <f t="shared" si="3"/>
        <v>1.5625E-2</v>
      </c>
    </row>
    <row r="63" spans="2:25" ht="76.5" customHeight="1" x14ac:dyDescent="0.25">
      <c r="B63" s="484" t="s">
        <v>388</v>
      </c>
      <c r="C63" s="484" t="s">
        <v>390</v>
      </c>
      <c r="D63" s="55" t="s">
        <v>23</v>
      </c>
      <c r="E63" s="229" t="s">
        <v>534</v>
      </c>
      <c r="F63" s="55" t="s">
        <v>59</v>
      </c>
      <c r="G63" s="965"/>
      <c r="H63" s="441" t="s">
        <v>704</v>
      </c>
      <c r="I63" s="365">
        <v>6.25E-2</v>
      </c>
      <c r="J63" s="491">
        <v>100</v>
      </c>
      <c r="K63" s="1028"/>
      <c r="L63" s="1028"/>
      <c r="M63" s="436" t="s">
        <v>293</v>
      </c>
      <c r="N63" s="42">
        <v>2</v>
      </c>
      <c r="O63" s="441" t="s">
        <v>995</v>
      </c>
      <c r="P63" s="430">
        <v>0.25</v>
      </c>
      <c r="Q63" s="432">
        <v>43466</v>
      </c>
      <c r="R63" s="432">
        <v>43646</v>
      </c>
      <c r="S63" s="430">
        <f t="shared" si="0"/>
        <v>1.5625E-2</v>
      </c>
      <c r="T63" s="536" t="s">
        <v>68</v>
      </c>
      <c r="U63" s="81">
        <v>1</v>
      </c>
      <c r="V63" s="708" t="s">
        <v>1251</v>
      </c>
      <c r="W63" s="81">
        <f t="shared" si="6"/>
        <v>0.25</v>
      </c>
      <c r="X63" s="442">
        <f t="shared" si="7"/>
        <v>0.25</v>
      </c>
      <c r="Y63" s="280">
        <f t="shared" si="3"/>
        <v>1.5625E-2</v>
      </c>
    </row>
    <row r="64" spans="2:25" ht="76.5" customHeight="1" x14ac:dyDescent="0.25">
      <c r="B64" s="484" t="s">
        <v>388</v>
      </c>
      <c r="C64" s="484" t="s">
        <v>390</v>
      </c>
      <c r="D64" s="55" t="s">
        <v>23</v>
      </c>
      <c r="E64" s="229" t="s">
        <v>534</v>
      </c>
      <c r="F64" s="55" t="s">
        <v>59</v>
      </c>
      <c r="G64" s="965"/>
      <c r="H64" s="441" t="s">
        <v>704</v>
      </c>
      <c r="I64" s="365">
        <v>6.25E-2</v>
      </c>
      <c r="J64" s="491">
        <v>100</v>
      </c>
      <c r="K64" s="1028"/>
      <c r="L64" s="1028"/>
      <c r="M64" s="436" t="s">
        <v>293</v>
      </c>
      <c r="N64" s="42">
        <v>3</v>
      </c>
      <c r="O64" s="441" t="s">
        <v>996</v>
      </c>
      <c r="P64" s="430">
        <v>0.25</v>
      </c>
      <c r="Q64" s="432">
        <v>43466</v>
      </c>
      <c r="R64" s="432">
        <v>43738</v>
      </c>
      <c r="S64" s="430">
        <f t="shared" si="0"/>
        <v>1.5625E-2</v>
      </c>
      <c r="T64" s="536" t="s">
        <v>68</v>
      </c>
      <c r="U64" s="292"/>
      <c r="V64" s="709"/>
      <c r="W64" s="81">
        <f t="shared" si="6"/>
        <v>0</v>
      </c>
      <c r="X64" s="442">
        <f t="shared" si="7"/>
        <v>0</v>
      </c>
      <c r="Y64" s="280">
        <f t="shared" si="3"/>
        <v>0</v>
      </c>
    </row>
    <row r="65" spans="2:25" ht="76.5" customHeight="1" x14ac:dyDescent="0.25">
      <c r="B65" s="484" t="s">
        <v>388</v>
      </c>
      <c r="C65" s="484" t="s">
        <v>390</v>
      </c>
      <c r="D65" s="55" t="s">
        <v>23</v>
      </c>
      <c r="E65" s="229" t="s">
        <v>534</v>
      </c>
      <c r="F65" s="55" t="s">
        <v>59</v>
      </c>
      <c r="G65" s="965"/>
      <c r="H65" s="441" t="s">
        <v>704</v>
      </c>
      <c r="I65" s="365">
        <v>6.25E-2</v>
      </c>
      <c r="J65" s="491">
        <v>100</v>
      </c>
      <c r="K65" s="1028"/>
      <c r="L65" s="1028"/>
      <c r="M65" s="436" t="s">
        <v>293</v>
      </c>
      <c r="N65" s="42">
        <v>4</v>
      </c>
      <c r="O65" s="441" t="s">
        <v>997</v>
      </c>
      <c r="P65" s="430">
        <v>0.25</v>
      </c>
      <c r="Q65" s="432">
        <v>43556</v>
      </c>
      <c r="R65" s="432">
        <v>43829</v>
      </c>
      <c r="S65" s="430">
        <f t="shared" si="0"/>
        <v>1.5625E-2</v>
      </c>
      <c r="T65" s="536" t="s">
        <v>68</v>
      </c>
      <c r="U65" s="292"/>
      <c r="V65" s="709"/>
      <c r="W65" s="81">
        <f t="shared" si="6"/>
        <v>0</v>
      </c>
      <c r="X65" s="442">
        <f t="shared" si="7"/>
        <v>0</v>
      </c>
      <c r="Y65" s="280">
        <f t="shared" si="3"/>
        <v>0</v>
      </c>
    </row>
    <row r="66" spans="2:25" ht="76.5" customHeight="1" x14ac:dyDescent="0.25">
      <c r="B66" s="355" t="s">
        <v>388</v>
      </c>
      <c r="C66" s="355" t="s">
        <v>389</v>
      </c>
      <c r="D66" s="16" t="s">
        <v>23</v>
      </c>
      <c r="E66" s="229" t="s">
        <v>535</v>
      </c>
      <c r="F66" s="55" t="s">
        <v>59</v>
      </c>
      <c r="G66" s="500">
        <v>12</v>
      </c>
      <c r="H66" s="16" t="s">
        <v>706</v>
      </c>
      <c r="I66" s="365">
        <v>6.25E-2</v>
      </c>
      <c r="J66" s="491">
        <v>1</v>
      </c>
      <c r="K66" s="434" t="s">
        <v>100</v>
      </c>
      <c r="L66" s="434" t="s">
        <v>1254</v>
      </c>
      <c r="M66" s="436" t="s">
        <v>708</v>
      </c>
      <c r="N66" s="42">
        <v>1</v>
      </c>
      <c r="O66" s="333" t="s">
        <v>1252</v>
      </c>
      <c r="P66" s="430">
        <v>1</v>
      </c>
      <c r="Q66" s="431">
        <v>43466</v>
      </c>
      <c r="R66" s="432">
        <v>43585</v>
      </c>
      <c r="S66" s="430">
        <f t="shared" si="0"/>
        <v>6.25E-2</v>
      </c>
      <c r="T66" s="536" t="s">
        <v>998</v>
      </c>
      <c r="U66" s="540">
        <v>1</v>
      </c>
      <c r="V66" s="708" t="s">
        <v>1253</v>
      </c>
      <c r="W66" s="81">
        <f t="shared" si="6"/>
        <v>1</v>
      </c>
      <c r="X66" s="442">
        <f t="shared" si="7"/>
        <v>1</v>
      </c>
      <c r="Y66" s="280">
        <f t="shared" si="3"/>
        <v>6.25E-2</v>
      </c>
    </row>
    <row r="67" spans="2:25" ht="76.5" customHeight="1" x14ac:dyDescent="0.25">
      <c r="B67" s="355" t="s">
        <v>388</v>
      </c>
      <c r="C67" s="355" t="s">
        <v>389</v>
      </c>
      <c r="D67" s="16" t="s">
        <v>23</v>
      </c>
      <c r="E67" s="229" t="s">
        <v>535</v>
      </c>
      <c r="F67" s="55" t="s">
        <v>59</v>
      </c>
      <c r="G67" s="334">
        <v>13</v>
      </c>
      <c r="H67" s="16" t="s">
        <v>709</v>
      </c>
      <c r="I67" s="365">
        <v>6.25E-2</v>
      </c>
      <c r="J67" s="491">
        <v>100</v>
      </c>
      <c r="K67" s="434" t="s">
        <v>284</v>
      </c>
      <c r="L67" s="434" t="s">
        <v>1255</v>
      </c>
      <c r="M67" s="436" t="s">
        <v>708</v>
      </c>
      <c r="N67" s="42">
        <v>1</v>
      </c>
      <c r="O67" s="333" t="s">
        <v>1256</v>
      </c>
      <c r="P67" s="430">
        <v>1</v>
      </c>
      <c r="Q67" s="431">
        <v>43466</v>
      </c>
      <c r="R67" s="432">
        <v>43585</v>
      </c>
      <c r="S67" s="430">
        <f t="shared" si="0"/>
        <v>6.25E-2</v>
      </c>
      <c r="T67" s="536" t="s">
        <v>998</v>
      </c>
      <c r="U67" s="538">
        <v>1</v>
      </c>
      <c r="V67" s="710" t="s">
        <v>869</v>
      </c>
      <c r="W67" s="81">
        <f t="shared" si="6"/>
        <v>1</v>
      </c>
      <c r="X67" s="442">
        <f t="shared" si="7"/>
        <v>1</v>
      </c>
      <c r="Y67" s="280">
        <f t="shared" si="3"/>
        <v>6.25E-2</v>
      </c>
    </row>
    <row r="68" spans="2:25" ht="76.5" customHeight="1" x14ac:dyDescent="0.25">
      <c r="B68" s="484" t="s">
        <v>388</v>
      </c>
      <c r="C68" s="484" t="s">
        <v>389</v>
      </c>
      <c r="D68" s="55" t="s">
        <v>23</v>
      </c>
      <c r="E68" s="229" t="s">
        <v>535</v>
      </c>
      <c r="F68" s="55" t="s">
        <v>59</v>
      </c>
      <c r="G68" s="965">
        <v>14</v>
      </c>
      <c r="H68" s="55" t="s">
        <v>711</v>
      </c>
      <c r="I68" s="365">
        <v>6.25E-2</v>
      </c>
      <c r="J68" s="491">
        <v>2</v>
      </c>
      <c r="K68" s="1028" t="s">
        <v>712</v>
      </c>
      <c r="L68" s="1028" t="s">
        <v>1257</v>
      </c>
      <c r="M68" s="436" t="s">
        <v>708</v>
      </c>
      <c r="N68" s="42">
        <v>1</v>
      </c>
      <c r="O68" s="495" t="s">
        <v>1258</v>
      </c>
      <c r="P68" s="430">
        <v>0.5</v>
      </c>
      <c r="Q68" s="431">
        <v>43466</v>
      </c>
      <c r="R68" s="432">
        <v>43615</v>
      </c>
      <c r="S68" s="430">
        <f t="shared" si="0"/>
        <v>3.125E-2</v>
      </c>
      <c r="T68" s="536" t="s">
        <v>998</v>
      </c>
      <c r="U68" s="437">
        <v>1</v>
      </c>
      <c r="V68" s="708" t="s">
        <v>1260</v>
      </c>
      <c r="W68" s="81">
        <f t="shared" si="6"/>
        <v>0.5</v>
      </c>
      <c r="X68" s="442">
        <f t="shared" si="7"/>
        <v>0.5</v>
      </c>
      <c r="Y68" s="280">
        <f t="shared" si="3"/>
        <v>3.125E-2</v>
      </c>
    </row>
    <row r="69" spans="2:25" ht="76.5" customHeight="1" x14ac:dyDescent="0.25">
      <c r="B69" s="484" t="s">
        <v>388</v>
      </c>
      <c r="C69" s="484" t="s">
        <v>389</v>
      </c>
      <c r="D69" s="55" t="s">
        <v>23</v>
      </c>
      <c r="E69" s="229" t="s">
        <v>535</v>
      </c>
      <c r="F69" s="55" t="s">
        <v>59</v>
      </c>
      <c r="G69" s="965"/>
      <c r="H69" s="55" t="s">
        <v>711</v>
      </c>
      <c r="I69" s="365">
        <v>6.25E-2</v>
      </c>
      <c r="J69" s="491">
        <v>2</v>
      </c>
      <c r="K69" s="1028" t="s">
        <v>712</v>
      </c>
      <c r="L69" s="1028"/>
      <c r="M69" s="436" t="s">
        <v>708</v>
      </c>
      <c r="N69" s="42">
        <v>2</v>
      </c>
      <c r="O69" s="495" t="s">
        <v>1259</v>
      </c>
      <c r="P69" s="430">
        <v>0.5</v>
      </c>
      <c r="Q69" s="431">
        <v>43617</v>
      </c>
      <c r="R69" s="432">
        <v>43707</v>
      </c>
      <c r="S69" s="430">
        <f t="shared" si="0"/>
        <v>3.125E-2</v>
      </c>
      <c r="T69" s="536" t="s">
        <v>998</v>
      </c>
      <c r="U69" s="81">
        <v>0.1</v>
      </c>
      <c r="V69" s="707" t="s">
        <v>1261</v>
      </c>
      <c r="W69" s="81">
        <f t="shared" si="6"/>
        <v>0.05</v>
      </c>
      <c r="X69" s="442">
        <f t="shared" si="7"/>
        <v>5.000000000000001E-3</v>
      </c>
      <c r="Y69" s="280">
        <f t="shared" si="3"/>
        <v>3.1250000000000002E-3</v>
      </c>
    </row>
    <row r="70" spans="2:25" ht="76.5" customHeight="1" x14ac:dyDescent="0.25">
      <c r="B70" s="484" t="s">
        <v>388</v>
      </c>
      <c r="C70" s="484" t="s">
        <v>389</v>
      </c>
      <c r="D70" s="55" t="s">
        <v>23</v>
      </c>
      <c r="E70" s="229" t="s">
        <v>535</v>
      </c>
      <c r="F70" s="55" t="s">
        <v>59</v>
      </c>
      <c r="G70" s="965">
        <v>15</v>
      </c>
      <c r="H70" s="55" t="s">
        <v>714</v>
      </c>
      <c r="I70" s="365">
        <v>6.25E-2</v>
      </c>
      <c r="J70" s="491">
        <v>100</v>
      </c>
      <c r="K70" s="1028" t="s">
        <v>284</v>
      </c>
      <c r="L70" s="1028" t="s">
        <v>715</v>
      </c>
      <c r="M70" s="436" t="s">
        <v>708</v>
      </c>
      <c r="N70" s="42">
        <v>1</v>
      </c>
      <c r="O70" s="333" t="s">
        <v>999</v>
      </c>
      <c r="P70" s="430">
        <v>0.25</v>
      </c>
      <c r="Q70" s="431">
        <v>43466</v>
      </c>
      <c r="R70" s="432">
        <v>43554</v>
      </c>
      <c r="S70" s="430">
        <f t="shared" ref="S70:S133" si="8">+I70*P70</f>
        <v>1.5625E-2</v>
      </c>
      <c r="T70" s="536" t="s">
        <v>998</v>
      </c>
      <c r="U70" s="437">
        <v>1</v>
      </c>
      <c r="V70" s="708" t="s">
        <v>1342</v>
      </c>
      <c r="W70" s="81">
        <f t="shared" si="6"/>
        <v>0.25</v>
      </c>
      <c r="X70" s="442">
        <f t="shared" si="7"/>
        <v>0.25</v>
      </c>
      <c r="Y70" s="280">
        <f t="shared" ref="Y70:Y133" si="9">W70*I70</f>
        <v>1.5625E-2</v>
      </c>
    </row>
    <row r="71" spans="2:25" ht="76.5" customHeight="1" x14ac:dyDescent="0.25">
      <c r="B71" s="484" t="s">
        <v>388</v>
      </c>
      <c r="C71" s="484" t="s">
        <v>389</v>
      </c>
      <c r="D71" s="55" t="s">
        <v>23</v>
      </c>
      <c r="E71" s="229" t="s">
        <v>535</v>
      </c>
      <c r="F71" s="55" t="s">
        <v>59</v>
      </c>
      <c r="G71" s="965"/>
      <c r="H71" s="55" t="s">
        <v>714</v>
      </c>
      <c r="I71" s="365">
        <v>6.25E-2</v>
      </c>
      <c r="J71" s="491">
        <v>100</v>
      </c>
      <c r="K71" s="1028" t="s">
        <v>712</v>
      </c>
      <c r="L71" s="1028"/>
      <c r="M71" s="436" t="s">
        <v>708</v>
      </c>
      <c r="N71" s="42">
        <v>2</v>
      </c>
      <c r="O71" s="333" t="s">
        <v>1000</v>
      </c>
      <c r="P71" s="430">
        <v>0.35</v>
      </c>
      <c r="Q71" s="431">
        <v>43556</v>
      </c>
      <c r="R71" s="432">
        <v>43615</v>
      </c>
      <c r="S71" s="430">
        <f t="shared" si="8"/>
        <v>2.1874999999999999E-2</v>
      </c>
      <c r="T71" s="536" t="s">
        <v>998</v>
      </c>
      <c r="U71" s="433">
        <v>1</v>
      </c>
      <c r="V71" s="707" t="s">
        <v>1262</v>
      </c>
      <c r="W71" s="81">
        <f t="shared" si="6"/>
        <v>0.35</v>
      </c>
      <c r="X71" s="442">
        <f t="shared" si="7"/>
        <v>0.35</v>
      </c>
      <c r="Y71" s="280">
        <f t="shared" si="9"/>
        <v>2.1874999999999999E-2</v>
      </c>
    </row>
    <row r="72" spans="2:25" ht="76.5" customHeight="1" x14ac:dyDescent="0.25">
      <c r="B72" s="484" t="s">
        <v>388</v>
      </c>
      <c r="C72" s="484" t="s">
        <v>389</v>
      </c>
      <c r="D72" s="55" t="s">
        <v>23</v>
      </c>
      <c r="E72" s="229" t="s">
        <v>535</v>
      </c>
      <c r="F72" s="55" t="s">
        <v>59</v>
      </c>
      <c r="G72" s="965"/>
      <c r="H72" s="55" t="s">
        <v>714</v>
      </c>
      <c r="I72" s="365">
        <v>6.25E-2</v>
      </c>
      <c r="J72" s="491">
        <v>100</v>
      </c>
      <c r="K72" s="1028" t="s">
        <v>712</v>
      </c>
      <c r="L72" s="1028"/>
      <c r="M72" s="436" t="s">
        <v>708</v>
      </c>
      <c r="N72" s="42">
        <v>3</v>
      </c>
      <c r="O72" s="333" t="s">
        <v>1001</v>
      </c>
      <c r="P72" s="430">
        <v>0.25</v>
      </c>
      <c r="Q72" s="431">
        <v>43617</v>
      </c>
      <c r="R72" s="432">
        <v>43646</v>
      </c>
      <c r="S72" s="430">
        <f t="shared" si="8"/>
        <v>1.5625E-2</v>
      </c>
      <c r="T72" s="536" t="s">
        <v>998</v>
      </c>
      <c r="U72" s="433">
        <v>1</v>
      </c>
      <c r="V72" s="707" t="s">
        <v>1263</v>
      </c>
      <c r="W72" s="81">
        <f t="shared" si="6"/>
        <v>0.25</v>
      </c>
      <c r="X72" s="442">
        <f t="shared" si="7"/>
        <v>0.25</v>
      </c>
      <c r="Y72" s="280">
        <f t="shared" si="9"/>
        <v>1.5625E-2</v>
      </c>
    </row>
    <row r="73" spans="2:25" ht="76.5" customHeight="1" x14ac:dyDescent="0.25">
      <c r="B73" s="484" t="s">
        <v>388</v>
      </c>
      <c r="C73" s="484" t="s">
        <v>389</v>
      </c>
      <c r="D73" s="55" t="s">
        <v>23</v>
      </c>
      <c r="E73" s="229" t="s">
        <v>535</v>
      </c>
      <c r="F73" s="55" t="s">
        <v>59</v>
      </c>
      <c r="G73" s="965"/>
      <c r="H73" s="55" t="s">
        <v>714</v>
      </c>
      <c r="I73" s="365">
        <v>6.25E-2</v>
      </c>
      <c r="J73" s="491">
        <v>100</v>
      </c>
      <c r="K73" s="1028"/>
      <c r="L73" s="1028"/>
      <c r="M73" s="436" t="s">
        <v>708</v>
      </c>
      <c r="N73" s="42">
        <v>4</v>
      </c>
      <c r="O73" s="333" t="s">
        <v>1002</v>
      </c>
      <c r="P73" s="430">
        <v>0.15</v>
      </c>
      <c r="Q73" s="431">
        <v>43647</v>
      </c>
      <c r="R73" s="432">
        <v>43738</v>
      </c>
      <c r="S73" s="430">
        <f t="shared" si="8"/>
        <v>9.3749999999999997E-3</v>
      </c>
      <c r="T73" s="536" t="s">
        <v>998</v>
      </c>
      <c r="U73" s="292"/>
      <c r="V73" s="709"/>
      <c r="W73" s="81">
        <f t="shared" si="6"/>
        <v>0</v>
      </c>
      <c r="X73" s="442">
        <f t="shared" si="7"/>
        <v>0</v>
      </c>
      <c r="Y73" s="280">
        <f t="shared" si="9"/>
        <v>0</v>
      </c>
    </row>
    <row r="74" spans="2:25" ht="76.5" customHeight="1" x14ac:dyDescent="0.25">
      <c r="B74" s="484" t="s">
        <v>388</v>
      </c>
      <c r="C74" s="484" t="s">
        <v>389</v>
      </c>
      <c r="D74" s="55" t="s">
        <v>23</v>
      </c>
      <c r="E74" s="229" t="s">
        <v>535</v>
      </c>
      <c r="F74" s="55" t="s">
        <v>59</v>
      </c>
      <c r="G74" s="965">
        <v>16</v>
      </c>
      <c r="H74" s="55" t="s">
        <v>716</v>
      </c>
      <c r="I74" s="365">
        <v>6.25E-2</v>
      </c>
      <c r="J74" s="491">
        <v>100</v>
      </c>
      <c r="K74" s="1028" t="s">
        <v>184</v>
      </c>
      <c r="L74" s="1028" t="s">
        <v>1333</v>
      </c>
      <c r="M74" s="436" t="s">
        <v>718</v>
      </c>
      <c r="N74" s="42">
        <v>1</v>
      </c>
      <c r="O74" s="495" t="s">
        <v>1264</v>
      </c>
      <c r="P74" s="430">
        <v>0.25</v>
      </c>
      <c r="Q74" s="431">
        <v>43466</v>
      </c>
      <c r="R74" s="432">
        <v>43555</v>
      </c>
      <c r="S74" s="430">
        <f t="shared" si="8"/>
        <v>1.5625E-2</v>
      </c>
      <c r="T74" s="536" t="s">
        <v>1334</v>
      </c>
      <c r="U74" s="437">
        <v>1</v>
      </c>
      <c r="V74" s="708" t="s">
        <v>1331</v>
      </c>
      <c r="W74" s="81">
        <f t="shared" si="6"/>
        <v>0.25</v>
      </c>
      <c r="X74" s="442">
        <f t="shared" si="7"/>
        <v>0.25</v>
      </c>
      <c r="Y74" s="280">
        <f t="shared" si="9"/>
        <v>1.5625E-2</v>
      </c>
    </row>
    <row r="75" spans="2:25" ht="76.5" customHeight="1" x14ac:dyDescent="0.25">
      <c r="B75" s="484" t="s">
        <v>388</v>
      </c>
      <c r="C75" s="484" t="s">
        <v>389</v>
      </c>
      <c r="D75" s="55" t="s">
        <v>23</v>
      </c>
      <c r="E75" s="229" t="s">
        <v>535</v>
      </c>
      <c r="F75" s="55" t="s">
        <v>59</v>
      </c>
      <c r="G75" s="965"/>
      <c r="H75" s="55" t="s">
        <v>716</v>
      </c>
      <c r="I75" s="365">
        <v>6.25E-2</v>
      </c>
      <c r="J75" s="491">
        <v>100</v>
      </c>
      <c r="K75" s="1028"/>
      <c r="L75" s="1028"/>
      <c r="M75" s="436" t="s">
        <v>718</v>
      </c>
      <c r="N75" s="42">
        <v>2</v>
      </c>
      <c r="O75" s="495" t="s">
        <v>1265</v>
      </c>
      <c r="P75" s="430">
        <v>0.25</v>
      </c>
      <c r="Q75" s="431">
        <v>43556</v>
      </c>
      <c r="R75" s="432">
        <v>43646</v>
      </c>
      <c r="S75" s="430">
        <f t="shared" si="8"/>
        <v>1.5625E-2</v>
      </c>
      <c r="T75" s="536" t="s">
        <v>1334</v>
      </c>
      <c r="U75" s="437">
        <v>1</v>
      </c>
      <c r="V75" s="708" t="s">
        <v>1332</v>
      </c>
      <c r="W75" s="81">
        <f t="shared" si="6"/>
        <v>0.25</v>
      </c>
      <c r="X75" s="442">
        <f t="shared" si="7"/>
        <v>0.25</v>
      </c>
      <c r="Y75" s="280">
        <f t="shared" si="9"/>
        <v>1.5625E-2</v>
      </c>
    </row>
    <row r="76" spans="2:25" ht="76.5" customHeight="1" x14ac:dyDescent="0.25">
      <c r="B76" s="484" t="s">
        <v>388</v>
      </c>
      <c r="C76" s="484" t="s">
        <v>389</v>
      </c>
      <c r="D76" s="55" t="s">
        <v>23</v>
      </c>
      <c r="E76" s="229" t="s">
        <v>535</v>
      </c>
      <c r="F76" s="55" t="s">
        <v>59</v>
      </c>
      <c r="G76" s="965"/>
      <c r="H76" s="55" t="s">
        <v>716</v>
      </c>
      <c r="I76" s="365">
        <v>6.25E-2</v>
      </c>
      <c r="J76" s="491">
        <v>100</v>
      </c>
      <c r="K76" s="1028"/>
      <c r="L76" s="1028"/>
      <c r="M76" s="436" t="s">
        <v>718</v>
      </c>
      <c r="N76" s="42">
        <v>3</v>
      </c>
      <c r="O76" s="495" t="s">
        <v>1266</v>
      </c>
      <c r="P76" s="430">
        <v>0.25</v>
      </c>
      <c r="Q76" s="431">
        <v>43647</v>
      </c>
      <c r="R76" s="432">
        <v>43738</v>
      </c>
      <c r="S76" s="430">
        <f t="shared" si="8"/>
        <v>1.5625E-2</v>
      </c>
      <c r="T76" s="536" t="s">
        <v>1334</v>
      </c>
      <c r="U76" s="292"/>
      <c r="V76" s="709"/>
      <c r="W76" s="81">
        <f t="shared" si="6"/>
        <v>0</v>
      </c>
      <c r="X76" s="442">
        <f t="shared" si="7"/>
        <v>0</v>
      </c>
      <c r="Y76" s="280">
        <f t="shared" si="9"/>
        <v>0</v>
      </c>
    </row>
    <row r="77" spans="2:25" ht="76.5" customHeight="1" x14ac:dyDescent="0.25">
      <c r="B77" s="484" t="s">
        <v>388</v>
      </c>
      <c r="C77" s="484" t="s">
        <v>389</v>
      </c>
      <c r="D77" s="55" t="s">
        <v>23</v>
      </c>
      <c r="E77" s="229" t="s">
        <v>535</v>
      </c>
      <c r="F77" s="55" t="s">
        <v>59</v>
      </c>
      <c r="G77" s="965"/>
      <c r="H77" s="55" t="s">
        <v>716</v>
      </c>
      <c r="I77" s="365">
        <v>6.25E-2</v>
      </c>
      <c r="J77" s="491">
        <v>100</v>
      </c>
      <c r="K77" s="1028"/>
      <c r="L77" s="1028"/>
      <c r="M77" s="436" t="s">
        <v>718</v>
      </c>
      <c r="N77" s="42">
        <v>4</v>
      </c>
      <c r="O77" s="495" t="s">
        <v>1267</v>
      </c>
      <c r="P77" s="430">
        <v>0.25</v>
      </c>
      <c r="Q77" s="431">
        <v>43739</v>
      </c>
      <c r="R77" s="432">
        <v>43830</v>
      </c>
      <c r="S77" s="430">
        <f t="shared" si="8"/>
        <v>1.5625E-2</v>
      </c>
      <c r="T77" s="536" t="s">
        <v>1334</v>
      </c>
      <c r="U77" s="292"/>
      <c r="V77" s="709"/>
      <c r="W77" s="81">
        <f t="shared" ref="W77:W86" si="10">U77*P77</f>
        <v>0</v>
      </c>
      <c r="X77" s="442">
        <f t="shared" ref="X77:X86" si="11">W77*U77</f>
        <v>0</v>
      </c>
      <c r="Y77" s="280">
        <f t="shared" si="9"/>
        <v>0</v>
      </c>
    </row>
    <row r="78" spans="2:25" ht="76.5" customHeight="1" x14ac:dyDescent="0.25">
      <c r="B78" s="484" t="s">
        <v>388</v>
      </c>
      <c r="C78" s="484" t="s">
        <v>389</v>
      </c>
      <c r="D78" s="55" t="s">
        <v>23</v>
      </c>
      <c r="E78" s="229" t="s">
        <v>536</v>
      </c>
      <c r="F78" s="55" t="s">
        <v>115</v>
      </c>
      <c r="G78" s="965">
        <v>1</v>
      </c>
      <c r="H78" s="55" t="s">
        <v>1003</v>
      </c>
      <c r="I78" s="488">
        <v>0.25</v>
      </c>
      <c r="J78" s="488">
        <v>1</v>
      </c>
      <c r="K78" s="1028" t="s">
        <v>184</v>
      </c>
      <c r="L78" s="1028" t="s">
        <v>722</v>
      </c>
      <c r="M78" s="436" t="s">
        <v>117</v>
      </c>
      <c r="N78" s="42">
        <v>1</v>
      </c>
      <c r="O78" s="333" t="s">
        <v>1004</v>
      </c>
      <c r="P78" s="430">
        <v>0.8</v>
      </c>
      <c r="Q78" s="432">
        <v>43466</v>
      </c>
      <c r="R78" s="432">
        <v>43554</v>
      </c>
      <c r="S78" s="430">
        <f t="shared" si="8"/>
        <v>0.2</v>
      </c>
      <c r="T78" s="82" t="s">
        <v>1005</v>
      </c>
      <c r="U78" s="442">
        <v>1</v>
      </c>
      <c r="V78" s="511" t="s">
        <v>1161</v>
      </c>
      <c r="W78" s="81">
        <f t="shared" si="10"/>
        <v>0.8</v>
      </c>
      <c r="X78" s="442">
        <f t="shared" si="11"/>
        <v>0.8</v>
      </c>
      <c r="Y78" s="280">
        <f t="shared" si="9"/>
        <v>0.2</v>
      </c>
    </row>
    <row r="79" spans="2:25" ht="76.5" customHeight="1" x14ac:dyDescent="0.25">
      <c r="B79" s="484" t="s">
        <v>388</v>
      </c>
      <c r="C79" s="484" t="s">
        <v>389</v>
      </c>
      <c r="D79" s="55" t="s">
        <v>23</v>
      </c>
      <c r="E79" s="229" t="s">
        <v>536</v>
      </c>
      <c r="F79" s="55" t="s">
        <v>115</v>
      </c>
      <c r="G79" s="965"/>
      <c r="H79" s="55" t="s">
        <v>1003</v>
      </c>
      <c r="I79" s="488">
        <v>0.25</v>
      </c>
      <c r="J79" s="488">
        <v>1</v>
      </c>
      <c r="K79" s="1028"/>
      <c r="L79" s="1028"/>
      <c r="M79" s="436" t="s">
        <v>117</v>
      </c>
      <c r="N79" s="42">
        <v>2</v>
      </c>
      <c r="O79" s="333" t="s">
        <v>1006</v>
      </c>
      <c r="P79" s="430">
        <v>0.2</v>
      </c>
      <c r="Q79" s="432">
        <v>43466</v>
      </c>
      <c r="R79" s="432">
        <v>43554</v>
      </c>
      <c r="S79" s="430">
        <f t="shared" si="8"/>
        <v>0.05</v>
      </c>
      <c r="T79" s="82" t="s">
        <v>1005</v>
      </c>
      <c r="U79" s="442">
        <v>1</v>
      </c>
      <c r="V79" s="511" t="s">
        <v>1162</v>
      </c>
      <c r="W79" s="81">
        <f t="shared" si="10"/>
        <v>0.2</v>
      </c>
      <c r="X79" s="442">
        <f t="shared" si="11"/>
        <v>0.2</v>
      </c>
      <c r="Y79" s="280">
        <f t="shared" si="9"/>
        <v>0.05</v>
      </c>
    </row>
    <row r="80" spans="2:25" ht="76.5" customHeight="1" x14ac:dyDescent="0.25">
      <c r="B80" s="484" t="s">
        <v>388</v>
      </c>
      <c r="C80" s="484" t="s">
        <v>389</v>
      </c>
      <c r="D80" s="55" t="s">
        <v>23</v>
      </c>
      <c r="E80" s="229" t="s">
        <v>536</v>
      </c>
      <c r="F80" s="55" t="s">
        <v>115</v>
      </c>
      <c r="G80" s="965">
        <v>2</v>
      </c>
      <c r="H80" s="55" t="s">
        <v>723</v>
      </c>
      <c r="I80" s="488">
        <v>0.25</v>
      </c>
      <c r="J80" s="488">
        <v>1</v>
      </c>
      <c r="K80" s="1028" t="s">
        <v>184</v>
      </c>
      <c r="L80" s="1028" t="s">
        <v>724</v>
      </c>
      <c r="M80" s="436" t="s">
        <v>117</v>
      </c>
      <c r="N80" s="42">
        <v>1</v>
      </c>
      <c r="O80" s="333" t="s">
        <v>1007</v>
      </c>
      <c r="P80" s="430">
        <v>0.8</v>
      </c>
      <c r="Q80" s="432">
        <v>43525</v>
      </c>
      <c r="R80" s="432">
        <v>43646</v>
      </c>
      <c r="S80" s="430">
        <f t="shared" si="8"/>
        <v>0.2</v>
      </c>
      <c r="T80" s="82" t="s">
        <v>1005</v>
      </c>
      <c r="U80" s="442">
        <v>1</v>
      </c>
      <c r="V80" s="511" t="s">
        <v>1008</v>
      </c>
      <c r="W80" s="81">
        <f t="shared" si="10"/>
        <v>0.8</v>
      </c>
      <c r="X80" s="442">
        <f t="shared" si="11"/>
        <v>0.8</v>
      </c>
      <c r="Y80" s="280">
        <f t="shared" si="9"/>
        <v>0.2</v>
      </c>
    </row>
    <row r="81" spans="2:25" ht="76.5" customHeight="1" x14ac:dyDescent="0.25">
      <c r="B81" s="484" t="s">
        <v>388</v>
      </c>
      <c r="C81" s="484" t="s">
        <v>389</v>
      </c>
      <c r="D81" s="55" t="s">
        <v>23</v>
      </c>
      <c r="E81" s="229" t="s">
        <v>536</v>
      </c>
      <c r="F81" s="55" t="s">
        <v>115</v>
      </c>
      <c r="G81" s="965"/>
      <c r="H81" s="55" t="s">
        <v>723</v>
      </c>
      <c r="I81" s="488">
        <v>0.25</v>
      </c>
      <c r="J81" s="488">
        <v>1</v>
      </c>
      <c r="K81" s="1028"/>
      <c r="L81" s="1028"/>
      <c r="M81" s="436" t="s">
        <v>117</v>
      </c>
      <c r="N81" s="42">
        <v>2</v>
      </c>
      <c r="O81" s="333" t="s">
        <v>1009</v>
      </c>
      <c r="P81" s="430">
        <v>0.2</v>
      </c>
      <c r="Q81" s="432">
        <v>43647</v>
      </c>
      <c r="R81" s="432">
        <v>43830</v>
      </c>
      <c r="S81" s="430">
        <f t="shared" si="8"/>
        <v>0.05</v>
      </c>
      <c r="T81" s="82" t="s">
        <v>1005</v>
      </c>
      <c r="U81" s="442">
        <v>1</v>
      </c>
      <c r="V81" s="511" t="s">
        <v>1343</v>
      </c>
      <c r="W81" s="81">
        <f t="shared" si="10"/>
        <v>0.2</v>
      </c>
      <c r="X81" s="442">
        <f t="shared" si="11"/>
        <v>0.2</v>
      </c>
      <c r="Y81" s="280">
        <f t="shared" si="9"/>
        <v>0.05</v>
      </c>
    </row>
    <row r="82" spans="2:25" ht="76.5" customHeight="1" x14ac:dyDescent="0.25">
      <c r="B82" s="484" t="s">
        <v>388</v>
      </c>
      <c r="C82" s="484" t="s">
        <v>389</v>
      </c>
      <c r="D82" s="55" t="s">
        <v>23</v>
      </c>
      <c r="E82" s="229" t="s">
        <v>536</v>
      </c>
      <c r="F82" s="55" t="s">
        <v>115</v>
      </c>
      <c r="G82" s="965">
        <v>3</v>
      </c>
      <c r="H82" s="55" t="s">
        <v>725</v>
      </c>
      <c r="I82" s="488">
        <v>0.25</v>
      </c>
      <c r="J82" s="488">
        <v>1</v>
      </c>
      <c r="K82" s="1028" t="s">
        <v>184</v>
      </c>
      <c r="L82" s="1028" t="s">
        <v>726</v>
      </c>
      <c r="M82" s="436" t="s">
        <v>117</v>
      </c>
      <c r="N82" s="42">
        <v>1</v>
      </c>
      <c r="O82" s="333" t="s">
        <v>1010</v>
      </c>
      <c r="P82" s="430">
        <v>0.5</v>
      </c>
      <c r="Q82" s="432">
        <v>43556</v>
      </c>
      <c r="R82" s="432">
        <v>43738</v>
      </c>
      <c r="S82" s="430">
        <f t="shared" si="8"/>
        <v>0.125</v>
      </c>
      <c r="T82" s="82" t="s">
        <v>1005</v>
      </c>
      <c r="U82" s="442">
        <v>0.5</v>
      </c>
      <c r="V82" s="511" t="s">
        <v>1268</v>
      </c>
      <c r="W82" s="81">
        <f t="shared" si="10"/>
        <v>0.25</v>
      </c>
      <c r="X82" s="442">
        <f t="shared" si="11"/>
        <v>0.125</v>
      </c>
      <c r="Y82" s="280">
        <f t="shared" si="9"/>
        <v>6.25E-2</v>
      </c>
    </row>
    <row r="83" spans="2:25" ht="76.5" customHeight="1" x14ac:dyDescent="0.25">
      <c r="B83" s="484" t="s">
        <v>388</v>
      </c>
      <c r="C83" s="484" t="s">
        <v>389</v>
      </c>
      <c r="D83" s="55" t="s">
        <v>23</v>
      </c>
      <c r="E83" s="229" t="s">
        <v>536</v>
      </c>
      <c r="F83" s="55" t="s">
        <v>115</v>
      </c>
      <c r="G83" s="965"/>
      <c r="H83" s="55" t="s">
        <v>725</v>
      </c>
      <c r="I83" s="488">
        <v>0.25</v>
      </c>
      <c r="J83" s="488">
        <v>1</v>
      </c>
      <c r="K83" s="1028"/>
      <c r="L83" s="1028"/>
      <c r="M83" s="436" t="s">
        <v>117</v>
      </c>
      <c r="N83" s="42">
        <v>2</v>
      </c>
      <c r="O83" s="333" t="s">
        <v>1011</v>
      </c>
      <c r="P83" s="430">
        <v>0.5</v>
      </c>
      <c r="Q83" s="432">
        <v>43556</v>
      </c>
      <c r="R83" s="432">
        <v>43738</v>
      </c>
      <c r="S83" s="430">
        <f t="shared" si="8"/>
        <v>0.125</v>
      </c>
      <c r="T83" s="82" t="s">
        <v>1005</v>
      </c>
      <c r="U83" s="442">
        <v>0.5</v>
      </c>
      <c r="V83" s="511" t="s">
        <v>1269</v>
      </c>
      <c r="W83" s="81">
        <f t="shared" si="10"/>
        <v>0.25</v>
      </c>
      <c r="X83" s="442">
        <f t="shared" si="11"/>
        <v>0.125</v>
      </c>
      <c r="Y83" s="280">
        <f t="shared" si="9"/>
        <v>6.25E-2</v>
      </c>
    </row>
    <row r="84" spans="2:25" ht="76.5" customHeight="1" x14ac:dyDescent="0.25">
      <c r="B84" s="484" t="s">
        <v>388</v>
      </c>
      <c r="C84" s="484" t="s">
        <v>389</v>
      </c>
      <c r="D84" s="55" t="s">
        <v>23</v>
      </c>
      <c r="E84" s="229" t="s">
        <v>536</v>
      </c>
      <c r="F84" s="55" t="s">
        <v>115</v>
      </c>
      <c r="G84" s="965">
        <v>4</v>
      </c>
      <c r="H84" s="55" t="s">
        <v>1012</v>
      </c>
      <c r="I84" s="488">
        <v>0.25</v>
      </c>
      <c r="J84" s="488">
        <v>1</v>
      </c>
      <c r="K84" s="1028" t="s">
        <v>184</v>
      </c>
      <c r="L84" s="1028" t="s">
        <v>728</v>
      </c>
      <c r="M84" s="436" t="s">
        <v>117</v>
      </c>
      <c r="N84" s="42">
        <v>1</v>
      </c>
      <c r="O84" s="333" t="s">
        <v>1013</v>
      </c>
      <c r="P84" s="430">
        <v>0.7</v>
      </c>
      <c r="Q84" s="432">
        <v>43466</v>
      </c>
      <c r="R84" s="432">
        <v>43707</v>
      </c>
      <c r="S84" s="430">
        <f t="shared" si="8"/>
        <v>0.17499999999999999</v>
      </c>
      <c r="T84" s="82" t="s">
        <v>1005</v>
      </c>
      <c r="U84" s="81">
        <v>0.35</v>
      </c>
      <c r="V84" s="511" t="s">
        <v>878</v>
      </c>
      <c r="W84" s="81">
        <f t="shared" si="10"/>
        <v>0.24499999999999997</v>
      </c>
      <c r="X84" s="442">
        <f t="shared" si="11"/>
        <v>8.5749999999999979E-2</v>
      </c>
      <c r="Y84" s="280">
        <f t="shared" si="9"/>
        <v>6.1249999999999992E-2</v>
      </c>
    </row>
    <row r="85" spans="2:25" ht="76.5" customHeight="1" x14ac:dyDescent="0.25">
      <c r="B85" s="484" t="s">
        <v>388</v>
      </c>
      <c r="C85" s="484" t="s">
        <v>389</v>
      </c>
      <c r="D85" s="55" t="s">
        <v>23</v>
      </c>
      <c r="E85" s="229" t="s">
        <v>536</v>
      </c>
      <c r="F85" s="55" t="s">
        <v>115</v>
      </c>
      <c r="G85" s="965"/>
      <c r="H85" s="55" t="s">
        <v>1012</v>
      </c>
      <c r="I85" s="488">
        <v>0.25</v>
      </c>
      <c r="J85" s="488">
        <v>1</v>
      </c>
      <c r="K85" s="1028"/>
      <c r="L85" s="1028"/>
      <c r="M85" s="436" t="s">
        <v>117</v>
      </c>
      <c r="N85" s="42">
        <v>2</v>
      </c>
      <c r="O85" s="333" t="s">
        <v>1014</v>
      </c>
      <c r="P85" s="430">
        <v>0.3</v>
      </c>
      <c r="Q85" s="432">
        <v>43709</v>
      </c>
      <c r="R85" s="432">
        <v>43830</v>
      </c>
      <c r="S85" s="430">
        <f t="shared" si="8"/>
        <v>7.4999999999999997E-2</v>
      </c>
      <c r="T85" s="82" t="s">
        <v>1005</v>
      </c>
      <c r="U85" s="81"/>
      <c r="V85" s="709"/>
      <c r="W85" s="81">
        <f t="shared" si="10"/>
        <v>0</v>
      </c>
      <c r="X85" s="442">
        <f t="shared" si="11"/>
        <v>0</v>
      </c>
      <c r="Y85" s="280">
        <f t="shared" si="9"/>
        <v>0</v>
      </c>
    </row>
    <row r="86" spans="2:25" ht="76.5" customHeight="1" x14ac:dyDescent="0.25">
      <c r="B86" s="484" t="s">
        <v>391</v>
      </c>
      <c r="C86" s="484" t="s">
        <v>392</v>
      </c>
      <c r="D86" s="484" t="s">
        <v>1015</v>
      </c>
      <c r="E86" s="484" t="s">
        <v>1016</v>
      </c>
      <c r="F86" s="55" t="s">
        <v>131</v>
      </c>
      <c r="G86" s="965">
        <v>1</v>
      </c>
      <c r="H86" s="55" t="s">
        <v>735</v>
      </c>
      <c r="I86" s="365">
        <v>6.25E-2</v>
      </c>
      <c r="J86" s="491">
        <v>100</v>
      </c>
      <c r="K86" s="1028" t="s">
        <v>736</v>
      </c>
      <c r="L86" s="1028" t="s">
        <v>737</v>
      </c>
      <c r="M86" s="436" t="s">
        <v>738</v>
      </c>
      <c r="N86" s="42">
        <v>1</v>
      </c>
      <c r="O86" s="333" t="s">
        <v>1017</v>
      </c>
      <c r="P86" s="430">
        <v>0.25</v>
      </c>
      <c r="Q86" s="431">
        <v>43480</v>
      </c>
      <c r="R86" s="432">
        <v>43554</v>
      </c>
      <c r="S86" s="430">
        <f t="shared" si="8"/>
        <v>1.5625E-2</v>
      </c>
      <c r="T86" s="82" t="s">
        <v>1191</v>
      </c>
      <c r="U86" s="437">
        <v>1</v>
      </c>
      <c r="V86" s="508" t="s">
        <v>1314</v>
      </c>
      <c r="W86" s="81">
        <f t="shared" si="10"/>
        <v>0.25</v>
      </c>
      <c r="X86" s="442">
        <f t="shared" si="11"/>
        <v>0.25</v>
      </c>
      <c r="Y86" s="280">
        <f t="shared" si="9"/>
        <v>1.5625E-2</v>
      </c>
    </row>
    <row r="87" spans="2:25" ht="76.5" customHeight="1" x14ac:dyDescent="0.25">
      <c r="B87" s="484" t="s">
        <v>391</v>
      </c>
      <c r="C87" s="484" t="s">
        <v>392</v>
      </c>
      <c r="D87" s="484" t="s">
        <v>1015</v>
      </c>
      <c r="E87" s="484" t="s">
        <v>1016</v>
      </c>
      <c r="F87" s="55" t="s">
        <v>131</v>
      </c>
      <c r="G87" s="965"/>
      <c r="H87" s="55" t="s">
        <v>735</v>
      </c>
      <c r="I87" s="365">
        <v>6.25E-2</v>
      </c>
      <c r="J87" s="491">
        <v>100</v>
      </c>
      <c r="K87" s="1028"/>
      <c r="L87" s="1028"/>
      <c r="M87" s="436" t="s">
        <v>738</v>
      </c>
      <c r="N87" s="42">
        <v>2</v>
      </c>
      <c r="O87" s="333" t="s">
        <v>1018</v>
      </c>
      <c r="P87" s="430">
        <v>0.25</v>
      </c>
      <c r="Q87" s="431">
        <v>43556</v>
      </c>
      <c r="R87" s="432">
        <v>43646</v>
      </c>
      <c r="S87" s="430">
        <f t="shared" si="8"/>
        <v>1.5625E-2</v>
      </c>
      <c r="T87" s="82" t="s">
        <v>1191</v>
      </c>
      <c r="U87" s="437">
        <v>1</v>
      </c>
      <c r="V87" s="508" t="s">
        <v>1206</v>
      </c>
      <c r="W87" s="81">
        <f t="shared" ref="W87:W134" si="12">U87*P87</f>
        <v>0.25</v>
      </c>
      <c r="X87" s="442">
        <f t="shared" ref="X87:X134" si="13">W87*U87</f>
        <v>0.25</v>
      </c>
      <c r="Y87" s="280">
        <f t="shared" si="9"/>
        <v>1.5625E-2</v>
      </c>
    </row>
    <row r="88" spans="2:25" ht="76.5" customHeight="1" x14ac:dyDescent="0.25">
      <c r="B88" s="484" t="s">
        <v>391</v>
      </c>
      <c r="C88" s="484" t="s">
        <v>392</v>
      </c>
      <c r="D88" s="484" t="s">
        <v>1015</v>
      </c>
      <c r="E88" s="484" t="s">
        <v>1016</v>
      </c>
      <c r="F88" s="55" t="s">
        <v>131</v>
      </c>
      <c r="G88" s="965"/>
      <c r="H88" s="55" t="s">
        <v>735</v>
      </c>
      <c r="I88" s="365">
        <v>6.25E-2</v>
      </c>
      <c r="J88" s="491">
        <v>100</v>
      </c>
      <c r="K88" s="1028"/>
      <c r="L88" s="1028"/>
      <c r="M88" s="436" t="s">
        <v>738</v>
      </c>
      <c r="N88" s="42">
        <v>3</v>
      </c>
      <c r="O88" s="333" t="s">
        <v>1019</v>
      </c>
      <c r="P88" s="430">
        <v>0.25</v>
      </c>
      <c r="Q88" s="431">
        <v>43647</v>
      </c>
      <c r="R88" s="432">
        <v>43738</v>
      </c>
      <c r="S88" s="430">
        <f t="shared" si="8"/>
        <v>1.5625E-2</v>
      </c>
      <c r="T88" s="82" t="s">
        <v>1191</v>
      </c>
      <c r="U88" s="292"/>
      <c r="V88" s="717"/>
      <c r="W88" s="81">
        <f t="shared" si="12"/>
        <v>0</v>
      </c>
      <c r="X88" s="442">
        <f t="shared" si="13"/>
        <v>0</v>
      </c>
      <c r="Y88" s="280">
        <f t="shared" si="9"/>
        <v>0</v>
      </c>
    </row>
    <row r="89" spans="2:25" ht="76.5" customHeight="1" x14ac:dyDescent="0.25">
      <c r="B89" s="484" t="s">
        <v>391</v>
      </c>
      <c r="C89" s="484" t="s">
        <v>392</v>
      </c>
      <c r="D89" s="484" t="s">
        <v>1015</v>
      </c>
      <c r="E89" s="484" t="s">
        <v>1016</v>
      </c>
      <c r="F89" s="55" t="s">
        <v>131</v>
      </c>
      <c r="G89" s="965"/>
      <c r="H89" s="55" t="s">
        <v>735</v>
      </c>
      <c r="I89" s="365">
        <v>6.25E-2</v>
      </c>
      <c r="J89" s="491">
        <v>100</v>
      </c>
      <c r="K89" s="1028"/>
      <c r="L89" s="1028"/>
      <c r="M89" s="436" t="s">
        <v>738</v>
      </c>
      <c r="N89" s="42">
        <v>4</v>
      </c>
      <c r="O89" s="333" t="s">
        <v>1020</v>
      </c>
      <c r="P89" s="430">
        <v>0.25</v>
      </c>
      <c r="Q89" s="431">
        <v>43739</v>
      </c>
      <c r="R89" s="432">
        <v>43830</v>
      </c>
      <c r="S89" s="430">
        <f t="shared" si="8"/>
        <v>1.5625E-2</v>
      </c>
      <c r="T89" s="82" t="s">
        <v>1191</v>
      </c>
      <c r="U89" s="292"/>
      <c r="V89" s="717"/>
      <c r="W89" s="81">
        <f t="shared" si="12"/>
        <v>0</v>
      </c>
      <c r="X89" s="442">
        <f t="shared" si="13"/>
        <v>0</v>
      </c>
      <c r="Y89" s="280">
        <f t="shared" si="9"/>
        <v>0</v>
      </c>
    </row>
    <row r="90" spans="2:25" ht="76.5" customHeight="1" x14ac:dyDescent="0.25">
      <c r="B90" s="484" t="s">
        <v>391</v>
      </c>
      <c r="C90" s="484" t="s">
        <v>392</v>
      </c>
      <c r="D90" s="484" t="s">
        <v>142</v>
      </c>
      <c r="E90" s="484" t="s">
        <v>1016</v>
      </c>
      <c r="F90" s="55" t="s">
        <v>131</v>
      </c>
      <c r="G90" s="965">
        <v>2</v>
      </c>
      <c r="H90" s="55" t="s">
        <v>739</v>
      </c>
      <c r="I90" s="365">
        <v>6.25E-2</v>
      </c>
      <c r="J90" s="491">
        <v>100</v>
      </c>
      <c r="K90" s="1028" t="s">
        <v>736</v>
      </c>
      <c r="L90" s="1028" t="s">
        <v>740</v>
      </c>
      <c r="M90" s="436" t="s">
        <v>738</v>
      </c>
      <c r="N90" s="42">
        <v>1</v>
      </c>
      <c r="O90" s="333" t="s">
        <v>1021</v>
      </c>
      <c r="P90" s="430">
        <v>0.2</v>
      </c>
      <c r="Q90" s="431">
        <v>43480</v>
      </c>
      <c r="R90" s="432">
        <v>43554</v>
      </c>
      <c r="S90" s="430">
        <f t="shared" si="8"/>
        <v>1.2500000000000001E-2</v>
      </c>
      <c r="T90" s="82" t="s">
        <v>1192</v>
      </c>
      <c r="U90" s="437">
        <v>1</v>
      </c>
      <c r="V90" s="508" t="s">
        <v>1207</v>
      </c>
      <c r="W90" s="81">
        <f t="shared" si="12"/>
        <v>0.2</v>
      </c>
      <c r="X90" s="442">
        <f t="shared" si="13"/>
        <v>0.2</v>
      </c>
      <c r="Y90" s="280">
        <f t="shared" si="9"/>
        <v>1.2500000000000001E-2</v>
      </c>
    </row>
    <row r="91" spans="2:25" ht="76.5" customHeight="1" x14ac:dyDescent="0.25">
      <c r="B91" s="484" t="s">
        <v>391</v>
      </c>
      <c r="C91" s="484" t="s">
        <v>392</v>
      </c>
      <c r="D91" s="484" t="s">
        <v>142</v>
      </c>
      <c r="E91" s="484" t="s">
        <v>1016</v>
      </c>
      <c r="F91" s="55" t="s">
        <v>131</v>
      </c>
      <c r="G91" s="965"/>
      <c r="H91" s="55" t="s">
        <v>739</v>
      </c>
      <c r="I91" s="365">
        <v>6.25E-2</v>
      </c>
      <c r="J91" s="491">
        <v>100</v>
      </c>
      <c r="K91" s="1028"/>
      <c r="L91" s="1028"/>
      <c r="M91" s="436" t="s">
        <v>738</v>
      </c>
      <c r="N91" s="42">
        <v>2</v>
      </c>
      <c r="O91" s="333" t="s">
        <v>1022</v>
      </c>
      <c r="P91" s="430">
        <v>0.5</v>
      </c>
      <c r="Q91" s="431">
        <v>43556</v>
      </c>
      <c r="R91" s="432">
        <v>43768</v>
      </c>
      <c r="S91" s="430">
        <f t="shared" si="8"/>
        <v>3.125E-2</v>
      </c>
      <c r="T91" s="82" t="s">
        <v>1192</v>
      </c>
      <c r="U91" s="437">
        <v>1</v>
      </c>
      <c r="V91" s="508" t="s">
        <v>1308</v>
      </c>
      <c r="W91" s="81">
        <f t="shared" si="12"/>
        <v>0.5</v>
      </c>
      <c r="X91" s="442">
        <f t="shared" si="13"/>
        <v>0.5</v>
      </c>
      <c r="Y91" s="280">
        <f t="shared" si="9"/>
        <v>3.125E-2</v>
      </c>
    </row>
    <row r="92" spans="2:25" ht="76.5" customHeight="1" x14ac:dyDescent="0.25">
      <c r="B92" s="484" t="s">
        <v>391</v>
      </c>
      <c r="C92" s="484" t="s">
        <v>392</v>
      </c>
      <c r="D92" s="484" t="s">
        <v>142</v>
      </c>
      <c r="E92" s="484" t="s">
        <v>1016</v>
      </c>
      <c r="F92" s="55" t="s">
        <v>131</v>
      </c>
      <c r="G92" s="965"/>
      <c r="H92" s="55" t="s">
        <v>739</v>
      </c>
      <c r="I92" s="365">
        <v>6.25E-2</v>
      </c>
      <c r="J92" s="491">
        <v>100</v>
      </c>
      <c r="K92" s="1028"/>
      <c r="L92" s="1028"/>
      <c r="M92" s="436" t="s">
        <v>738</v>
      </c>
      <c r="N92" s="42">
        <v>3</v>
      </c>
      <c r="O92" s="333" t="s">
        <v>1020</v>
      </c>
      <c r="P92" s="430">
        <v>0.3</v>
      </c>
      <c r="Q92" s="431">
        <v>43770</v>
      </c>
      <c r="R92" s="432">
        <v>43830</v>
      </c>
      <c r="S92" s="430">
        <f t="shared" si="8"/>
        <v>1.8749999999999999E-2</v>
      </c>
      <c r="T92" s="82" t="s">
        <v>1192</v>
      </c>
      <c r="U92" s="292"/>
      <c r="V92" s="717"/>
      <c r="W92" s="81">
        <f t="shared" si="12"/>
        <v>0</v>
      </c>
      <c r="X92" s="442">
        <f t="shared" si="13"/>
        <v>0</v>
      </c>
      <c r="Y92" s="280">
        <f t="shared" si="9"/>
        <v>0</v>
      </c>
    </row>
    <row r="93" spans="2:25" ht="76.5" customHeight="1" x14ac:dyDescent="0.25">
      <c r="B93" s="484" t="s">
        <v>391</v>
      </c>
      <c r="C93" s="484" t="s">
        <v>392</v>
      </c>
      <c r="D93" s="484" t="s">
        <v>142</v>
      </c>
      <c r="E93" s="484" t="s">
        <v>1016</v>
      </c>
      <c r="F93" s="55" t="s">
        <v>131</v>
      </c>
      <c r="G93" s="965">
        <v>3</v>
      </c>
      <c r="H93" s="55" t="s">
        <v>307</v>
      </c>
      <c r="I93" s="365">
        <v>6.25E-2</v>
      </c>
      <c r="J93" s="491">
        <v>100</v>
      </c>
      <c r="K93" s="1028" t="s">
        <v>736</v>
      </c>
      <c r="L93" s="1028" t="s">
        <v>308</v>
      </c>
      <c r="M93" s="436" t="s">
        <v>738</v>
      </c>
      <c r="N93" s="42">
        <v>1</v>
      </c>
      <c r="O93" s="443" t="s">
        <v>138</v>
      </c>
      <c r="P93" s="430">
        <v>0.33</v>
      </c>
      <c r="Q93" s="444">
        <v>43480</v>
      </c>
      <c r="R93" s="432">
        <v>43830</v>
      </c>
      <c r="S93" s="430">
        <f t="shared" si="8"/>
        <v>2.0625000000000001E-2</v>
      </c>
      <c r="T93" s="82" t="s">
        <v>1192</v>
      </c>
      <c r="U93" s="437">
        <v>0.5</v>
      </c>
      <c r="V93" s="508" t="s">
        <v>1168</v>
      </c>
      <c r="W93" s="81">
        <f t="shared" si="12"/>
        <v>0.16500000000000001</v>
      </c>
      <c r="X93" s="442">
        <f t="shared" si="13"/>
        <v>8.2500000000000004E-2</v>
      </c>
      <c r="Y93" s="280">
        <f t="shared" si="9"/>
        <v>1.03125E-2</v>
      </c>
    </row>
    <row r="94" spans="2:25" ht="76.5" customHeight="1" x14ac:dyDescent="0.25">
      <c r="B94" s="484" t="s">
        <v>391</v>
      </c>
      <c r="C94" s="484" t="s">
        <v>392</v>
      </c>
      <c r="D94" s="484" t="s">
        <v>142</v>
      </c>
      <c r="E94" s="484" t="s">
        <v>1016</v>
      </c>
      <c r="F94" s="55" t="s">
        <v>131</v>
      </c>
      <c r="G94" s="965"/>
      <c r="H94" s="55" t="s">
        <v>307</v>
      </c>
      <c r="I94" s="365">
        <v>6.25E-2</v>
      </c>
      <c r="J94" s="491">
        <v>100</v>
      </c>
      <c r="K94" s="1028"/>
      <c r="L94" s="1028"/>
      <c r="M94" s="436" t="s">
        <v>738</v>
      </c>
      <c r="N94" s="42">
        <v>2</v>
      </c>
      <c r="O94" s="333" t="s">
        <v>140</v>
      </c>
      <c r="P94" s="430">
        <v>0.33</v>
      </c>
      <c r="Q94" s="444">
        <v>43480</v>
      </c>
      <c r="R94" s="432">
        <v>43830</v>
      </c>
      <c r="S94" s="430">
        <f t="shared" si="8"/>
        <v>2.0625000000000001E-2</v>
      </c>
      <c r="T94" s="82" t="s">
        <v>1192</v>
      </c>
      <c r="U94" s="468">
        <v>0.5</v>
      </c>
      <c r="V94" s="508" t="s">
        <v>1169</v>
      </c>
      <c r="W94" s="81">
        <f t="shared" si="12"/>
        <v>0.16500000000000001</v>
      </c>
      <c r="X94" s="442">
        <f t="shared" si="13"/>
        <v>8.2500000000000004E-2</v>
      </c>
      <c r="Y94" s="280">
        <f t="shared" si="9"/>
        <v>1.03125E-2</v>
      </c>
    </row>
    <row r="95" spans="2:25" ht="76.5" customHeight="1" x14ac:dyDescent="0.25">
      <c r="B95" s="484" t="s">
        <v>391</v>
      </c>
      <c r="C95" s="484" t="s">
        <v>392</v>
      </c>
      <c r="D95" s="484" t="s">
        <v>142</v>
      </c>
      <c r="E95" s="484" t="s">
        <v>1016</v>
      </c>
      <c r="F95" s="55" t="s">
        <v>131</v>
      </c>
      <c r="G95" s="965"/>
      <c r="H95" s="55" t="s">
        <v>307</v>
      </c>
      <c r="I95" s="365">
        <v>6.25E-2</v>
      </c>
      <c r="J95" s="491">
        <v>100</v>
      </c>
      <c r="K95" s="1028"/>
      <c r="L95" s="1028"/>
      <c r="M95" s="436" t="s">
        <v>738</v>
      </c>
      <c r="N95" s="42">
        <v>3</v>
      </c>
      <c r="O95" s="333" t="s">
        <v>141</v>
      </c>
      <c r="P95" s="430">
        <v>0.34</v>
      </c>
      <c r="Q95" s="444">
        <v>43480</v>
      </c>
      <c r="R95" s="432">
        <v>43830</v>
      </c>
      <c r="S95" s="430">
        <f t="shared" si="8"/>
        <v>2.1250000000000002E-2</v>
      </c>
      <c r="T95" s="82" t="s">
        <v>1192</v>
      </c>
      <c r="U95" s="468">
        <v>0.5</v>
      </c>
      <c r="V95" s="508" t="s">
        <v>1208</v>
      </c>
      <c r="W95" s="81">
        <f t="shared" si="12"/>
        <v>0.17</v>
      </c>
      <c r="X95" s="442">
        <f t="shared" si="13"/>
        <v>8.5000000000000006E-2</v>
      </c>
      <c r="Y95" s="280">
        <f t="shared" si="9"/>
        <v>1.0625000000000001E-2</v>
      </c>
    </row>
    <row r="96" spans="2:25" ht="76.5" customHeight="1" x14ac:dyDescent="0.25">
      <c r="B96" s="484" t="s">
        <v>391</v>
      </c>
      <c r="C96" s="484" t="s">
        <v>392</v>
      </c>
      <c r="D96" s="484" t="s">
        <v>142</v>
      </c>
      <c r="E96" s="484" t="s">
        <v>1016</v>
      </c>
      <c r="F96" s="55" t="s">
        <v>131</v>
      </c>
      <c r="G96" s="965">
        <v>4</v>
      </c>
      <c r="H96" s="441" t="s">
        <v>741</v>
      </c>
      <c r="I96" s="365">
        <v>6.25E-2</v>
      </c>
      <c r="J96" s="491">
        <v>100</v>
      </c>
      <c r="K96" s="1028" t="s">
        <v>736</v>
      </c>
      <c r="L96" s="1028" t="s">
        <v>742</v>
      </c>
      <c r="M96" s="436" t="s">
        <v>738</v>
      </c>
      <c r="N96" s="42">
        <v>1</v>
      </c>
      <c r="O96" s="224" t="s">
        <v>1023</v>
      </c>
      <c r="P96" s="430">
        <v>0.2</v>
      </c>
      <c r="Q96" s="431">
        <v>43480</v>
      </c>
      <c r="R96" s="432">
        <v>43554</v>
      </c>
      <c r="S96" s="430">
        <f t="shared" si="8"/>
        <v>1.2500000000000001E-2</v>
      </c>
      <c r="T96" s="82" t="s">
        <v>1191</v>
      </c>
      <c r="U96" s="437">
        <v>1</v>
      </c>
      <c r="V96" s="508" t="s">
        <v>1209</v>
      </c>
      <c r="W96" s="81">
        <f t="shared" si="12"/>
        <v>0.2</v>
      </c>
      <c r="X96" s="442">
        <f t="shared" si="13"/>
        <v>0.2</v>
      </c>
      <c r="Y96" s="280">
        <f t="shared" si="9"/>
        <v>1.2500000000000001E-2</v>
      </c>
    </row>
    <row r="97" spans="2:25" ht="76.5" customHeight="1" x14ac:dyDescent="0.25">
      <c r="B97" s="484" t="s">
        <v>391</v>
      </c>
      <c r="C97" s="484" t="s">
        <v>392</v>
      </c>
      <c r="D97" s="484" t="s">
        <v>142</v>
      </c>
      <c r="E97" s="484" t="s">
        <v>1016</v>
      </c>
      <c r="F97" s="55" t="s">
        <v>131</v>
      </c>
      <c r="G97" s="965"/>
      <c r="H97" s="441" t="s">
        <v>741</v>
      </c>
      <c r="I97" s="365">
        <v>6.25E-2</v>
      </c>
      <c r="J97" s="491">
        <v>100</v>
      </c>
      <c r="K97" s="1028"/>
      <c r="L97" s="1028"/>
      <c r="M97" s="436" t="s">
        <v>738</v>
      </c>
      <c r="N97" s="42">
        <v>2</v>
      </c>
      <c r="O97" s="224" t="s">
        <v>1024</v>
      </c>
      <c r="P97" s="430">
        <v>0.5</v>
      </c>
      <c r="Q97" s="431">
        <v>43556</v>
      </c>
      <c r="R97" s="432">
        <v>43768</v>
      </c>
      <c r="S97" s="430">
        <f t="shared" si="8"/>
        <v>3.125E-2</v>
      </c>
      <c r="T97" s="82" t="s">
        <v>1191</v>
      </c>
      <c r="U97" s="437">
        <v>0.4</v>
      </c>
      <c r="V97" s="508" t="s">
        <v>1210</v>
      </c>
      <c r="W97" s="81">
        <f t="shared" si="12"/>
        <v>0.2</v>
      </c>
      <c r="X97" s="442">
        <f t="shared" si="13"/>
        <v>8.0000000000000016E-2</v>
      </c>
      <c r="Y97" s="280">
        <f t="shared" si="9"/>
        <v>1.2500000000000001E-2</v>
      </c>
    </row>
    <row r="98" spans="2:25" ht="76.5" customHeight="1" x14ac:dyDescent="0.25">
      <c r="B98" s="484" t="s">
        <v>391</v>
      </c>
      <c r="C98" s="484" t="s">
        <v>392</v>
      </c>
      <c r="D98" s="484" t="s">
        <v>142</v>
      </c>
      <c r="E98" s="484" t="s">
        <v>1016</v>
      </c>
      <c r="F98" s="55" t="s">
        <v>131</v>
      </c>
      <c r="G98" s="965"/>
      <c r="H98" s="441" t="s">
        <v>741</v>
      </c>
      <c r="I98" s="365">
        <v>6.25E-2</v>
      </c>
      <c r="J98" s="491">
        <v>100</v>
      </c>
      <c r="K98" s="1028"/>
      <c r="L98" s="1028"/>
      <c r="M98" s="436" t="s">
        <v>738</v>
      </c>
      <c r="N98" s="42">
        <v>3</v>
      </c>
      <c r="O98" s="224" t="s">
        <v>1025</v>
      </c>
      <c r="P98" s="430">
        <v>0.3</v>
      </c>
      <c r="Q98" s="431">
        <v>43770</v>
      </c>
      <c r="R98" s="432">
        <v>43830</v>
      </c>
      <c r="S98" s="430">
        <f t="shared" si="8"/>
        <v>1.8749999999999999E-2</v>
      </c>
      <c r="T98" s="82" t="s">
        <v>1191</v>
      </c>
      <c r="U98" s="292"/>
      <c r="V98" s="717"/>
      <c r="W98" s="81">
        <f t="shared" si="12"/>
        <v>0</v>
      </c>
      <c r="X98" s="442">
        <f t="shared" si="13"/>
        <v>0</v>
      </c>
      <c r="Y98" s="280">
        <f t="shared" si="9"/>
        <v>0</v>
      </c>
    </row>
    <row r="99" spans="2:25" ht="76.5" customHeight="1" x14ac:dyDescent="0.25">
      <c r="B99" s="333" t="s">
        <v>391</v>
      </c>
      <c r="C99" s="333" t="s">
        <v>392</v>
      </c>
      <c r="D99" s="333" t="s">
        <v>142</v>
      </c>
      <c r="E99" s="333" t="s">
        <v>1026</v>
      </c>
      <c r="F99" s="16" t="s">
        <v>131</v>
      </c>
      <c r="G99" s="334">
        <v>5</v>
      </c>
      <c r="H99" s="16" t="s">
        <v>331</v>
      </c>
      <c r="I99" s="445">
        <v>6.25E-2</v>
      </c>
      <c r="J99" s="491">
        <v>6</v>
      </c>
      <c r="K99" s="360" t="s">
        <v>743</v>
      </c>
      <c r="L99" s="360" t="s">
        <v>744</v>
      </c>
      <c r="M99" s="360" t="s">
        <v>738</v>
      </c>
      <c r="N99" s="42">
        <v>1</v>
      </c>
      <c r="O99" s="333" t="s">
        <v>1027</v>
      </c>
      <c r="P99" s="430">
        <v>1</v>
      </c>
      <c r="Q99" s="431">
        <v>43556</v>
      </c>
      <c r="R99" s="432">
        <v>43830</v>
      </c>
      <c r="S99" s="430">
        <f t="shared" si="8"/>
        <v>6.25E-2</v>
      </c>
      <c r="T99" s="82" t="s">
        <v>1193</v>
      </c>
      <c r="U99" s="437">
        <v>0.6</v>
      </c>
      <c r="V99" s="508" t="s">
        <v>1211</v>
      </c>
      <c r="W99" s="81">
        <f t="shared" si="12"/>
        <v>0.6</v>
      </c>
      <c r="X99" s="442">
        <f t="shared" si="13"/>
        <v>0.36</v>
      </c>
      <c r="Y99" s="280">
        <f t="shared" si="9"/>
        <v>3.7499999999999999E-2</v>
      </c>
    </row>
    <row r="100" spans="2:25" ht="76.5" customHeight="1" x14ac:dyDescent="0.25">
      <c r="B100" s="485" t="s">
        <v>391</v>
      </c>
      <c r="C100" s="485" t="s">
        <v>392</v>
      </c>
      <c r="D100" s="485" t="s">
        <v>142</v>
      </c>
      <c r="E100" s="485" t="s">
        <v>1026</v>
      </c>
      <c r="F100" s="55" t="s">
        <v>131</v>
      </c>
      <c r="G100" s="965">
        <v>6</v>
      </c>
      <c r="H100" s="475" t="s">
        <v>321</v>
      </c>
      <c r="I100" s="445">
        <v>6.25E-2</v>
      </c>
      <c r="J100" s="487">
        <v>100</v>
      </c>
      <c r="K100" s="772" t="s">
        <v>184</v>
      </c>
      <c r="L100" s="942" t="s">
        <v>322</v>
      </c>
      <c r="M100" s="473" t="s">
        <v>133</v>
      </c>
      <c r="N100" s="42">
        <v>1</v>
      </c>
      <c r="O100" s="333" t="s">
        <v>1028</v>
      </c>
      <c r="P100" s="430">
        <v>0.2</v>
      </c>
      <c r="Q100" s="431">
        <v>43480</v>
      </c>
      <c r="R100" s="432">
        <v>43554</v>
      </c>
      <c r="S100" s="430">
        <f t="shared" si="8"/>
        <v>1.2500000000000001E-2</v>
      </c>
      <c r="T100" s="82" t="s">
        <v>1196</v>
      </c>
      <c r="U100" s="437">
        <v>1</v>
      </c>
      <c r="V100" s="508" t="s">
        <v>1212</v>
      </c>
      <c r="W100" s="81">
        <f t="shared" si="12"/>
        <v>0.2</v>
      </c>
      <c r="X100" s="442">
        <f t="shared" si="13"/>
        <v>0.2</v>
      </c>
      <c r="Y100" s="280">
        <f t="shared" si="9"/>
        <v>1.2500000000000001E-2</v>
      </c>
    </row>
    <row r="101" spans="2:25" ht="76.5" customHeight="1" x14ac:dyDescent="0.25">
      <c r="B101" s="485" t="s">
        <v>391</v>
      </c>
      <c r="C101" s="485" t="s">
        <v>392</v>
      </c>
      <c r="D101" s="485" t="s">
        <v>142</v>
      </c>
      <c r="E101" s="485" t="s">
        <v>1026</v>
      </c>
      <c r="F101" s="55" t="s">
        <v>131</v>
      </c>
      <c r="G101" s="965"/>
      <c r="H101" s="475" t="s">
        <v>321</v>
      </c>
      <c r="I101" s="445">
        <v>6.25E-2</v>
      </c>
      <c r="J101" s="487">
        <v>100</v>
      </c>
      <c r="K101" s="772"/>
      <c r="L101" s="942"/>
      <c r="M101" s="473" t="s">
        <v>133</v>
      </c>
      <c r="N101" s="42">
        <v>2</v>
      </c>
      <c r="O101" s="333" t="s">
        <v>1029</v>
      </c>
      <c r="P101" s="430">
        <v>0.5</v>
      </c>
      <c r="Q101" s="431">
        <v>43556</v>
      </c>
      <c r="R101" s="432">
        <v>43738</v>
      </c>
      <c r="S101" s="430">
        <f t="shared" si="8"/>
        <v>3.125E-2</v>
      </c>
      <c r="T101" s="82" t="s">
        <v>1196</v>
      </c>
      <c r="U101" s="437">
        <v>0.9</v>
      </c>
      <c r="V101" s="508" t="s">
        <v>1213</v>
      </c>
      <c r="W101" s="81">
        <f t="shared" si="12"/>
        <v>0.45</v>
      </c>
      <c r="X101" s="442">
        <f t="shared" si="13"/>
        <v>0.40500000000000003</v>
      </c>
      <c r="Y101" s="280">
        <f t="shared" si="9"/>
        <v>2.8125000000000001E-2</v>
      </c>
    </row>
    <row r="102" spans="2:25" ht="76.5" customHeight="1" x14ac:dyDescent="0.25">
      <c r="B102" s="485" t="s">
        <v>391</v>
      </c>
      <c r="C102" s="485" t="s">
        <v>392</v>
      </c>
      <c r="D102" s="485" t="s">
        <v>142</v>
      </c>
      <c r="E102" s="485" t="s">
        <v>1026</v>
      </c>
      <c r="F102" s="55" t="s">
        <v>131</v>
      </c>
      <c r="G102" s="965"/>
      <c r="H102" s="475" t="s">
        <v>321</v>
      </c>
      <c r="I102" s="445">
        <v>6.25E-2</v>
      </c>
      <c r="J102" s="487">
        <v>100</v>
      </c>
      <c r="K102" s="772"/>
      <c r="L102" s="942"/>
      <c r="M102" s="473" t="s">
        <v>133</v>
      </c>
      <c r="N102" s="42">
        <v>3</v>
      </c>
      <c r="O102" s="333" t="s">
        <v>1030</v>
      </c>
      <c r="P102" s="430">
        <v>0.2</v>
      </c>
      <c r="Q102" s="431">
        <v>43739</v>
      </c>
      <c r="R102" s="432">
        <v>43799</v>
      </c>
      <c r="S102" s="430">
        <f t="shared" si="8"/>
        <v>1.2500000000000001E-2</v>
      </c>
      <c r="T102" s="82" t="s">
        <v>1196</v>
      </c>
      <c r="U102" s="292"/>
      <c r="V102" s="717"/>
      <c r="W102" s="81">
        <f t="shared" si="12"/>
        <v>0</v>
      </c>
      <c r="X102" s="442">
        <f t="shared" si="13"/>
        <v>0</v>
      </c>
      <c r="Y102" s="280">
        <f t="shared" si="9"/>
        <v>0</v>
      </c>
    </row>
    <row r="103" spans="2:25" ht="76.5" customHeight="1" x14ac:dyDescent="0.25">
      <c r="B103" s="485" t="s">
        <v>391</v>
      </c>
      <c r="C103" s="485" t="s">
        <v>392</v>
      </c>
      <c r="D103" s="485" t="s">
        <v>142</v>
      </c>
      <c r="E103" s="485" t="s">
        <v>1026</v>
      </c>
      <c r="F103" s="55" t="s">
        <v>131</v>
      </c>
      <c r="G103" s="965"/>
      <c r="H103" s="475" t="s">
        <v>321</v>
      </c>
      <c r="I103" s="445">
        <v>6.25E-2</v>
      </c>
      <c r="J103" s="487">
        <v>100</v>
      </c>
      <c r="K103" s="772"/>
      <c r="L103" s="942"/>
      <c r="M103" s="473" t="s">
        <v>133</v>
      </c>
      <c r="N103" s="42">
        <v>4</v>
      </c>
      <c r="O103" s="333" t="s">
        <v>1031</v>
      </c>
      <c r="P103" s="430">
        <v>0.1</v>
      </c>
      <c r="Q103" s="431">
        <v>43800</v>
      </c>
      <c r="R103" s="432">
        <v>43830</v>
      </c>
      <c r="S103" s="430">
        <f t="shared" si="8"/>
        <v>6.2500000000000003E-3</v>
      </c>
      <c r="T103" s="82" t="s">
        <v>1196</v>
      </c>
      <c r="U103" s="292"/>
      <c r="V103" s="717"/>
      <c r="W103" s="81">
        <f t="shared" si="12"/>
        <v>0</v>
      </c>
      <c r="X103" s="442">
        <f t="shared" si="13"/>
        <v>0</v>
      </c>
      <c r="Y103" s="280">
        <f t="shared" si="9"/>
        <v>0</v>
      </c>
    </row>
    <row r="104" spans="2:25" ht="76.5" customHeight="1" x14ac:dyDescent="0.25">
      <c r="B104" s="485" t="s">
        <v>391</v>
      </c>
      <c r="C104" s="485" t="s">
        <v>392</v>
      </c>
      <c r="D104" s="485" t="s">
        <v>142</v>
      </c>
      <c r="E104" s="485" t="s">
        <v>1026</v>
      </c>
      <c r="F104" s="55" t="s">
        <v>131</v>
      </c>
      <c r="G104" s="965">
        <v>7</v>
      </c>
      <c r="H104" s="55" t="s">
        <v>748</v>
      </c>
      <c r="I104" s="445">
        <v>6.25E-2</v>
      </c>
      <c r="J104" s="491">
        <v>100</v>
      </c>
      <c r="K104" s="1030" t="s">
        <v>736</v>
      </c>
      <c r="L104" s="1030" t="s">
        <v>749</v>
      </c>
      <c r="M104" s="446" t="s">
        <v>738</v>
      </c>
      <c r="N104" s="42">
        <v>1</v>
      </c>
      <c r="O104" s="333" t="s">
        <v>1032</v>
      </c>
      <c r="P104" s="430">
        <v>0.2</v>
      </c>
      <c r="Q104" s="431">
        <v>43480</v>
      </c>
      <c r="R104" s="432">
        <v>43495</v>
      </c>
      <c r="S104" s="430">
        <f t="shared" si="8"/>
        <v>1.2500000000000001E-2</v>
      </c>
      <c r="T104" s="82" t="s">
        <v>1193</v>
      </c>
      <c r="U104" s="437">
        <v>1</v>
      </c>
      <c r="V104" s="508" t="s">
        <v>1214</v>
      </c>
      <c r="W104" s="81">
        <f t="shared" si="12"/>
        <v>0.2</v>
      </c>
      <c r="X104" s="442">
        <f t="shared" si="13"/>
        <v>0.2</v>
      </c>
      <c r="Y104" s="280">
        <f t="shared" si="9"/>
        <v>1.2500000000000001E-2</v>
      </c>
    </row>
    <row r="105" spans="2:25" ht="76.5" customHeight="1" x14ac:dyDescent="0.25">
      <c r="B105" s="485" t="s">
        <v>391</v>
      </c>
      <c r="C105" s="485" t="s">
        <v>392</v>
      </c>
      <c r="D105" s="485" t="s">
        <v>142</v>
      </c>
      <c r="E105" s="485" t="s">
        <v>1026</v>
      </c>
      <c r="F105" s="55" t="s">
        <v>131</v>
      </c>
      <c r="G105" s="965"/>
      <c r="H105" s="55" t="s">
        <v>748</v>
      </c>
      <c r="I105" s="445">
        <v>6.25E-2</v>
      </c>
      <c r="J105" s="491">
        <v>100</v>
      </c>
      <c r="K105" s="1030" t="s">
        <v>736</v>
      </c>
      <c r="L105" s="1030" t="s">
        <v>1033</v>
      </c>
      <c r="M105" s="446" t="s">
        <v>738</v>
      </c>
      <c r="N105" s="42">
        <v>2</v>
      </c>
      <c r="O105" s="333" t="s">
        <v>1034</v>
      </c>
      <c r="P105" s="430">
        <v>0.6</v>
      </c>
      <c r="Q105" s="431">
        <v>43556</v>
      </c>
      <c r="R105" s="432">
        <v>43799</v>
      </c>
      <c r="S105" s="430">
        <f t="shared" si="8"/>
        <v>3.7499999999999999E-2</v>
      </c>
      <c r="T105" s="82" t="s">
        <v>1193</v>
      </c>
      <c r="U105" s="437">
        <v>0.85</v>
      </c>
      <c r="V105" s="508" t="s">
        <v>1215</v>
      </c>
      <c r="W105" s="81">
        <f t="shared" si="12"/>
        <v>0.51</v>
      </c>
      <c r="X105" s="442">
        <f t="shared" si="13"/>
        <v>0.4335</v>
      </c>
      <c r="Y105" s="280">
        <f t="shared" si="9"/>
        <v>3.1875000000000001E-2</v>
      </c>
    </row>
    <row r="106" spans="2:25" ht="76.5" customHeight="1" x14ac:dyDescent="0.25">
      <c r="B106" s="485" t="s">
        <v>391</v>
      </c>
      <c r="C106" s="485" t="s">
        <v>392</v>
      </c>
      <c r="D106" s="485" t="s">
        <v>142</v>
      </c>
      <c r="E106" s="485" t="s">
        <v>1026</v>
      </c>
      <c r="F106" s="55" t="s">
        <v>131</v>
      </c>
      <c r="G106" s="965"/>
      <c r="H106" s="55" t="s">
        <v>748</v>
      </c>
      <c r="I106" s="445">
        <v>6.25E-2</v>
      </c>
      <c r="J106" s="491">
        <v>100</v>
      </c>
      <c r="K106" s="1030" t="s">
        <v>736</v>
      </c>
      <c r="L106" s="1030" t="s">
        <v>1033</v>
      </c>
      <c r="M106" s="446" t="s">
        <v>738</v>
      </c>
      <c r="N106" s="42">
        <v>3</v>
      </c>
      <c r="O106" s="333" t="s">
        <v>1035</v>
      </c>
      <c r="P106" s="430">
        <v>0.2</v>
      </c>
      <c r="Q106" s="431">
        <v>43800</v>
      </c>
      <c r="R106" s="432">
        <v>43830</v>
      </c>
      <c r="S106" s="430">
        <f t="shared" si="8"/>
        <v>1.2500000000000001E-2</v>
      </c>
      <c r="T106" s="82" t="s">
        <v>1193</v>
      </c>
      <c r="U106" s="437">
        <v>0</v>
      </c>
      <c r="V106" s="717"/>
      <c r="W106" s="81">
        <f t="shared" si="12"/>
        <v>0</v>
      </c>
      <c r="X106" s="442">
        <f t="shared" si="13"/>
        <v>0</v>
      </c>
      <c r="Y106" s="280">
        <f t="shared" si="9"/>
        <v>0</v>
      </c>
    </row>
    <row r="107" spans="2:25" ht="76.5" customHeight="1" x14ac:dyDescent="0.25">
      <c r="B107" s="485" t="s">
        <v>391</v>
      </c>
      <c r="C107" s="485" t="s">
        <v>392</v>
      </c>
      <c r="D107" s="510" t="s">
        <v>130</v>
      </c>
      <c r="E107" s="485" t="s">
        <v>1026</v>
      </c>
      <c r="F107" s="55" t="s">
        <v>131</v>
      </c>
      <c r="G107" s="965">
        <v>8</v>
      </c>
      <c r="H107" s="441" t="s">
        <v>1036</v>
      </c>
      <c r="I107" s="445">
        <v>6.25E-2</v>
      </c>
      <c r="J107" s="490">
        <v>100</v>
      </c>
      <c r="K107" s="1031" t="s">
        <v>736</v>
      </c>
      <c r="L107" s="1031" t="s">
        <v>751</v>
      </c>
      <c r="M107" s="55" t="s">
        <v>738</v>
      </c>
      <c r="N107" s="42">
        <v>1</v>
      </c>
      <c r="O107" s="224" t="s">
        <v>1037</v>
      </c>
      <c r="P107" s="430">
        <v>0.2</v>
      </c>
      <c r="Q107" s="431">
        <v>43480</v>
      </c>
      <c r="R107" s="432">
        <v>43554</v>
      </c>
      <c r="S107" s="430">
        <f t="shared" si="8"/>
        <v>1.2500000000000001E-2</v>
      </c>
      <c r="T107" s="82" t="s">
        <v>1194</v>
      </c>
      <c r="U107" s="437">
        <v>1</v>
      </c>
      <c r="V107" s="508" t="s">
        <v>1216</v>
      </c>
      <c r="W107" s="81">
        <f t="shared" si="12"/>
        <v>0.2</v>
      </c>
      <c r="X107" s="442">
        <f t="shared" si="13"/>
        <v>0.2</v>
      </c>
      <c r="Y107" s="280">
        <f t="shared" si="9"/>
        <v>1.2500000000000001E-2</v>
      </c>
    </row>
    <row r="108" spans="2:25" ht="76.5" customHeight="1" x14ac:dyDescent="0.25">
      <c r="B108" s="485" t="s">
        <v>391</v>
      </c>
      <c r="C108" s="485" t="s">
        <v>392</v>
      </c>
      <c r="D108" s="510" t="s">
        <v>130</v>
      </c>
      <c r="E108" s="485" t="s">
        <v>1026</v>
      </c>
      <c r="F108" s="55" t="s">
        <v>131</v>
      </c>
      <c r="G108" s="965"/>
      <c r="H108" s="441" t="s">
        <v>1036</v>
      </c>
      <c r="I108" s="445">
        <v>6.25E-2</v>
      </c>
      <c r="J108" s="490">
        <v>100</v>
      </c>
      <c r="K108" s="1031"/>
      <c r="L108" s="1031"/>
      <c r="M108" s="55" t="s">
        <v>738</v>
      </c>
      <c r="N108" s="42">
        <v>2</v>
      </c>
      <c r="O108" s="224" t="s">
        <v>1038</v>
      </c>
      <c r="P108" s="430">
        <v>0.5</v>
      </c>
      <c r="Q108" s="431">
        <v>43556</v>
      </c>
      <c r="R108" s="432">
        <v>43768</v>
      </c>
      <c r="S108" s="430">
        <f t="shared" si="8"/>
        <v>3.125E-2</v>
      </c>
      <c r="T108" s="82" t="s">
        <v>1194</v>
      </c>
      <c r="U108" s="437">
        <v>0.5</v>
      </c>
      <c r="V108" s="508" t="s">
        <v>1217</v>
      </c>
      <c r="W108" s="81">
        <f t="shared" si="12"/>
        <v>0.25</v>
      </c>
      <c r="X108" s="442">
        <f t="shared" si="13"/>
        <v>0.125</v>
      </c>
      <c r="Y108" s="280">
        <f t="shared" si="9"/>
        <v>1.5625E-2</v>
      </c>
    </row>
    <row r="109" spans="2:25" ht="76.5" customHeight="1" x14ac:dyDescent="0.25">
      <c r="B109" s="485" t="s">
        <v>391</v>
      </c>
      <c r="C109" s="485" t="s">
        <v>392</v>
      </c>
      <c r="D109" s="510" t="s">
        <v>130</v>
      </c>
      <c r="E109" s="485" t="s">
        <v>1026</v>
      </c>
      <c r="F109" s="55" t="s">
        <v>131</v>
      </c>
      <c r="G109" s="965"/>
      <c r="H109" s="441" t="s">
        <v>1036</v>
      </c>
      <c r="I109" s="445">
        <v>6.25E-2</v>
      </c>
      <c r="J109" s="490">
        <v>100</v>
      </c>
      <c r="K109" s="1031"/>
      <c r="L109" s="1031"/>
      <c r="M109" s="55" t="s">
        <v>738</v>
      </c>
      <c r="N109" s="42">
        <v>3</v>
      </c>
      <c r="O109" s="224" t="s">
        <v>1020</v>
      </c>
      <c r="P109" s="430">
        <v>0.3</v>
      </c>
      <c r="Q109" s="431">
        <v>43770</v>
      </c>
      <c r="R109" s="432">
        <v>43830</v>
      </c>
      <c r="S109" s="430">
        <f t="shared" si="8"/>
        <v>1.8749999999999999E-2</v>
      </c>
      <c r="T109" s="82" t="s">
        <v>1194</v>
      </c>
      <c r="U109" s="437">
        <v>0</v>
      </c>
      <c r="V109" s="509"/>
      <c r="W109" s="81">
        <f t="shared" si="12"/>
        <v>0</v>
      </c>
      <c r="X109" s="442">
        <f t="shared" si="13"/>
        <v>0</v>
      </c>
      <c r="Y109" s="280">
        <f t="shared" si="9"/>
        <v>0</v>
      </c>
    </row>
    <row r="110" spans="2:25" ht="76.5" customHeight="1" x14ac:dyDescent="0.25">
      <c r="B110" s="229" t="s">
        <v>391</v>
      </c>
      <c r="C110" s="229" t="s">
        <v>392</v>
      </c>
      <c r="D110" s="544" t="s">
        <v>130</v>
      </c>
      <c r="E110" s="229" t="s">
        <v>1026</v>
      </c>
      <c r="F110" s="55" t="s">
        <v>131</v>
      </c>
      <c r="G110" s="965">
        <v>9</v>
      </c>
      <c r="H110" s="55" t="s">
        <v>752</v>
      </c>
      <c r="I110" s="445">
        <v>6.25E-2</v>
      </c>
      <c r="J110" s="491">
        <v>100</v>
      </c>
      <c r="K110" s="1030" t="s">
        <v>736</v>
      </c>
      <c r="L110" s="1030" t="s">
        <v>753</v>
      </c>
      <c r="M110" s="446" t="s">
        <v>738</v>
      </c>
      <c r="N110" s="42">
        <v>1</v>
      </c>
      <c r="O110" s="333" t="s">
        <v>134</v>
      </c>
      <c r="P110" s="430">
        <v>0.35</v>
      </c>
      <c r="Q110" s="444">
        <v>43480</v>
      </c>
      <c r="R110" s="432">
        <v>43554</v>
      </c>
      <c r="S110" s="430">
        <f t="shared" si="8"/>
        <v>2.1874999999999999E-2</v>
      </c>
      <c r="T110" s="82" t="s">
        <v>1195</v>
      </c>
      <c r="U110" s="437">
        <v>1</v>
      </c>
      <c r="V110" s="508" t="s">
        <v>1218</v>
      </c>
      <c r="W110" s="81">
        <f t="shared" si="12"/>
        <v>0.35</v>
      </c>
      <c r="X110" s="442">
        <f t="shared" si="13"/>
        <v>0.35</v>
      </c>
      <c r="Y110" s="280">
        <f t="shared" si="9"/>
        <v>2.1874999999999999E-2</v>
      </c>
    </row>
    <row r="111" spans="2:25" ht="76.5" customHeight="1" x14ac:dyDescent="0.25">
      <c r="B111" s="229" t="s">
        <v>391</v>
      </c>
      <c r="C111" s="229" t="s">
        <v>392</v>
      </c>
      <c r="D111" s="544" t="s">
        <v>130</v>
      </c>
      <c r="E111" s="229" t="s">
        <v>1026</v>
      </c>
      <c r="F111" s="55" t="s">
        <v>131</v>
      </c>
      <c r="G111" s="965"/>
      <c r="H111" s="55" t="s">
        <v>752</v>
      </c>
      <c r="I111" s="445">
        <v>6.25E-2</v>
      </c>
      <c r="J111" s="491">
        <v>100</v>
      </c>
      <c r="K111" s="1030" t="s">
        <v>736</v>
      </c>
      <c r="L111" s="1030" t="s">
        <v>1039</v>
      </c>
      <c r="M111" s="446" t="s">
        <v>738</v>
      </c>
      <c r="N111" s="42">
        <v>2</v>
      </c>
      <c r="O111" s="333" t="s">
        <v>136</v>
      </c>
      <c r="P111" s="430">
        <v>0.15</v>
      </c>
      <c r="Q111" s="432">
        <v>43556</v>
      </c>
      <c r="R111" s="432">
        <v>43585</v>
      </c>
      <c r="S111" s="430">
        <f t="shared" si="8"/>
        <v>9.3749999999999997E-3</v>
      </c>
      <c r="T111" s="82" t="s">
        <v>1195</v>
      </c>
      <c r="U111" s="437">
        <v>1</v>
      </c>
      <c r="V111" s="509" t="s">
        <v>1163</v>
      </c>
      <c r="W111" s="81">
        <f t="shared" si="12"/>
        <v>0.15</v>
      </c>
      <c r="X111" s="442">
        <f t="shared" si="13"/>
        <v>0.15</v>
      </c>
      <c r="Y111" s="280">
        <f t="shared" si="9"/>
        <v>9.3749999999999997E-3</v>
      </c>
    </row>
    <row r="112" spans="2:25" ht="76.5" customHeight="1" x14ac:dyDescent="0.25">
      <c r="B112" s="229" t="s">
        <v>391</v>
      </c>
      <c r="C112" s="229" t="s">
        <v>392</v>
      </c>
      <c r="D112" s="544" t="s">
        <v>130</v>
      </c>
      <c r="E112" s="229" t="s">
        <v>1026</v>
      </c>
      <c r="F112" s="55" t="s">
        <v>131</v>
      </c>
      <c r="G112" s="965"/>
      <c r="H112" s="55" t="s">
        <v>752</v>
      </c>
      <c r="I112" s="445">
        <v>6.25E-2</v>
      </c>
      <c r="J112" s="491">
        <v>100</v>
      </c>
      <c r="K112" s="1030" t="s">
        <v>736</v>
      </c>
      <c r="L112" s="1030" t="s">
        <v>1039</v>
      </c>
      <c r="M112" s="446" t="s">
        <v>738</v>
      </c>
      <c r="N112" s="42">
        <v>3</v>
      </c>
      <c r="O112" s="333" t="s">
        <v>471</v>
      </c>
      <c r="P112" s="430">
        <v>0.5</v>
      </c>
      <c r="Q112" s="432">
        <v>43586</v>
      </c>
      <c r="R112" s="432">
        <v>43830</v>
      </c>
      <c r="S112" s="430">
        <f t="shared" si="8"/>
        <v>3.125E-2</v>
      </c>
      <c r="T112" s="82" t="s">
        <v>1195</v>
      </c>
      <c r="U112" s="437">
        <v>0.1</v>
      </c>
      <c r="V112" s="509" t="s">
        <v>1219</v>
      </c>
      <c r="W112" s="81">
        <f t="shared" si="12"/>
        <v>0.05</v>
      </c>
      <c r="X112" s="442">
        <f t="shared" si="13"/>
        <v>5.000000000000001E-3</v>
      </c>
      <c r="Y112" s="280">
        <f t="shared" si="9"/>
        <v>3.1250000000000002E-3</v>
      </c>
    </row>
    <row r="113" spans="2:25" ht="76.5" customHeight="1" x14ac:dyDescent="0.25">
      <c r="B113" s="485" t="s">
        <v>391</v>
      </c>
      <c r="C113" s="485" t="s">
        <v>392</v>
      </c>
      <c r="D113" s="510" t="s">
        <v>130</v>
      </c>
      <c r="E113" s="485" t="s">
        <v>1026</v>
      </c>
      <c r="F113" s="55" t="s">
        <v>131</v>
      </c>
      <c r="G113" s="965">
        <v>10</v>
      </c>
      <c r="H113" s="441" t="s">
        <v>754</v>
      </c>
      <c r="I113" s="445">
        <v>6.25E-2</v>
      </c>
      <c r="J113" s="490">
        <v>100</v>
      </c>
      <c r="K113" s="1031" t="s">
        <v>736</v>
      </c>
      <c r="L113" s="1031" t="s">
        <v>755</v>
      </c>
      <c r="M113" s="55" t="s">
        <v>738</v>
      </c>
      <c r="N113" s="42">
        <v>1</v>
      </c>
      <c r="O113" s="224" t="s">
        <v>1040</v>
      </c>
      <c r="P113" s="430">
        <v>0.25</v>
      </c>
      <c r="Q113" s="444">
        <v>43647</v>
      </c>
      <c r="R113" s="432">
        <v>43676</v>
      </c>
      <c r="S113" s="430">
        <f t="shared" si="8"/>
        <v>1.5625E-2</v>
      </c>
      <c r="T113" s="82" t="s">
        <v>1195</v>
      </c>
      <c r="U113" s="437">
        <v>0</v>
      </c>
      <c r="V113" s="508"/>
      <c r="W113" s="81">
        <f t="shared" si="12"/>
        <v>0</v>
      </c>
      <c r="X113" s="442">
        <f t="shared" si="13"/>
        <v>0</v>
      </c>
      <c r="Y113" s="280">
        <f t="shared" si="9"/>
        <v>0</v>
      </c>
    </row>
    <row r="114" spans="2:25" ht="76.5" customHeight="1" x14ac:dyDescent="0.25">
      <c r="B114" s="485" t="s">
        <v>391</v>
      </c>
      <c r="C114" s="485" t="s">
        <v>392</v>
      </c>
      <c r="D114" s="510" t="s">
        <v>130</v>
      </c>
      <c r="E114" s="485" t="s">
        <v>1026</v>
      </c>
      <c r="F114" s="55" t="s">
        <v>131</v>
      </c>
      <c r="G114" s="965"/>
      <c r="H114" s="441" t="s">
        <v>754</v>
      </c>
      <c r="I114" s="445">
        <v>6.25E-2</v>
      </c>
      <c r="J114" s="490">
        <v>100</v>
      </c>
      <c r="K114" s="1031" t="s">
        <v>736</v>
      </c>
      <c r="L114" s="1031" t="s">
        <v>1041</v>
      </c>
      <c r="M114" s="55" t="s">
        <v>738</v>
      </c>
      <c r="N114" s="42">
        <v>2</v>
      </c>
      <c r="O114" s="224" t="s">
        <v>1042</v>
      </c>
      <c r="P114" s="430">
        <v>0.25</v>
      </c>
      <c r="Q114" s="432">
        <v>43678</v>
      </c>
      <c r="R114" s="432">
        <v>43738</v>
      </c>
      <c r="S114" s="430">
        <f t="shared" si="8"/>
        <v>1.5625E-2</v>
      </c>
      <c r="T114" s="82" t="s">
        <v>1195</v>
      </c>
      <c r="U114" s="437">
        <v>0</v>
      </c>
      <c r="V114" s="717"/>
      <c r="W114" s="81">
        <f t="shared" si="12"/>
        <v>0</v>
      </c>
      <c r="X114" s="442">
        <f t="shared" si="13"/>
        <v>0</v>
      </c>
      <c r="Y114" s="280">
        <f t="shared" si="9"/>
        <v>0</v>
      </c>
    </row>
    <row r="115" spans="2:25" ht="76.5" customHeight="1" x14ac:dyDescent="0.25">
      <c r="B115" s="485" t="s">
        <v>391</v>
      </c>
      <c r="C115" s="485" t="s">
        <v>392</v>
      </c>
      <c r="D115" s="510" t="s">
        <v>130</v>
      </c>
      <c r="E115" s="485" t="s">
        <v>1026</v>
      </c>
      <c r="F115" s="55" t="s">
        <v>131</v>
      </c>
      <c r="G115" s="965"/>
      <c r="H115" s="441" t="s">
        <v>754</v>
      </c>
      <c r="I115" s="445">
        <v>6.25E-2</v>
      </c>
      <c r="J115" s="490">
        <v>100</v>
      </c>
      <c r="K115" s="1031" t="s">
        <v>736</v>
      </c>
      <c r="L115" s="1031" t="s">
        <v>1041</v>
      </c>
      <c r="M115" s="55" t="s">
        <v>738</v>
      </c>
      <c r="N115" s="42">
        <v>3</v>
      </c>
      <c r="O115" s="224" t="s">
        <v>1043</v>
      </c>
      <c r="P115" s="430">
        <v>0.5</v>
      </c>
      <c r="Q115" s="432">
        <v>43739</v>
      </c>
      <c r="R115" s="432">
        <v>43769</v>
      </c>
      <c r="S115" s="430">
        <f t="shared" si="8"/>
        <v>3.125E-2</v>
      </c>
      <c r="T115" s="82" t="s">
        <v>1195</v>
      </c>
      <c r="U115" s="437">
        <v>0</v>
      </c>
      <c r="V115" s="717"/>
      <c r="W115" s="81">
        <f t="shared" si="12"/>
        <v>0</v>
      </c>
      <c r="X115" s="442">
        <f t="shared" si="13"/>
        <v>0</v>
      </c>
      <c r="Y115" s="280">
        <f t="shared" si="9"/>
        <v>0</v>
      </c>
    </row>
    <row r="116" spans="2:25" ht="76.5" customHeight="1" x14ac:dyDescent="0.25">
      <c r="B116" s="485" t="s">
        <v>391</v>
      </c>
      <c r="C116" s="485" t="s">
        <v>392</v>
      </c>
      <c r="D116" s="485" t="s">
        <v>142</v>
      </c>
      <c r="E116" s="485" t="s">
        <v>1026</v>
      </c>
      <c r="F116" s="55" t="s">
        <v>131</v>
      </c>
      <c r="G116" s="965">
        <v>11</v>
      </c>
      <c r="H116" s="441" t="s">
        <v>756</v>
      </c>
      <c r="I116" s="445">
        <v>6.25E-2</v>
      </c>
      <c r="J116" s="490">
        <v>100</v>
      </c>
      <c r="K116" s="1031" t="s">
        <v>736</v>
      </c>
      <c r="L116" s="1031" t="s">
        <v>757</v>
      </c>
      <c r="M116" s="55" t="s">
        <v>738</v>
      </c>
      <c r="N116" s="42">
        <v>1</v>
      </c>
      <c r="O116" s="224" t="s">
        <v>1044</v>
      </c>
      <c r="P116" s="430">
        <v>0.2</v>
      </c>
      <c r="Q116" s="444">
        <v>43480</v>
      </c>
      <c r="R116" s="432">
        <v>43554</v>
      </c>
      <c r="S116" s="430">
        <f t="shared" si="8"/>
        <v>1.2500000000000001E-2</v>
      </c>
      <c r="T116" s="82" t="s">
        <v>1196</v>
      </c>
      <c r="U116" s="437">
        <v>1</v>
      </c>
      <c r="V116" s="508" t="s">
        <v>1220</v>
      </c>
      <c r="W116" s="81">
        <f t="shared" si="12"/>
        <v>0.2</v>
      </c>
      <c r="X116" s="442">
        <f t="shared" si="13"/>
        <v>0.2</v>
      </c>
      <c r="Y116" s="280">
        <f t="shared" si="9"/>
        <v>1.2500000000000001E-2</v>
      </c>
    </row>
    <row r="117" spans="2:25" ht="76.5" customHeight="1" x14ac:dyDescent="0.25">
      <c r="B117" s="485" t="s">
        <v>391</v>
      </c>
      <c r="C117" s="485" t="s">
        <v>392</v>
      </c>
      <c r="D117" s="485" t="s">
        <v>142</v>
      </c>
      <c r="E117" s="485" t="s">
        <v>1026</v>
      </c>
      <c r="F117" s="55" t="s">
        <v>131</v>
      </c>
      <c r="G117" s="965"/>
      <c r="H117" s="441" t="s">
        <v>756</v>
      </c>
      <c r="I117" s="445">
        <v>6.25E-2</v>
      </c>
      <c r="J117" s="490">
        <v>100</v>
      </c>
      <c r="K117" s="1031"/>
      <c r="L117" s="1031"/>
      <c r="M117" s="55" t="s">
        <v>738</v>
      </c>
      <c r="N117" s="42">
        <v>2</v>
      </c>
      <c r="O117" s="224" t="s">
        <v>1045</v>
      </c>
      <c r="P117" s="430">
        <v>0.5</v>
      </c>
      <c r="Q117" s="432">
        <v>43556</v>
      </c>
      <c r="R117" s="432">
        <v>43799</v>
      </c>
      <c r="S117" s="430">
        <f t="shared" si="8"/>
        <v>3.125E-2</v>
      </c>
      <c r="T117" s="82" t="s">
        <v>1196</v>
      </c>
      <c r="U117" s="437">
        <v>0.3</v>
      </c>
      <c r="V117" s="508" t="s">
        <v>1221</v>
      </c>
      <c r="W117" s="81">
        <f t="shared" si="12"/>
        <v>0.15</v>
      </c>
      <c r="X117" s="442">
        <f t="shared" si="13"/>
        <v>4.4999999999999998E-2</v>
      </c>
      <c r="Y117" s="280">
        <f t="shared" si="9"/>
        <v>9.3749999999999997E-3</v>
      </c>
    </row>
    <row r="118" spans="2:25" ht="76.5" customHeight="1" x14ac:dyDescent="0.25">
      <c r="B118" s="485" t="s">
        <v>391</v>
      </c>
      <c r="C118" s="485" t="s">
        <v>392</v>
      </c>
      <c r="D118" s="485" t="s">
        <v>142</v>
      </c>
      <c r="E118" s="485" t="s">
        <v>1026</v>
      </c>
      <c r="F118" s="55" t="s">
        <v>131</v>
      </c>
      <c r="G118" s="965"/>
      <c r="H118" s="441" t="s">
        <v>756</v>
      </c>
      <c r="I118" s="445">
        <v>6.25E-2</v>
      </c>
      <c r="J118" s="490">
        <v>100</v>
      </c>
      <c r="K118" s="1031"/>
      <c r="L118" s="1031"/>
      <c r="M118" s="55" t="s">
        <v>738</v>
      </c>
      <c r="N118" s="42">
        <v>3</v>
      </c>
      <c r="O118" s="224" t="s">
        <v>1046</v>
      </c>
      <c r="P118" s="430">
        <v>0.3</v>
      </c>
      <c r="Q118" s="432">
        <v>43800</v>
      </c>
      <c r="R118" s="432">
        <v>43830</v>
      </c>
      <c r="S118" s="430">
        <f t="shared" si="8"/>
        <v>1.8749999999999999E-2</v>
      </c>
      <c r="T118" s="82" t="s">
        <v>1196</v>
      </c>
      <c r="U118" s="292"/>
      <c r="V118" s="717"/>
      <c r="W118" s="81">
        <f t="shared" si="12"/>
        <v>0</v>
      </c>
      <c r="X118" s="442">
        <f t="shared" si="13"/>
        <v>0</v>
      </c>
      <c r="Y118" s="280">
        <f t="shared" si="9"/>
        <v>0</v>
      </c>
    </row>
    <row r="119" spans="2:25" ht="76.5" customHeight="1" x14ac:dyDescent="0.25">
      <c r="B119" s="485" t="s">
        <v>391</v>
      </c>
      <c r="C119" s="485" t="s">
        <v>392</v>
      </c>
      <c r="D119" s="485" t="s">
        <v>142</v>
      </c>
      <c r="E119" s="485" t="s">
        <v>1026</v>
      </c>
      <c r="F119" s="55" t="s">
        <v>131</v>
      </c>
      <c r="G119" s="965">
        <v>12</v>
      </c>
      <c r="H119" s="55" t="s">
        <v>758</v>
      </c>
      <c r="I119" s="445">
        <v>6.25E-2</v>
      </c>
      <c r="J119" s="490">
        <v>100</v>
      </c>
      <c r="K119" s="1031" t="s">
        <v>736</v>
      </c>
      <c r="L119" s="1031" t="s">
        <v>759</v>
      </c>
      <c r="M119" s="55" t="s">
        <v>738</v>
      </c>
      <c r="N119" s="42">
        <v>1</v>
      </c>
      <c r="O119" s="333" t="s">
        <v>1197</v>
      </c>
      <c r="P119" s="430">
        <v>0.4</v>
      </c>
      <c r="Q119" s="431">
        <v>43480</v>
      </c>
      <c r="R119" s="432">
        <v>43646</v>
      </c>
      <c r="S119" s="430">
        <f t="shared" si="8"/>
        <v>2.5000000000000001E-2</v>
      </c>
      <c r="T119" s="82" t="s">
        <v>1196</v>
      </c>
      <c r="U119" s="437">
        <v>1</v>
      </c>
      <c r="V119" s="508" t="s">
        <v>1222</v>
      </c>
      <c r="W119" s="81">
        <f t="shared" si="12"/>
        <v>0.4</v>
      </c>
      <c r="X119" s="442">
        <f t="shared" si="13"/>
        <v>0.4</v>
      </c>
      <c r="Y119" s="280">
        <f t="shared" si="9"/>
        <v>2.5000000000000001E-2</v>
      </c>
    </row>
    <row r="120" spans="2:25" ht="76.5" customHeight="1" x14ac:dyDescent="0.25">
      <c r="B120" s="485" t="s">
        <v>391</v>
      </c>
      <c r="C120" s="485" t="s">
        <v>392</v>
      </c>
      <c r="D120" s="485" t="s">
        <v>142</v>
      </c>
      <c r="E120" s="485" t="s">
        <v>1026</v>
      </c>
      <c r="F120" s="55" t="s">
        <v>131</v>
      </c>
      <c r="G120" s="965"/>
      <c r="H120" s="55" t="s">
        <v>758</v>
      </c>
      <c r="I120" s="445">
        <v>6.25E-2</v>
      </c>
      <c r="J120" s="490">
        <v>100</v>
      </c>
      <c r="K120" s="1031"/>
      <c r="L120" s="1031"/>
      <c r="M120" s="55" t="s">
        <v>738</v>
      </c>
      <c r="N120" s="42">
        <v>2</v>
      </c>
      <c r="O120" s="333" t="s">
        <v>1198</v>
      </c>
      <c r="P120" s="430">
        <v>0.2</v>
      </c>
      <c r="Q120" s="431">
        <v>43647</v>
      </c>
      <c r="R120" s="432">
        <v>43738</v>
      </c>
      <c r="S120" s="430">
        <f t="shared" si="8"/>
        <v>1.2500000000000001E-2</v>
      </c>
      <c r="T120" s="82" t="s">
        <v>1196</v>
      </c>
      <c r="U120" s="292"/>
      <c r="V120" s="717"/>
      <c r="W120" s="81">
        <f t="shared" si="12"/>
        <v>0</v>
      </c>
      <c r="X120" s="442">
        <f t="shared" si="13"/>
        <v>0</v>
      </c>
      <c r="Y120" s="280">
        <f t="shared" si="9"/>
        <v>0</v>
      </c>
    </row>
    <row r="121" spans="2:25" ht="76.5" customHeight="1" x14ac:dyDescent="0.25">
      <c r="B121" s="485" t="s">
        <v>391</v>
      </c>
      <c r="C121" s="485" t="s">
        <v>392</v>
      </c>
      <c r="D121" s="485" t="s">
        <v>142</v>
      </c>
      <c r="E121" s="485" t="s">
        <v>1026</v>
      </c>
      <c r="F121" s="55" t="s">
        <v>131</v>
      </c>
      <c r="G121" s="965"/>
      <c r="H121" s="55" t="s">
        <v>758</v>
      </c>
      <c r="I121" s="445">
        <v>6.25E-2</v>
      </c>
      <c r="J121" s="490">
        <v>100</v>
      </c>
      <c r="K121" s="1031"/>
      <c r="L121" s="1031"/>
      <c r="M121" s="55" t="s">
        <v>738</v>
      </c>
      <c r="N121" s="42">
        <v>3</v>
      </c>
      <c r="O121" s="333" t="s">
        <v>1199</v>
      </c>
      <c r="P121" s="430">
        <v>0.2</v>
      </c>
      <c r="Q121" s="431">
        <v>43739</v>
      </c>
      <c r="R121" s="432">
        <v>43769</v>
      </c>
      <c r="S121" s="430">
        <f t="shared" si="8"/>
        <v>1.2500000000000001E-2</v>
      </c>
      <c r="T121" s="82" t="s">
        <v>1196</v>
      </c>
      <c r="U121" s="292"/>
      <c r="V121" s="717"/>
      <c r="W121" s="81">
        <f t="shared" si="12"/>
        <v>0</v>
      </c>
      <c r="X121" s="442">
        <f t="shared" si="13"/>
        <v>0</v>
      </c>
      <c r="Y121" s="280">
        <f t="shared" si="9"/>
        <v>0</v>
      </c>
    </row>
    <row r="122" spans="2:25" ht="76.5" customHeight="1" x14ac:dyDescent="0.25">
      <c r="B122" s="485" t="s">
        <v>391</v>
      </c>
      <c r="C122" s="485" t="s">
        <v>392</v>
      </c>
      <c r="D122" s="485" t="s">
        <v>142</v>
      </c>
      <c r="E122" s="485" t="s">
        <v>1026</v>
      </c>
      <c r="F122" s="55" t="s">
        <v>131</v>
      </c>
      <c r="G122" s="965"/>
      <c r="H122" s="55" t="s">
        <v>758</v>
      </c>
      <c r="I122" s="445">
        <v>6.25E-2</v>
      </c>
      <c r="J122" s="490">
        <v>100</v>
      </c>
      <c r="K122" s="1031"/>
      <c r="L122" s="1031"/>
      <c r="M122" s="55" t="s">
        <v>738</v>
      </c>
      <c r="N122" s="42">
        <v>4</v>
      </c>
      <c r="O122" s="333" t="s">
        <v>1200</v>
      </c>
      <c r="P122" s="430">
        <v>0.2</v>
      </c>
      <c r="Q122" s="431">
        <v>43770</v>
      </c>
      <c r="R122" s="432">
        <v>43830</v>
      </c>
      <c r="S122" s="430">
        <f t="shared" si="8"/>
        <v>1.2500000000000001E-2</v>
      </c>
      <c r="T122" s="82" t="s">
        <v>1196</v>
      </c>
      <c r="U122" s="292"/>
      <c r="V122" s="717"/>
      <c r="W122" s="81">
        <f t="shared" si="12"/>
        <v>0</v>
      </c>
      <c r="X122" s="442">
        <f t="shared" si="13"/>
        <v>0</v>
      </c>
      <c r="Y122" s="280">
        <f t="shared" si="9"/>
        <v>0</v>
      </c>
    </row>
    <row r="123" spans="2:25" ht="76.5" customHeight="1" x14ac:dyDescent="0.25">
      <c r="B123" s="485" t="s">
        <v>391</v>
      </c>
      <c r="C123" s="485" t="s">
        <v>392</v>
      </c>
      <c r="D123" s="485" t="s">
        <v>142</v>
      </c>
      <c r="E123" s="485" t="s">
        <v>1026</v>
      </c>
      <c r="F123" s="55" t="s">
        <v>131</v>
      </c>
      <c r="G123" s="965">
        <v>13</v>
      </c>
      <c r="H123" s="55" t="s">
        <v>760</v>
      </c>
      <c r="I123" s="445">
        <v>6.25E-2</v>
      </c>
      <c r="J123" s="490">
        <v>100</v>
      </c>
      <c r="K123" s="1031" t="s">
        <v>736</v>
      </c>
      <c r="L123" s="1031" t="s">
        <v>761</v>
      </c>
      <c r="M123" s="55" t="s">
        <v>738</v>
      </c>
      <c r="N123" s="42">
        <v>1</v>
      </c>
      <c r="O123" s="333" t="s">
        <v>1201</v>
      </c>
      <c r="P123" s="430">
        <v>0.25</v>
      </c>
      <c r="Q123" s="431">
        <v>43480</v>
      </c>
      <c r="R123" s="432">
        <v>43554</v>
      </c>
      <c r="S123" s="430">
        <f t="shared" si="8"/>
        <v>1.5625E-2</v>
      </c>
      <c r="T123" s="82" t="s">
        <v>1204</v>
      </c>
      <c r="U123" s="437">
        <v>1</v>
      </c>
      <c r="V123" s="508" t="s">
        <v>1224</v>
      </c>
      <c r="W123" s="81">
        <f t="shared" si="12"/>
        <v>0.25</v>
      </c>
      <c r="X123" s="442">
        <f t="shared" si="13"/>
        <v>0.25</v>
      </c>
      <c r="Y123" s="280">
        <f t="shared" si="9"/>
        <v>1.5625E-2</v>
      </c>
    </row>
    <row r="124" spans="2:25" ht="76.5" customHeight="1" x14ac:dyDescent="0.25">
      <c r="B124" s="485" t="s">
        <v>391</v>
      </c>
      <c r="C124" s="485" t="s">
        <v>392</v>
      </c>
      <c r="D124" s="485" t="s">
        <v>142</v>
      </c>
      <c r="E124" s="485" t="s">
        <v>1026</v>
      </c>
      <c r="F124" s="55" t="s">
        <v>131</v>
      </c>
      <c r="G124" s="965"/>
      <c r="H124" s="55" t="s">
        <v>760</v>
      </c>
      <c r="I124" s="445">
        <v>6.25E-2</v>
      </c>
      <c r="J124" s="490">
        <v>100</v>
      </c>
      <c r="K124" s="1031"/>
      <c r="L124" s="1031"/>
      <c r="M124" s="55" t="s">
        <v>738</v>
      </c>
      <c r="N124" s="42">
        <v>2</v>
      </c>
      <c r="O124" s="333" t="s">
        <v>1202</v>
      </c>
      <c r="P124" s="430">
        <v>0.25</v>
      </c>
      <c r="Q124" s="431">
        <v>43556</v>
      </c>
      <c r="R124" s="432">
        <v>43646</v>
      </c>
      <c r="S124" s="430">
        <f t="shared" si="8"/>
        <v>1.5625E-2</v>
      </c>
      <c r="T124" s="82" t="s">
        <v>1204</v>
      </c>
      <c r="U124" s="437">
        <v>0.8</v>
      </c>
      <c r="V124" s="508" t="s">
        <v>890</v>
      </c>
      <c r="W124" s="81">
        <f t="shared" si="12"/>
        <v>0.2</v>
      </c>
      <c r="X124" s="442">
        <f t="shared" si="13"/>
        <v>0.16000000000000003</v>
      </c>
      <c r="Y124" s="280">
        <f t="shared" si="9"/>
        <v>1.2500000000000001E-2</v>
      </c>
    </row>
    <row r="125" spans="2:25" ht="76.5" customHeight="1" x14ac:dyDescent="0.25">
      <c r="B125" s="485" t="s">
        <v>391</v>
      </c>
      <c r="C125" s="485" t="s">
        <v>392</v>
      </c>
      <c r="D125" s="485" t="s">
        <v>142</v>
      </c>
      <c r="E125" s="485" t="s">
        <v>1026</v>
      </c>
      <c r="F125" s="55" t="s">
        <v>131</v>
      </c>
      <c r="G125" s="965"/>
      <c r="H125" s="55" t="s">
        <v>760</v>
      </c>
      <c r="I125" s="445">
        <v>6.25E-2</v>
      </c>
      <c r="J125" s="490">
        <v>100</v>
      </c>
      <c r="K125" s="1031"/>
      <c r="L125" s="1031"/>
      <c r="M125" s="55" t="s">
        <v>738</v>
      </c>
      <c r="N125" s="42">
        <v>3</v>
      </c>
      <c r="O125" s="333" t="s">
        <v>1047</v>
      </c>
      <c r="P125" s="430">
        <v>0.25</v>
      </c>
      <c r="Q125" s="431">
        <v>43647</v>
      </c>
      <c r="R125" s="432">
        <v>43738</v>
      </c>
      <c r="S125" s="430">
        <f t="shared" si="8"/>
        <v>1.5625E-2</v>
      </c>
      <c r="T125" s="82" t="s">
        <v>1204</v>
      </c>
      <c r="U125" s="292"/>
      <c r="V125" s="717"/>
      <c r="W125" s="81">
        <f t="shared" si="12"/>
        <v>0</v>
      </c>
      <c r="X125" s="442">
        <f t="shared" si="13"/>
        <v>0</v>
      </c>
      <c r="Y125" s="280">
        <f t="shared" si="9"/>
        <v>0</v>
      </c>
    </row>
    <row r="126" spans="2:25" ht="76.5" customHeight="1" x14ac:dyDescent="0.25">
      <c r="B126" s="485" t="s">
        <v>391</v>
      </c>
      <c r="C126" s="485" t="s">
        <v>392</v>
      </c>
      <c r="D126" s="485" t="s">
        <v>142</v>
      </c>
      <c r="E126" s="485" t="s">
        <v>1026</v>
      </c>
      <c r="F126" s="55" t="s">
        <v>131</v>
      </c>
      <c r="G126" s="965"/>
      <c r="H126" s="55" t="s">
        <v>760</v>
      </c>
      <c r="I126" s="445">
        <v>6.25E-2</v>
      </c>
      <c r="J126" s="490">
        <v>100</v>
      </c>
      <c r="K126" s="1031"/>
      <c r="L126" s="1031"/>
      <c r="M126" s="55" t="s">
        <v>738</v>
      </c>
      <c r="N126" s="42">
        <v>4</v>
      </c>
      <c r="O126" s="333" t="s">
        <v>1203</v>
      </c>
      <c r="P126" s="430">
        <v>0.25</v>
      </c>
      <c r="Q126" s="431">
        <v>43739</v>
      </c>
      <c r="R126" s="432">
        <v>43830</v>
      </c>
      <c r="S126" s="430">
        <f t="shared" si="8"/>
        <v>1.5625E-2</v>
      </c>
      <c r="T126" s="82" t="s">
        <v>1204</v>
      </c>
      <c r="U126" s="292"/>
      <c r="V126" s="717"/>
      <c r="W126" s="81">
        <f t="shared" si="12"/>
        <v>0</v>
      </c>
      <c r="X126" s="442">
        <f t="shared" si="13"/>
        <v>0</v>
      </c>
      <c r="Y126" s="280">
        <f t="shared" si="9"/>
        <v>0</v>
      </c>
    </row>
    <row r="127" spans="2:25" ht="76.5" customHeight="1" x14ac:dyDescent="0.25">
      <c r="B127" s="485" t="s">
        <v>391</v>
      </c>
      <c r="C127" s="485" t="s">
        <v>392</v>
      </c>
      <c r="D127" s="485" t="s">
        <v>142</v>
      </c>
      <c r="E127" s="485" t="s">
        <v>1026</v>
      </c>
      <c r="F127" s="55" t="s">
        <v>131</v>
      </c>
      <c r="G127" s="965">
        <v>14</v>
      </c>
      <c r="H127" s="472" t="s">
        <v>762</v>
      </c>
      <c r="I127" s="445">
        <v>6.25E-2</v>
      </c>
      <c r="J127" s="487">
        <v>100</v>
      </c>
      <c r="K127" s="744" t="s">
        <v>184</v>
      </c>
      <c r="L127" s="519" t="s">
        <v>763</v>
      </c>
      <c r="M127" s="473" t="s">
        <v>133</v>
      </c>
      <c r="N127" s="42">
        <v>1</v>
      </c>
      <c r="O127" s="224" t="s">
        <v>1048</v>
      </c>
      <c r="P127" s="430">
        <v>0.15</v>
      </c>
      <c r="Q127" s="431">
        <v>43480</v>
      </c>
      <c r="R127" s="432">
        <v>43511</v>
      </c>
      <c r="S127" s="430">
        <f t="shared" si="8"/>
        <v>9.3749999999999997E-3</v>
      </c>
      <c r="T127" s="82" t="s">
        <v>1204</v>
      </c>
      <c r="U127" s="437">
        <v>1</v>
      </c>
      <c r="V127" s="508" t="s">
        <v>1225</v>
      </c>
      <c r="W127" s="81">
        <f t="shared" si="12"/>
        <v>0.15</v>
      </c>
      <c r="X127" s="442">
        <f t="shared" si="13"/>
        <v>0.15</v>
      </c>
      <c r="Y127" s="280">
        <f t="shared" si="9"/>
        <v>9.3749999999999997E-3</v>
      </c>
    </row>
    <row r="128" spans="2:25" ht="76.5" customHeight="1" x14ac:dyDescent="0.25">
      <c r="B128" s="485" t="s">
        <v>391</v>
      </c>
      <c r="C128" s="485" t="s">
        <v>392</v>
      </c>
      <c r="D128" s="485" t="s">
        <v>142</v>
      </c>
      <c r="E128" s="485" t="s">
        <v>1026</v>
      </c>
      <c r="F128" s="55" t="s">
        <v>131</v>
      </c>
      <c r="G128" s="965"/>
      <c r="H128" s="472" t="s">
        <v>762</v>
      </c>
      <c r="I128" s="445">
        <v>6.25E-2</v>
      </c>
      <c r="J128" s="487">
        <v>100</v>
      </c>
      <c r="K128" s="744" t="s">
        <v>184</v>
      </c>
      <c r="L128" s="519" t="s">
        <v>763</v>
      </c>
      <c r="M128" s="473" t="s">
        <v>133</v>
      </c>
      <c r="N128" s="42">
        <v>2</v>
      </c>
      <c r="O128" s="224" t="s">
        <v>1049</v>
      </c>
      <c r="P128" s="430">
        <v>0.2</v>
      </c>
      <c r="Q128" s="431">
        <v>43512</v>
      </c>
      <c r="R128" s="432">
        <v>43585</v>
      </c>
      <c r="S128" s="430">
        <f t="shared" si="8"/>
        <v>1.2500000000000001E-2</v>
      </c>
      <c r="T128" s="82" t="s">
        <v>1204</v>
      </c>
      <c r="U128" s="437">
        <v>1</v>
      </c>
      <c r="V128" s="508" t="s">
        <v>1226</v>
      </c>
      <c r="W128" s="81">
        <f t="shared" si="12"/>
        <v>0.2</v>
      </c>
      <c r="X128" s="442">
        <f t="shared" si="13"/>
        <v>0.2</v>
      </c>
      <c r="Y128" s="280">
        <f t="shared" si="9"/>
        <v>1.2500000000000001E-2</v>
      </c>
    </row>
    <row r="129" spans="2:25" ht="76.5" customHeight="1" x14ac:dyDescent="0.25">
      <c r="B129" s="485" t="s">
        <v>391</v>
      </c>
      <c r="C129" s="485" t="s">
        <v>392</v>
      </c>
      <c r="D129" s="485" t="s">
        <v>142</v>
      </c>
      <c r="E129" s="485" t="s">
        <v>1026</v>
      </c>
      <c r="F129" s="55" t="s">
        <v>131</v>
      </c>
      <c r="G129" s="965"/>
      <c r="H129" s="472" t="s">
        <v>762</v>
      </c>
      <c r="I129" s="445">
        <v>6.25E-2</v>
      </c>
      <c r="J129" s="487">
        <v>100</v>
      </c>
      <c r="K129" s="744" t="s">
        <v>184</v>
      </c>
      <c r="L129" s="519" t="s">
        <v>763</v>
      </c>
      <c r="M129" s="473" t="s">
        <v>133</v>
      </c>
      <c r="N129" s="42">
        <v>3</v>
      </c>
      <c r="O129" s="224" t="s">
        <v>1050</v>
      </c>
      <c r="P129" s="430">
        <v>0.45</v>
      </c>
      <c r="Q129" s="431">
        <v>43586</v>
      </c>
      <c r="R129" s="432">
        <v>43799</v>
      </c>
      <c r="S129" s="430">
        <f t="shared" si="8"/>
        <v>2.8125000000000001E-2</v>
      </c>
      <c r="T129" s="82" t="s">
        <v>1204</v>
      </c>
      <c r="U129" s="468">
        <v>0.05</v>
      </c>
      <c r="V129" s="509" t="s">
        <v>1227</v>
      </c>
      <c r="W129" s="81">
        <f t="shared" si="12"/>
        <v>2.2500000000000003E-2</v>
      </c>
      <c r="X129" s="442">
        <f t="shared" si="13"/>
        <v>1.1250000000000001E-3</v>
      </c>
      <c r="Y129" s="280">
        <f t="shared" si="9"/>
        <v>1.4062500000000002E-3</v>
      </c>
    </row>
    <row r="130" spans="2:25" ht="76.5" customHeight="1" x14ac:dyDescent="0.25">
      <c r="B130" s="485" t="s">
        <v>391</v>
      </c>
      <c r="C130" s="485" t="s">
        <v>392</v>
      </c>
      <c r="D130" s="485" t="s">
        <v>142</v>
      </c>
      <c r="E130" s="485" t="s">
        <v>1026</v>
      </c>
      <c r="F130" s="55" t="s">
        <v>131</v>
      </c>
      <c r="G130" s="965"/>
      <c r="H130" s="472" t="s">
        <v>762</v>
      </c>
      <c r="I130" s="445">
        <v>6.25E-2</v>
      </c>
      <c r="J130" s="487">
        <v>100</v>
      </c>
      <c r="K130" s="744" t="s">
        <v>184</v>
      </c>
      <c r="L130" s="519" t="s">
        <v>763</v>
      </c>
      <c r="M130" s="473" t="s">
        <v>133</v>
      </c>
      <c r="N130" s="42">
        <v>4</v>
      </c>
      <c r="O130" s="224" t="s">
        <v>1051</v>
      </c>
      <c r="P130" s="430">
        <v>0.2</v>
      </c>
      <c r="Q130" s="431">
        <v>43800</v>
      </c>
      <c r="R130" s="432">
        <v>43830</v>
      </c>
      <c r="S130" s="430">
        <f t="shared" si="8"/>
        <v>1.2500000000000001E-2</v>
      </c>
      <c r="T130" s="82" t="s">
        <v>1204</v>
      </c>
      <c r="U130" s="292"/>
      <c r="V130" s="717"/>
      <c r="W130" s="81">
        <f t="shared" si="12"/>
        <v>0</v>
      </c>
      <c r="X130" s="442">
        <f t="shared" si="13"/>
        <v>0</v>
      </c>
      <c r="Y130" s="280">
        <f t="shared" si="9"/>
        <v>0</v>
      </c>
    </row>
    <row r="131" spans="2:25" ht="76.5" customHeight="1" x14ac:dyDescent="0.25">
      <c r="B131" s="485" t="s">
        <v>391</v>
      </c>
      <c r="C131" s="485" t="s">
        <v>392</v>
      </c>
      <c r="D131" s="485" t="s">
        <v>23</v>
      </c>
      <c r="E131" s="485" t="s">
        <v>1026</v>
      </c>
      <c r="F131" s="55" t="s">
        <v>131</v>
      </c>
      <c r="G131" s="965">
        <v>15</v>
      </c>
      <c r="H131" s="471" t="s">
        <v>764</v>
      </c>
      <c r="I131" s="445">
        <v>6.25E-2</v>
      </c>
      <c r="J131" s="487">
        <v>100</v>
      </c>
      <c r="K131" s="744" t="s">
        <v>184</v>
      </c>
      <c r="L131" s="361" t="s">
        <v>765</v>
      </c>
      <c r="M131" s="473" t="s">
        <v>133</v>
      </c>
      <c r="N131" s="42">
        <v>1</v>
      </c>
      <c r="O131" s="224" t="s">
        <v>1052</v>
      </c>
      <c r="P131" s="430">
        <v>0.2</v>
      </c>
      <c r="Q131" s="431">
        <v>43480</v>
      </c>
      <c r="R131" s="432">
        <v>43585</v>
      </c>
      <c r="S131" s="430">
        <f t="shared" si="8"/>
        <v>1.2500000000000001E-2</v>
      </c>
      <c r="T131" s="82" t="s">
        <v>1204</v>
      </c>
      <c r="U131" s="437">
        <v>1</v>
      </c>
      <c r="V131" s="508" t="s">
        <v>1315</v>
      </c>
      <c r="W131" s="81">
        <f t="shared" si="12"/>
        <v>0.2</v>
      </c>
      <c r="X131" s="442">
        <f t="shared" si="13"/>
        <v>0.2</v>
      </c>
      <c r="Y131" s="280">
        <f t="shared" si="9"/>
        <v>1.2500000000000001E-2</v>
      </c>
    </row>
    <row r="132" spans="2:25" ht="76.5" customHeight="1" x14ac:dyDescent="0.25">
      <c r="B132" s="485" t="s">
        <v>391</v>
      </c>
      <c r="C132" s="485" t="s">
        <v>392</v>
      </c>
      <c r="D132" s="485" t="s">
        <v>23</v>
      </c>
      <c r="E132" s="485" t="s">
        <v>1026</v>
      </c>
      <c r="F132" s="55" t="s">
        <v>131</v>
      </c>
      <c r="G132" s="965"/>
      <c r="H132" s="471" t="s">
        <v>764</v>
      </c>
      <c r="I132" s="445">
        <v>6.25E-2</v>
      </c>
      <c r="J132" s="487">
        <v>100</v>
      </c>
      <c r="K132" s="744" t="s">
        <v>184</v>
      </c>
      <c r="L132" s="361" t="s">
        <v>765</v>
      </c>
      <c r="M132" s="473" t="s">
        <v>133</v>
      </c>
      <c r="N132" s="42">
        <v>2</v>
      </c>
      <c r="O132" s="224" t="s">
        <v>1053</v>
      </c>
      <c r="P132" s="430">
        <v>0.3</v>
      </c>
      <c r="Q132" s="431">
        <v>43586</v>
      </c>
      <c r="R132" s="432">
        <v>43676</v>
      </c>
      <c r="S132" s="430">
        <f t="shared" si="8"/>
        <v>1.8749999999999999E-2</v>
      </c>
      <c r="T132" s="82" t="s">
        <v>1204</v>
      </c>
      <c r="U132" s="437">
        <v>0.75</v>
      </c>
      <c r="V132" s="508" t="s">
        <v>1228</v>
      </c>
      <c r="W132" s="81">
        <f t="shared" si="12"/>
        <v>0.22499999999999998</v>
      </c>
      <c r="X132" s="442">
        <f t="shared" si="13"/>
        <v>0.16874999999999998</v>
      </c>
      <c r="Y132" s="280">
        <f t="shared" si="9"/>
        <v>1.4062499999999999E-2</v>
      </c>
    </row>
    <row r="133" spans="2:25" ht="76.5" customHeight="1" x14ac:dyDescent="0.25">
      <c r="B133" s="485" t="s">
        <v>391</v>
      </c>
      <c r="C133" s="485" t="s">
        <v>392</v>
      </c>
      <c r="D133" s="485" t="s">
        <v>23</v>
      </c>
      <c r="E133" s="485" t="s">
        <v>1026</v>
      </c>
      <c r="F133" s="55" t="s">
        <v>131</v>
      </c>
      <c r="G133" s="965"/>
      <c r="H133" s="471" t="s">
        <v>764</v>
      </c>
      <c r="I133" s="445">
        <v>6.25E-2</v>
      </c>
      <c r="J133" s="487">
        <v>100</v>
      </c>
      <c r="K133" s="744" t="s">
        <v>184</v>
      </c>
      <c r="L133" s="361" t="s">
        <v>765</v>
      </c>
      <c r="M133" s="473" t="s">
        <v>133</v>
      </c>
      <c r="N133" s="42">
        <v>3</v>
      </c>
      <c r="O133" s="224" t="s">
        <v>1054</v>
      </c>
      <c r="P133" s="430">
        <v>0.5</v>
      </c>
      <c r="Q133" s="431">
        <v>43678</v>
      </c>
      <c r="R133" s="432">
        <v>43830</v>
      </c>
      <c r="S133" s="430">
        <f t="shared" si="8"/>
        <v>3.125E-2</v>
      </c>
      <c r="T133" s="82" t="s">
        <v>1204</v>
      </c>
      <c r="U133" s="292"/>
      <c r="V133" s="717"/>
      <c r="W133" s="81">
        <f t="shared" si="12"/>
        <v>0</v>
      </c>
      <c r="X133" s="442">
        <f t="shared" si="13"/>
        <v>0</v>
      </c>
      <c r="Y133" s="280">
        <f t="shared" si="9"/>
        <v>0</v>
      </c>
    </row>
    <row r="134" spans="2:25" ht="76.5" customHeight="1" x14ac:dyDescent="0.25">
      <c r="B134" s="485" t="s">
        <v>391</v>
      </c>
      <c r="C134" s="485" t="s">
        <v>392</v>
      </c>
      <c r="D134" s="485" t="s">
        <v>142</v>
      </c>
      <c r="E134" s="485" t="s">
        <v>1016</v>
      </c>
      <c r="F134" s="55" t="s">
        <v>131</v>
      </c>
      <c r="G134" s="965">
        <v>16</v>
      </c>
      <c r="H134" s="474" t="s">
        <v>766</v>
      </c>
      <c r="I134" s="445">
        <v>6.25E-2</v>
      </c>
      <c r="J134" s="487">
        <v>100</v>
      </c>
      <c r="K134" s="744" t="s">
        <v>184</v>
      </c>
      <c r="L134" s="520" t="s">
        <v>767</v>
      </c>
      <c r="M134" s="473" t="s">
        <v>133</v>
      </c>
      <c r="N134" s="42">
        <v>1</v>
      </c>
      <c r="O134" s="447" t="s">
        <v>1055</v>
      </c>
      <c r="P134" s="447">
        <v>0.2</v>
      </c>
      <c r="Q134" s="431">
        <v>43480</v>
      </c>
      <c r="R134" s="432">
        <v>43511</v>
      </c>
      <c r="S134" s="430">
        <f t="shared" ref="S134:S197" si="14">+I134*P134</f>
        <v>1.2500000000000001E-2</v>
      </c>
      <c r="T134" s="82" t="s">
        <v>1205</v>
      </c>
      <c r="U134" s="437">
        <v>1</v>
      </c>
      <c r="V134" s="508" t="s">
        <v>1316</v>
      </c>
      <c r="W134" s="81">
        <f t="shared" si="12"/>
        <v>0.2</v>
      </c>
      <c r="X134" s="442">
        <f t="shared" si="13"/>
        <v>0.2</v>
      </c>
      <c r="Y134" s="280">
        <f t="shared" ref="Y134:Y197" si="15">W134*I134</f>
        <v>1.2500000000000001E-2</v>
      </c>
    </row>
    <row r="135" spans="2:25" ht="76.5" customHeight="1" x14ac:dyDescent="0.25">
      <c r="B135" s="485" t="s">
        <v>391</v>
      </c>
      <c r="C135" s="485" t="s">
        <v>392</v>
      </c>
      <c r="D135" s="485" t="s">
        <v>142</v>
      </c>
      <c r="E135" s="485" t="s">
        <v>1026</v>
      </c>
      <c r="F135" s="55" t="s">
        <v>131</v>
      </c>
      <c r="G135" s="965"/>
      <c r="H135" s="474" t="s">
        <v>766</v>
      </c>
      <c r="I135" s="445">
        <v>6.25E-2</v>
      </c>
      <c r="J135" s="487">
        <v>100</v>
      </c>
      <c r="K135" s="744" t="s">
        <v>184</v>
      </c>
      <c r="L135" s="520" t="s">
        <v>767</v>
      </c>
      <c r="M135" s="473" t="s">
        <v>133</v>
      </c>
      <c r="N135" s="42">
        <v>2</v>
      </c>
      <c r="O135" s="447" t="s">
        <v>1056</v>
      </c>
      <c r="P135" s="447">
        <v>0.4</v>
      </c>
      <c r="Q135" s="431">
        <v>43512</v>
      </c>
      <c r="R135" s="432">
        <v>43676</v>
      </c>
      <c r="S135" s="430">
        <f t="shared" si="14"/>
        <v>2.5000000000000001E-2</v>
      </c>
      <c r="T135" s="82" t="s">
        <v>1205</v>
      </c>
      <c r="U135" s="437">
        <v>0.95</v>
      </c>
      <c r="V135" s="508" t="s">
        <v>1229</v>
      </c>
      <c r="W135" s="81">
        <f t="shared" ref="W135:W143" si="16">U135*P135</f>
        <v>0.38</v>
      </c>
      <c r="X135" s="442">
        <f t="shared" ref="X135:X143" si="17">W135*U135</f>
        <v>0.36099999999999999</v>
      </c>
      <c r="Y135" s="280">
        <f t="shared" si="15"/>
        <v>2.375E-2</v>
      </c>
    </row>
    <row r="136" spans="2:25" ht="76.5" customHeight="1" x14ac:dyDescent="0.25">
      <c r="B136" s="485" t="s">
        <v>391</v>
      </c>
      <c r="C136" s="485" t="s">
        <v>392</v>
      </c>
      <c r="D136" s="485" t="s">
        <v>142</v>
      </c>
      <c r="E136" s="485" t="s">
        <v>1026</v>
      </c>
      <c r="F136" s="55" t="s">
        <v>131</v>
      </c>
      <c r="G136" s="965"/>
      <c r="H136" s="474" t="s">
        <v>766</v>
      </c>
      <c r="I136" s="445">
        <v>6.25E-2</v>
      </c>
      <c r="J136" s="487">
        <v>100</v>
      </c>
      <c r="K136" s="744" t="s">
        <v>184</v>
      </c>
      <c r="L136" s="520" t="s">
        <v>767</v>
      </c>
      <c r="M136" s="473" t="s">
        <v>133</v>
      </c>
      <c r="N136" s="42">
        <v>3</v>
      </c>
      <c r="O136" s="447" t="s">
        <v>1057</v>
      </c>
      <c r="P136" s="447">
        <v>0.3</v>
      </c>
      <c r="Q136" s="431">
        <v>43678</v>
      </c>
      <c r="R136" s="432">
        <v>43784</v>
      </c>
      <c r="S136" s="430">
        <f t="shared" si="14"/>
        <v>1.8749999999999999E-2</v>
      </c>
      <c r="T136" s="82" t="s">
        <v>1205</v>
      </c>
      <c r="U136" s="292"/>
      <c r="V136" s="717"/>
      <c r="W136" s="81">
        <f t="shared" si="16"/>
        <v>0</v>
      </c>
      <c r="X136" s="442">
        <f t="shared" si="17"/>
        <v>0</v>
      </c>
      <c r="Y136" s="280">
        <f t="shared" si="15"/>
        <v>0</v>
      </c>
    </row>
    <row r="137" spans="2:25" ht="76.5" customHeight="1" x14ac:dyDescent="0.25">
      <c r="B137" s="485" t="s">
        <v>391</v>
      </c>
      <c r="C137" s="485" t="s">
        <v>392</v>
      </c>
      <c r="D137" s="485" t="s">
        <v>142</v>
      </c>
      <c r="E137" s="485" t="s">
        <v>1026</v>
      </c>
      <c r="F137" s="55" t="s">
        <v>131</v>
      </c>
      <c r="G137" s="965"/>
      <c r="H137" s="474" t="s">
        <v>766</v>
      </c>
      <c r="I137" s="445">
        <v>6.25E-2</v>
      </c>
      <c r="J137" s="487">
        <v>100</v>
      </c>
      <c r="K137" s="744" t="s">
        <v>184</v>
      </c>
      <c r="L137" s="520" t="s">
        <v>767</v>
      </c>
      <c r="M137" s="473" t="s">
        <v>133</v>
      </c>
      <c r="N137" s="42">
        <v>4</v>
      </c>
      <c r="O137" s="447" t="s">
        <v>1058</v>
      </c>
      <c r="P137" s="447">
        <v>0.1</v>
      </c>
      <c r="Q137" s="431">
        <v>43785</v>
      </c>
      <c r="R137" s="432">
        <v>43830</v>
      </c>
      <c r="S137" s="430">
        <f t="shared" si="14"/>
        <v>6.2500000000000003E-3</v>
      </c>
      <c r="T137" s="82" t="s">
        <v>1205</v>
      </c>
      <c r="U137" s="292"/>
      <c r="V137" s="717"/>
      <c r="W137" s="81">
        <f t="shared" si="16"/>
        <v>0</v>
      </c>
      <c r="X137" s="442">
        <f t="shared" si="17"/>
        <v>0</v>
      </c>
      <c r="Y137" s="280">
        <f t="shared" si="15"/>
        <v>0</v>
      </c>
    </row>
    <row r="138" spans="2:25" ht="76.5" customHeight="1" x14ac:dyDescent="0.25">
      <c r="B138" s="485" t="s">
        <v>391</v>
      </c>
      <c r="C138" s="484" t="s">
        <v>392</v>
      </c>
      <c r="D138" s="484" t="s">
        <v>52</v>
      </c>
      <c r="E138" s="229" t="s">
        <v>539</v>
      </c>
      <c r="F138" s="55" t="s">
        <v>176</v>
      </c>
      <c r="G138" s="965">
        <v>1</v>
      </c>
      <c r="H138" s="55" t="s">
        <v>773</v>
      </c>
      <c r="I138" s="488">
        <v>0.2</v>
      </c>
      <c r="J138" s="491">
        <v>2</v>
      </c>
      <c r="K138" s="1028" t="s">
        <v>1059</v>
      </c>
      <c r="L138" s="1028" t="s">
        <v>774</v>
      </c>
      <c r="M138" s="436" t="s">
        <v>834</v>
      </c>
      <c r="N138" s="42">
        <v>1</v>
      </c>
      <c r="O138" s="333" t="s">
        <v>521</v>
      </c>
      <c r="P138" s="430">
        <v>0.1</v>
      </c>
      <c r="Q138" s="444">
        <v>43606</v>
      </c>
      <c r="R138" s="431">
        <v>43623</v>
      </c>
      <c r="S138" s="430">
        <f t="shared" si="14"/>
        <v>2.0000000000000004E-2</v>
      </c>
      <c r="T138" s="536" t="s">
        <v>834</v>
      </c>
      <c r="U138" s="468">
        <v>1</v>
      </c>
      <c r="V138" s="710" t="s">
        <v>1164</v>
      </c>
      <c r="W138" s="81">
        <f>U138*P138</f>
        <v>0.1</v>
      </c>
      <c r="X138" s="430">
        <f>W138*U138</f>
        <v>0.1</v>
      </c>
      <c r="Y138" s="280">
        <f t="shared" si="15"/>
        <v>2.0000000000000004E-2</v>
      </c>
    </row>
    <row r="139" spans="2:25" ht="76.5" customHeight="1" x14ac:dyDescent="0.25">
      <c r="B139" s="485" t="s">
        <v>391</v>
      </c>
      <c r="C139" s="484" t="s">
        <v>392</v>
      </c>
      <c r="D139" s="484" t="s">
        <v>52</v>
      </c>
      <c r="E139" s="229" t="s">
        <v>539</v>
      </c>
      <c r="F139" s="55" t="s">
        <v>176</v>
      </c>
      <c r="G139" s="965"/>
      <c r="H139" s="55" t="s">
        <v>773</v>
      </c>
      <c r="I139" s="488">
        <v>0.2</v>
      </c>
      <c r="J139" s="491">
        <v>2</v>
      </c>
      <c r="K139" s="1028"/>
      <c r="L139" s="1028"/>
      <c r="M139" s="436" t="s">
        <v>834</v>
      </c>
      <c r="N139" s="42">
        <v>2</v>
      </c>
      <c r="O139" s="333" t="s">
        <v>485</v>
      </c>
      <c r="P139" s="430">
        <v>0.35</v>
      </c>
      <c r="Q139" s="431">
        <v>43633</v>
      </c>
      <c r="R139" s="432">
        <v>43644</v>
      </c>
      <c r="S139" s="430">
        <f t="shared" si="14"/>
        <v>6.9999999999999993E-2</v>
      </c>
      <c r="T139" s="536" t="s">
        <v>834</v>
      </c>
      <c r="U139" s="468">
        <v>1</v>
      </c>
      <c r="V139" s="710" t="s">
        <v>1288</v>
      </c>
      <c r="W139" s="81">
        <f>U139*P139</f>
        <v>0.35</v>
      </c>
      <c r="X139" s="430">
        <f>W139*U139</f>
        <v>0.35</v>
      </c>
      <c r="Y139" s="280">
        <f t="shared" si="15"/>
        <v>6.9999999999999993E-2</v>
      </c>
    </row>
    <row r="140" spans="2:25" ht="76.5" customHeight="1" x14ac:dyDescent="0.25">
      <c r="B140" s="485" t="s">
        <v>391</v>
      </c>
      <c r="C140" s="484" t="s">
        <v>392</v>
      </c>
      <c r="D140" s="484" t="s">
        <v>52</v>
      </c>
      <c r="E140" s="229" t="s">
        <v>539</v>
      </c>
      <c r="F140" s="55" t="s">
        <v>176</v>
      </c>
      <c r="G140" s="965"/>
      <c r="H140" s="55" t="s">
        <v>773</v>
      </c>
      <c r="I140" s="488">
        <v>0.2</v>
      </c>
      <c r="J140" s="491">
        <v>2</v>
      </c>
      <c r="K140" s="1028"/>
      <c r="L140" s="1028"/>
      <c r="M140" s="436" t="s">
        <v>834</v>
      </c>
      <c r="N140" s="42">
        <v>3</v>
      </c>
      <c r="O140" s="333" t="s">
        <v>1060</v>
      </c>
      <c r="P140" s="430">
        <v>0.05</v>
      </c>
      <c r="Q140" s="431">
        <v>43645</v>
      </c>
      <c r="R140" s="432">
        <v>43654</v>
      </c>
      <c r="S140" s="430">
        <f t="shared" si="14"/>
        <v>1.0000000000000002E-2</v>
      </c>
      <c r="T140" s="536" t="s">
        <v>834</v>
      </c>
      <c r="U140" s="468"/>
      <c r="V140" s="710"/>
      <c r="W140" s="81">
        <f>U140*P140</f>
        <v>0</v>
      </c>
      <c r="X140" s="430">
        <f>W140*U140</f>
        <v>0</v>
      </c>
      <c r="Y140" s="280">
        <f t="shared" si="15"/>
        <v>0</v>
      </c>
    </row>
    <row r="141" spans="2:25" ht="76.5" customHeight="1" x14ac:dyDescent="0.25">
      <c r="B141" s="485" t="s">
        <v>391</v>
      </c>
      <c r="C141" s="484" t="s">
        <v>392</v>
      </c>
      <c r="D141" s="484" t="s">
        <v>52</v>
      </c>
      <c r="E141" s="229" t="s">
        <v>539</v>
      </c>
      <c r="F141" s="55" t="s">
        <v>176</v>
      </c>
      <c r="G141" s="965"/>
      <c r="H141" s="55" t="s">
        <v>773</v>
      </c>
      <c r="I141" s="488">
        <v>0.2</v>
      </c>
      <c r="J141" s="491">
        <v>2</v>
      </c>
      <c r="K141" s="1028"/>
      <c r="L141" s="1028"/>
      <c r="M141" s="436" t="s">
        <v>834</v>
      </c>
      <c r="N141" s="42">
        <v>1</v>
      </c>
      <c r="O141" s="333" t="s">
        <v>521</v>
      </c>
      <c r="P141" s="430">
        <v>0.1</v>
      </c>
      <c r="Q141" s="431">
        <v>43778</v>
      </c>
      <c r="R141" s="432">
        <v>43785</v>
      </c>
      <c r="S141" s="430">
        <f t="shared" si="14"/>
        <v>2.0000000000000004E-2</v>
      </c>
      <c r="T141" s="536" t="s">
        <v>834</v>
      </c>
      <c r="U141" s="468"/>
      <c r="V141" s="711"/>
      <c r="W141" s="81">
        <f t="shared" si="16"/>
        <v>0</v>
      </c>
      <c r="X141" s="430">
        <f t="shared" si="17"/>
        <v>0</v>
      </c>
      <c r="Y141" s="280">
        <f t="shared" si="15"/>
        <v>0</v>
      </c>
    </row>
    <row r="142" spans="2:25" ht="76.5" customHeight="1" x14ac:dyDescent="0.25">
      <c r="B142" s="485" t="s">
        <v>391</v>
      </c>
      <c r="C142" s="484" t="s">
        <v>392</v>
      </c>
      <c r="D142" s="484" t="s">
        <v>52</v>
      </c>
      <c r="E142" s="229" t="s">
        <v>539</v>
      </c>
      <c r="F142" s="55" t="s">
        <v>176</v>
      </c>
      <c r="G142" s="965"/>
      <c r="H142" s="55" t="s">
        <v>773</v>
      </c>
      <c r="I142" s="488">
        <v>0.2</v>
      </c>
      <c r="J142" s="491">
        <v>2</v>
      </c>
      <c r="K142" s="1028"/>
      <c r="L142" s="1028"/>
      <c r="M142" s="436" t="s">
        <v>834</v>
      </c>
      <c r="N142" s="42">
        <v>2</v>
      </c>
      <c r="O142" s="333" t="s">
        <v>485</v>
      </c>
      <c r="P142" s="430">
        <v>0.35</v>
      </c>
      <c r="Q142" s="431">
        <v>43794</v>
      </c>
      <c r="R142" s="432">
        <v>43808</v>
      </c>
      <c r="S142" s="430">
        <f t="shared" si="14"/>
        <v>6.9999999999999993E-2</v>
      </c>
      <c r="T142" s="536" t="s">
        <v>834</v>
      </c>
      <c r="U142" s="468"/>
      <c r="V142" s="711"/>
      <c r="W142" s="81">
        <f t="shared" si="16"/>
        <v>0</v>
      </c>
      <c r="X142" s="430">
        <f t="shared" si="17"/>
        <v>0</v>
      </c>
      <c r="Y142" s="280">
        <f t="shared" si="15"/>
        <v>0</v>
      </c>
    </row>
    <row r="143" spans="2:25" ht="76.5" customHeight="1" x14ac:dyDescent="0.25">
      <c r="B143" s="485" t="s">
        <v>391</v>
      </c>
      <c r="C143" s="484" t="s">
        <v>392</v>
      </c>
      <c r="D143" s="484" t="s">
        <v>52</v>
      </c>
      <c r="E143" s="229" t="s">
        <v>539</v>
      </c>
      <c r="F143" s="55" t="s">
        <v>176</v>
      </c>
      <c r="G143" s="965"/>
      <c r="H143" s="55" t="s">
        <v>773</v>
      </c>
      <c r="I143" s="488">
        <v>0.2</v>
      </c>
      <c r="J143" s="491">
        <v>2</v>
      </c>
      <c r="K143" s="1028"/>
      <c r="L143" s="1028"/>
      <c r="M143" s="436" t="s">
        <v>834</v>
      </c>
      <c r="N143" s="42">
        <v>3</v>
      </c>
      <c r="O143" s="333" t="s">
        <v>1060</v>
      </c>
      <c r="P143" s="430">
        <v>0.05</v>
      </c>
      <c r="Q143" s="431">
        <v>43809</v>
      </c>
      <c r="R143" s="432">
        <v>43815</v>
      </c>
      <c r="S143" s="430">
        <f t="shared" si="14"/>
        <v>1.0000000000000002E-2</v>
      </c>
      <c r="T143" s="536" t="s">
        <v>834</v>
      </c>
      <c r="U143" s="468"/>
      <c r="V143" s="711"/>
      <c r="W143" s="81">
        <f t="shared" si="16"/>
        <v>0</v>
      </c>
      <c r="X143" s="430">
        <f t="shared" si="17"/>
        <v>0</v>
      </c>
      <c r="Y143" s="280">
        <f t="shared" si="15"/>
        <v>0</v>
      </c>
    </row>
    <row r="144" spans="2:25" ht="76.5" customHeight="1" x14ac:dyDescent="0.25">
      <c r="B144" s="485" t="s">
        <v>391</v>
      </c>
      <c r="C144" s="484" t="s">
        <v>392</v>
      </c>
      <c r="D144" s="484" t="s">
        <v>52</v>
      </c>
      <c r="E144" s="229" t="s">
        <v>539</v>
      </c>
      <c r="F144" s="55" t="s">
        <v>176</v>
      </c>
      <c r="G144" s="965">
        <v>2</v>
      </c>
      <c r="H144" s="441" t="s">
        <v>1061</v>
      </c>
      <c r="I144" s="489">
        <v>0.2</v>
      </c>
      <c r="J144" s="516">
        <v>100</v>
      </c>
      <c r="K144" s="1029" t="s">
        <v>481</v>
      </c>
      <c r="L144" s="1029" t="s">
        <v>1062</v>
      </c>
      <c r="M144" s="438" t="s">
        <v>834</v>
      </c>
      <c r="N144" s="42">
        <v>1</v>
      </c>
      <c r="O144" s="224" t="s">
        <v>1063</v>
      </c>
      <c r="P144" s="450">
        <v>0.15</v>
      </c>
      <c r="Q144" s="451">
        <v>43475</v>
      </c>
      <c r="R144" s="452">
        <v>43524</v>
      </c>
      <c r="S144" s="430">
        <f t="shared" si="14"/>
        <v>0.03</v>
      </c>
      <c r="T144" s="538" t="s">
        <v>834</v>
      </c>
      <c r="U144" s="539">
        <v>1</v>
      </c>
      <c r="V144" s="710" t="s">
        <v>1286</v>
      </c>
      <c r="W144" s="81">
        <f t="shared" ref="W144:W157" si="18">U144*P144</f>
        <v>0.15</v>
      </c>
      <c r="X144" s="442">
        <f t="shared" ref="X144:X157" si="19">W144*U144</f>
        <v>0.15</v>
      </c>
      <c r="Y144" s="280">
        <f t="shared" si="15"/>
        <v>0.03</v>
      </c>
    </row>
    <row r="145" spans="2:25" ht="76.5" customHeight="1" x14ac:dyDescent="0.25">
      <c r="B145" s="485" t="s">
        <v>391</v>
      </c>
      <c r="C145" s="484" t="s">
        <v>392</v>
      </c>
      <c r="D145" s="484" t="s">
        <v>52</v>
      </c>
      <c r="E145" s="229" t="s">
        <v>539</v>
      </c>
      <c r="F145" s="55" t="s">
        <v>176</v>
      </c>
      <c r="G145" s="965"/>
      <c r="H145" s="441" t="s">
        <v>1061</v>
      </c>
      <c r="I145" s="489">
        <v>0.2</v>
      </c>
      <c r="J145" s="516">
        <v>100</v>
      </c>
      <c r="K145" s="1029"/>
      <c r="L145" s="1029"/>
      <c r="M145" s="438" t="s">
        <v>834</v>
      </c>
      <c r="N145" s="42">
        <v>2</v>
      </c>
      <c r="O145" s="224" t="s">
        <v>1064</v>
      </c>
      <c r="P145" s="450">
        <v>0.4</v>
      </c>
      <c r="Q145" s="451">
        <v>43525</v>
      </c>
      <c r="R145" s="452">
        <v>43585</v>
      </c>
      <c r="S145" s="430">
        <f t="shared" si="14"/>
        <v>8.0000000000000016E-2</v>
      </c>
      <c r="T145" s="538" t="s">
        <v>834</v>
      </c>
      <c r="U145" s="539">
        <v>0.5</v>
      </c>
      <c r="V145" s="710" t="s">
        <v>1305</v>
      </c>
      <c r="W145" s="81">
        <f t="shared" si="18"/>
        <v>0.2</v>
      </c>
      <c r="X145" s="442">
        <f t="shared" si="19"/>
        <v>0.1</v>
      </c>
      <c r="Y145" s="280">
        <f t="shared" si="15"/>
        <v>4.0000000000000008E-2</v>
      </c>
    </row>
    <row r="146" spans="2:25" ht="76.5" customHeight="1" x14ac:dyDescent="0.25">
      <c r="B146" s="485" t="s">
        <v>391</v>
      </c>
      <c r="C146" s="484" t="s">
        <v>392</v>
      </c>
      <c r="D146" s="484" t="s">
        <v>52</v>
      </c>
      <c r="E146" s="229" t="s">
        <v>539</v>
      </c>
      <c r="F146" s="55" t="s">
        <v>176</v>
      </c>
      <c r="G146" s="965"/>
      <c r="H146" s="441" t="s">
        <v>1061</v>
      </c>
      <c r="I146" s="489">
        <v>0.2</v>
      </c>
      <c r="J146" s="516">
        <v>100</v>
      </c>
      <c r="K146" s="1029"/>
      <c r="L146" s="1029"/>
      <c r="M146" s="438" t="s">
        <v>834</v>
      </c>
      <c r="N146" s="42">
        <v>3</v>
      </c>
      <c r="O146" s="224" t="s">
        <v>1065</v>
      </c>
      <c r="P146" s="450">
        <v>0.15</v>
      </c>
      <c r="Q146" s="451">
        <v>43586</v>
      </c>
      <c r="R146" s="452">
        <v>43616</v>
      </c>
      <c r="S146" s="430">
        <f t="shared" si="14"/>
        <v>0.03</v>
      </c>
      <c r="T146" s="538" t="s">
        <v>834</v>
      </c>
      <c r="U146" s="539">
        <v>0</v>
      </c>
      <c r="V146" s="710" t="s">
        <v>1289</v>
      </c>
      <c r="W146" s="81">
        <f t="shared" si="18"/>
        <v>0</v>
      </c>
      <c r="X146" s="442">
        <f t="shared" si="19"/>
        <v>0</v>
      </c>
      <c r="Y146" s="280">
        <f t="shared" si="15"/>
        <v>0</v>
      </c>
    </row>
    <row r="147" spans="2:25" ht="76.5" customHeight="1" x14ac:dyDescent="0.25">
      <c r="B147" s="485" t="s">
        <v>391</v>
      </c>
      <c r="C147" s="484" t="s">
        <v>392</v>
      </c>
      <c r="D147" s="484" t="s">
        <v>52</v>
      </c>
      <c r="E147" s="229" t="s">
        <v>539</v>
      </c>
      <c r="F147" s="55" t="s">
        <v>176</v>
      </c>
      <c r="G147" s="965"/>
      <c r="H147" s="441" t="s">
        <v>1061</v>
      </c>
      <c r="I147" s="489">
        <v>0.2</v>
      </c>
      <c r="J147" s="516">
        <v>100</v>
      </c>
      <c r="K147" s="1029"/>
      <c r="L147" s="1029"/>
      <c r="M147" s="438" t="s">
        <v>834</v>
      </c>
      <c r="N147" s="42">
        <v>4</v>
      </c>
      <c r="O147" s="224" t="s">
        <v>1066</v>
      </c>
      <c r="P147" s="450">
        <v>0.2</v>
      </c>
      <c r="Q147" s="451">
        <v>43617</v>
      </c>
      <c r="R147" s="452">
        <v>43769</v>
      </c>
      <c r="S147" s="430">
        <f t="shared" si="14"/>
        <v>4.0000000000000008E-2</v>
      </c>
      <c r="T147" s="538" t="s">
        <v>834</v>
      </c>
      <c r="U147" s="539"/>
      <c r="V147" s="711"/>
      <c r="W147" s="81">
        <f t="shared" si="18"/>
        <v>0</v>
      </c>
      <c r="X147" s="442">
        <f t="shared" si="19"/>
        <v>0</v>
      </c>
      <c r="Y147" s="280">
        <f t="shared" si="15"/>
        <v>0</v>
      </c>
    </row>
    <row r="148" spans="2:25" ht="76.5" customHeight="1" x14ac:dyDescent="0.25">
      <c r="B148" s="485" t="s">
        <v>391</v>
      </c>
      <c r="C148" s="484" t="s">
        <v>392</v>
      </c>
      <c r="D148" s="484" t="s">
        <v>52</v>
      </c>
      <c r="E148" s="229" t="s">
        <v>539</v>
      </c>
      <c r="F148" s="55" t="s">
        <v>176</v>
      </c>
      <c r="G148" s="965"/>
      <c r="H148" s="441" t="s">
        <v>1061</v>
      </c>
      <c r="I148" s="489">
        <v>0.2</v>
      </c>
      <c r="J148" s="516">
        <v>100</v>
      </c>
      <c r="K148" s="1029"/>
      <c r="L148" s="1029"/>
      <c r="M148" s="438" t="s">
        <v>834</v>
      </c>
      <c r="N148" s="42">
        <v>5</v>
      </c>
      <c r="O148" s="224" t="s">
        <v>1067</v>
      </c>
      <c r="P148" s="450">
        <v>0.1</v>
      </c>
      <c r="Q148" s="451">
        <v>43770</v>
      </c>
      <c r="R148" s="452">
        <v>43784</v>
      </c>
      <c r="S148" s="430">
        <f t="shared" si="14"/>
        <v>2.0000000000000004E-2</v>
      </c>
      <c r="T148" s="538" t="s">
        <v>834</v>
      </c>
      <c r="U148" s="539"/>
      <c r="V148" s="711"/>
      <c r="W148" s="81">
        <f t="shared" si="18"/>
        <v>0</v>
      </c>
      <c r="X148" s="442">
        <f t="shared" si="19"/>
        <v>0</v>
      </c>
      <c r="Y148" s="280">
        <f t="shared" si="15"/>
        <v>0</v>
      </c>
    </row>
    <row r="149" spans="2:25" ht="76.5" customHeight="1" x14ac:dyDescent="0.25">
      <c r="B149" s="485" t="s">
        <v>391</v>
      </c>
      <c r="C149" s="484" t="s">
        <v>392</v>
      </c>
      <c r="D149" s="484" t="s">
        <v>52</v>
      </c>
      <c r="E149" s="229" t="s">
        <v>539</v>
      </c>
      <c r="F149" s="55" t="s">
        <v>176</v>
      </c>
      <c r="G149" s="965">
        <v>3</v>
      </c>
      <c r="H149" s="55" t="s">
        <v>779</v>
      </c>
      <c r="I149" s="488">
        <v>0.2</v>
      </c>
      <c r="J149" s="491">
        <v>4</v>
      </c>
      <c r="K149" s="1028" t="s">
        <v>1068</v>
      </c>
      <c r="L149" s="1028" t="s">
        <v>1069</v>
      </c>
      <c r="M149" s="436" t="s">
        <v>834</v>
      </c>
      <c r="N149" s="42">
        <v>1</v>
      </c>
      <c r="O149" s="333" t="s">
        <v>1231</v>
      </c>
      <c r="P149" s="430">
        <v>0.12</v>
      </c>
      <c r="Q149" s="431">
        <v>43556</v>
      </c>
      <c r="R149" s="432">
        <v>43565</v>
      </c>
      <c r="S149" s="430">
        <f t="shared" si="14"/>
        <v>2.4E-2</v>
      </c>
      <c r="T149" s="536" t="s">
        <v>834</v>
      </c>
      <c r="U149" s="468">
        <v>1</v>
      </c>
      <c r="V149" s="710" t="s">
        <v>1230</v>
      </c>
      <c r="W149" s="81">
        <f t="shared" si="18"/>
        <v>0.12</v>
      </c>
      <c r="X149" s="442">
        <f t="shared" si="19"/>
        <v>0.12</v>
      </c>
      <c r="Y149" s="280">
        <f t="shared" si="15"/>
        <v>2.4E-2</v>
      </c>
    </row>
    <row r="150" spans="2:25" ht="76.5" customHeight="1" x14ac:dyDescent="0.25">
      <c r="B150" s="485" t="s">
        <v>391</v>
      </c>
      <c r="C150" s="484" t="s">
        <v>392</v>
      </c>
      <c r="D150" s="484" t="s">
        <v>52</v>
      </c>
      <c r="E150" s="229" t="s">
        <v>539</v>
      </c>
      <c r="F150" s="55" t="s">
        <v>176</v>
      </c>
      <c r="G150" s="965"/>
      <c r="H150" s="55" t="s">
        <v>779</v>
      </c>
      <c r="I150" s="488">
        <v>0.2</v>
      </c>
      <c r="J150" s="491">
        <v>4</v>
      </c>
      <c r="K150" s="1028"/>
      <c r="L150" s="1028"/>
      <c r="M150" s="436" t="s">
        <v>834</v>
      </c>
      <c r="N150" s="42">
        <v>2</v>
      </c>
      <c r="O150" s="333" t="s">
        <v>1071</v>
      </c>
      <c r="P150" s="430">
        <v>0.08</v>
      </c>
      <c r="Q150" s="431">
        <v>43556</v>
      </c>
      <c r="R150" s="432">
        <v>43565</v>
      </c>
      <c r="S150" s="430">
        <f t="shared" si="14"/>
        <v>1.6E-2</v>
      </c>
      <c r="T150" s="536" t="s">
        <v>834</v>
      </c>
      <c r="U150" s="468">
        <v>0</v>
      </c>
      <c r="V150" s="710" t="s">
        <v>1292</v>
      </c>
      <c r="W150" s="81">
        <f t="shared" si="18"/>
        <v>0</v>
      </c>
      <c r="X150" s="442">
        <f t="shared" si="19"/>
        <v>0</v>
      </c>
      <c r="Y150" s="280">
        <f t="shared" si="15"/>
        <v>0</v>
      </c>
    </row>
    <row r="151" spans="2:25" ht="76.5" customHeight="1" x14ac:dyDescent="0.25">
      <c r="B151" s="485" t="s">
        <v>391</v>
      </c>
      <c r="C151" s="484" t="s">
        <v>392</v>
      </c>
      <c r="D151" s="484" t="s">
        <v>52</v>
      </c>
      <c r="E151" s="229" t="s">
        <v>539</v>
      </c>
      <c r="F151" s="55" t="s">
        <v>176</v>
      </c>
      <c r="G151" s="965"/>
      <c r="H151" s="55" t="s">
        <v>779</v>
      </c>
      <c r="I151" s="488">
        <v>0.2</v>
      </c>
      <c r="J151" s="491">
        <v>4</v>
      </c>
      <c r="K151" s="1028"/>
      <c r="L151" s="1028"/>
      <c r="M151" s="436" t="s">
        <v>834</v>
      </c>
      <c r="N151" s="42">
        <v>3</v>
      </c>
      <c r="O151" s="333" t="s">
        <v>1072</v>
      </c>
      <c r="P151" s="430">
        <v>0.05</v>
      </c>
      <c r="Q151" s="431">
        <v>43566</v>
      </c>
      <c r="R151" s="432">
        <v>43580</v>
      </c>
      <c r="S151" s="430">
        <f t="shared" si="14"/>
        <v>1.0000000000000002E-2</v>
      </c>
      <c r="T151" s="536" t="s">
        <v>834</v>
      </c>
      <c r="U151" s="539">
        <v>0</v>
      </c>
      <c r="V151" s="710" t="s">
        <v>1293</v>
      </c>
      <c r="W151" s="81">
        <f t="shared" si="18"/>
        <v>0</v>
      </c>
      <c r="X151" s="442">
        <f t="shared" si="19"/>
        <v>0</v>
      </c>
      <c r="Y151" s="280">
        <f t="shared" si="15"/>
        <v>0</v>
      </c>
    </row>
    <row r="152" spans="2:25" ht="76.5" customHeight="1" x14ac:dyDescent="0.25">
      <c r="B152" s="485" t="s">
        <v>391</v>
      </c>
      <c r="C152" s="484" t="s">
        <v>392</v>
      </c>
      <c r="D152" s="484" t="s">
        <v>52</v>
      </c>
      <c r="E152" s="229" t="s">
        <v>539</v>
      </c>
      <c r="F152" s="55" t="s">
        <v>176</v>
      </c>
      <c r="G152" s="965"/>
      <c r="H152" s="55" t="s">
        <v>779</v>
      </c>
      <c r="I152" s="488">
        <v>0.2</v>
      </c>
      <c r="J152" s="491">
        <v>4</v>
      </c>
      <c r="K152" s="1028"/>
      <c r="L152" s="1028"/>
      <c r="M152" s="436" t="s">
        <v>834</v>
      </c>
      <c r="N152" s="42">
        <v>1</v>
      </c>
      <c r="O152" s="333" t="s">
        <v>1070</v>
      </c>
      <c r="P152" s="430">
        <v>0.12</v>
      </c>
      <c r="Q152" s="431">
        <v>43556</v>
      </c>
      <c r="R152" s="432">
        <v>43646</v>
      </c>
      <c r="S152" s="430">
        <f t="shared" si="14"/>
        <v>2.4E-2</v>
      </c>
      <c r="T152" s="536" t="s">
        <v>834</v>
      </c>
      <c r="U152" s="539">
        <v>1</v>
      </c>
      <c r="V152" s="710" t="s">
        <v>1312</v>
      </c>
      <c r="W152" s="81">
        <f t="shared" si="18"/>
        <v>0.12</v>
      </c>
      <c r="X152" s="442">
        <f t="shared" si="19"/>
        <v>0.12</v>
      </c>
      <c r="Y152" s="280">
        <f t="shared" si="15"/>
        <v>2.4E-2</v>
      </c>
    </row>
    <row r="153" spans="2:25" ht="76.5" customHeight="1" x14ac:dyDescent="0.25">
      <c r="B153" s="485" t="s">
        <v>391</v>
      </c>
      <c r="C153" s="484" t="s">
        <v>392</v>
      </c>
      <c r="D153" s="484" t="s">
        <v>52</v>
      </c>
      <c r="E153" s="229" t="s">
        <v>539</v>
      </c>
      <c r="F153" s="55" t="s">
        <v>176</v>
      </c>
      <c r="G153" s="965"/>
      <c r="H153" s="55" t="s">
        <v>779</v>
      </c>
      <c r="I153" s="488">
        <v>0.2</v>
      </c>
      <c r="J153" s="491">
        <v>4</v>
      </c>
      <c r="K153" s="1028"/>
      <c r="L153" s="1028"/>
      <c r="M153" s="436" t="s">
        <v>834</v>
      </c>
      <c r="N153" s="42">
        <v>2</v>
      </c>
      <c r="O153" s="333" t="s">
        <v>1071</v>
      </c>
      <c r="P153" s="430">
        <v>0.08</v>
      </c>
      <c r="Q153" s="431">
        <v>43653</v>
      </c>
      <c r="R153" s="432">
        <v>43656</v>
      </c>
      <c r="S153" s="430">
        <f t="shared" si="14"/>
        <v>1.6E-2</v>
      </c>
      <c r="T153" s="536" t="s">
        <v>834</v>
      </c>
      <c r="U153" s="539"/>
      <c r="V153" s="710"/>
      <c r="W153" s="81">
        <f t="shared" si="18"/>
        <v>0</v>
      </c>
      <c r="X153" s="442">
        <f t="shared" si="19"/>
        <v>0</v>
      </c>
      <c r="Y153" s="280">
        <f t="shared" si="15"/>
        <v>0</v>
      </c>
    </row>
    <row r="154" spans="2:25" ht="76.5" customHeight="1" x14ac:dyDescent="0.25">
      <c r="B154" s="485" t="s">
        <v>391</v>
      </c>
      <c r="C154" s="484" t="s">
        <v>392</v>
      </c>
      <c r="D154" s="484" t="s">
        <v>52</v>
      </c>
      <c r="E154" s="229" t="s">
        <v>539</v>
      </c>
      <c r="F154" s="55" t="s">
        <v>176</v>
      </c>
      <c r="G154" s="965"/>
      <c r="H154" s="55" t="s">
        <v>779</v>
      </c>
      <c r="I154" s="488">
        <v>0.2</v>
      </c>
      <c r="J154" s="491">
        <v>4</v>
      </c>
      <c r="K154" s="1028"/>
      <c r="L154" s="1028"/>
      <c r="M154" s="436" t="s">
        <v>834</v>
      </c>
      <c r="N154" s="42">
        <v>3</v>
      </c>
      <c r="O154" s="333" t="s">
        <v>1072</v>
      </c>
      <c r="P154" s="430">
        <v>0.05</v>
      </c>
      <c r="Q154" s="431">
        <v>43656</v>
      </c>
      <c r="R154" s="432">
        <v>43658</v>
      </c>
      <c r="S154" s="430">
        <f t="shared" si="14"/>
        <v>1.0000000000000002E-2</v>
      </c>
      <c r="T154" s="536" t="s">
        <v>834</v>
      </c>
      <c r="U154" s="539"/>
      <c r="V154" s="711"/>
      <c r="W154" s="81">
        <f t="shared" si="18"/>
        <v>0</v>
      </c>
      <c r="X154" s="442">
        <f t="shared" si="19"/>
        <v>0</v>
      </c>
      <c r="Y154" s="280">
        <f t="shared" si="15"/>
        <v>0</v>
      </c>
    </row>
    <row r="155" spans="2:25" ht="76.5" customHeight="1" x14ac:dyDescent="0.25">
      <c r="B155" s="485" t="s">
        <v>391</v>
      </c>
      <c r="C155" s="484" t="s">
        <v>392</v>
      </c>
      <c r="D155" s="484" t="s">
        <v>52</v>
      </c>
      <c r="E155" s="229" t="s">
        <v>539</v>
      </c>
      <c r="F155" s="55" t="s">
        <v>176</v>
      </c>
      <c r="G155" s="965"/>
      <c r="H155" s="55" t="s">
        <v>779</v>
      </c>
      <c r="I155" s="488">
        <v>0.2</v>
      </c>
      <c r="J155" s="491">
        <v>4</v>
      </c>
      <c r="K155" s="1028"/>
      <c r="L155" s="1028"/>
      <c r="M155" s="436" t="s">
        <v>834</v>
      </c>
      <c r="N155" s="42">
        <v>1</v>
      </c>
      <c r="O155" s="333" t="s">
        <v>1070</v>
      </c>
      <c r="P155" s="430">
        <v>0.12</v>
      </c>
      <c r="Q155" s="431">
        <v>43647</v>
      </c>
      <c r="R155" s="432">
        <v>43738</v>
      </c>
      <c r="S155" s="430">
        <f t="shared" si="14"/>
        <v>2.4E-2</v>
      </c>
      <c r="T155" s="536" t="s">
        <v>834</v>
      </c>
      <c r="U155" s="539"/>
      <c r="V155" s="711"/>
      <c r="W155" s="81">
        <f t="shared" si="18"/>
        <v>0</v>
      </c>
      <c r="X155" s="442">
        <f t="shared" si="19"/>
        <v>0</v>
      </c>
      <c r="Y155" s="280">
        <f t="shared" si="15"/>
        <v>0</v>
      </c>
    </row>
    <row r="156" spans="2:25" ht="76.5" customHeight="1" x14ac:dyDescent="0.25">
      <c r="B156" s="485" t="s">
        <v>391</v>
      </c>
      <c r="C156" s="484" t="s">
        <v>392</v>
      </c>
      <c r="D156" s="484" t="s">
        <v>52</v>
      </c>
      <c r="E156" s="229" t="s">
        <v>539</v>
      </c>
      <c r="F156" s="55" t="s">
        <v>176</v>
      </c>
      <c r="G156" s="965"/>
      <c r="H156" s="55" t="s">
        <v>779</v>
      </c>
      <c r="I156" s="488">
        <v>0.2</v>
      </c>
      <c r="J156" s="491">
        <v>4</v>
      </c>
      <c r="K156" s="1028"/>
      <c r="L156" s="1028"/>
      <c r="M156" s="436" t="s">
        <v>834</v>
      </c>
      <c r="N156" s="42">
        <v>2</v>
      </c>
      <c r="O156" s="333" t="s">
        <v>1071</v>
      </c>
      <c r="P156" s="430">
        <v>0.08</v>
      </c>
      <c r="Q156" s="431">
        <v>43745</v>
      </c>
      <c r="R156" s="432">
        <v>43748</v>
      </c>
      <c r="S156" s="430">
        <f t="shared" si="14"/>
        <v>1.6E-2</v>
      </c>
      <c r="T156" s="536" t="s">
        <v>834</v>
      </c>
      <c r="U156" s="539"/>
      <c r="V156" s="711"/>
      <c r="W156" s="81">
        <f t="shared" si="18"/>
        <v>0</v>
      </c>
      <c r="X156" s="442">
        <f t="shared" si="19"/>
        <v>0</v>
      </c>
      <c r="Y156" s="280">
        <f t="shared" si="15"/>
        <v>0</v>
      </c>
    </row>
    <row r="157" spans="2:25" ht="76.5" customHeight="1" x14ac:dyDescent="0.25">
      <c r="B157" s="485" t="s">
        <v>391</v>
      </c>
      <c r="C157" s="484" t="s">
        <v>392</v>
      </c>
      <c r="D157" s="484" t="s">
        <v>52</v>
      </c>
      <c r="E157" s="229" t="s">
        <v>539</v>
      </c>
      <c r="F157" s="55" t="s">
        <v>176</v>
      </c>
      <c r="G157" s="965"/>
      <c r="H157" s="55" t="s">
        <v>779</v>
      </c>
      <c r="I157" s="488">
        <v>0.2</v>
      </c>
      <c r="J157" s="491">
        <v>4</v>
      </c>
      <c r="K157" s="1028"/>
      <c r="L157" s="1028"/>
      <c r="M157" s="436" t="s">
        <v>834</v>
      </c>
      <c r="N157" s="42">
        <v>3</v>
      </c>
      <c r="O157" s="333" t="s">
        <v>1072</v>
      </c>
      <c r="P157" s="430">
        <v>0.05</v>
      </c>
      <c r="Q157" s="431">
        <v>43748</v>
      </c>
      <c r="R157" s="432">
        <v>43750</v>
      </c>
      <c r="S157" s="430">
        <f t="shared" si="14"/>
        <v>1.0000000000000002E-2</v>
      </c>
      <c r="T157" s="536" t="s">
        <v>834</v>
      </c>
      <c r="U157" s="539"/>
      <c r="V157" s="711"/>
      <c r="W157" s="81">
        <f t="shared" si="18"/>
        <v>0</v>
      </c>
      <c r="X157" s="442">
        <f t="shared" si="19"/>
        <v>0</v>
      </c>
      <c r="Y157" s="280">
        <f t="shared" si="15"/>
        <v>0</v>
      </c>
    </row>
    <row r="158" spans="2:25" ht="76.5" customHeight="1" x14ac:dyDescent="0.25">
      <c r="B158" s="485" t="s">
        <v>391</v>
      </c>
      <c r="C158" s="484" t="s">
        <v>392</v>
      </c>
      <c r="D158" s="484" t="s">
        <v>52</v>
      </c>
      <c r="E158" s="229" t="s">
        <v>539</v>
      </c>
      <c r="F158" s="55" t="s">
        <v>176</v>
      </c>
      <c r="G158" s="965"/>
      <c r="H158" s="55" t="s">
        <v>779</v>
      </c>
      <c r="I158" s="488">
        <v>0.2</v>
      </c>
      <c r="J158" s="491">
        <v>4</v>
      </c>
      <c r="K158" s="1028"/>
      <c r="L158" s="1028"/>
      <c r="M158" s="436" t="s">
        <v>834</v>
      </c>
      <c r="N158" s="42">
        <v>1</v>
      </c>
      <c r="O158" s="333" t="s">
        <v>1070</v>
      </c>
      <c r="P158" s="430">
        <v>0.12</v>
      </c>
      <c r="Q158" s="451">
        <v>43739</v>
      </c>
      <c r="R158" s="452">
        <v>43830</v>
      </c>
      <c r="S158" s="430">
        <f t="shared" si="14"/>
        <v>2.4E-2</v>
      </c>
      <c r="T158" s="536" t="s">
        <v>834</v>
      </c>
      <c r="U158" s="539"/>
      <c r="V158" s="711"/>
      <c r="W158" s="81">
        <f t="shared" ref="W158:W178" si="20">U158*P158</f>
        <v>0</v>
      </c>
      <c r="X158" s="442">
        <f t="shared" ref="X158:X178" si="21">W158*U158</f>
        <v>0</v>
      </c>
      <c r="Y158" s="280">
        <f t="shared" si="15"/>
        <v>0</v>
      </c>
    </row>
    <row r="159" spans="2:25" ht="76.5" customHeight="1" x14ac:dyDescent="0.25">
      <c r="B159" s="485" t="s">
        <v>391</v>
      </c>
      <c r="C159" s="484" t="s">
        <v>392</v>
      </c>
      <c r="D159" s="484" t="s">
        <v>52</v>
      </c>
      <c r="E159" s="229" t="s">
        <v>539</v>
      </c>
      <c r="F159" s="55" t="s">
        <v>176</v>
      </c>
      <c r="G159" s="965"/>
      <c r="H159" s="55" t="s">
        <v>779</v>
      </c>
      <c r="I159" s="488">
        <v>0.2</v>
      </c>
      <c r="J159" s="491">
        <v>4</v>
      </c>
      <c r="K159" s="1028"/>
      <c r="L159" s="1028"/>
      <c r="M159" s="436" t="s">
        <v>834</v>
      </c>
      <c r="N159" s="42">
        <v>2</v>
      </c>
      <c r="O159" s="333" t="s">
        <v>1071</v>
      </c>
      <c r="P159" s="430">
        <v>0.08</v>
      </c>
      <c r="Q159" s="451">
        <v>43830</v>
      </c>
      <c r="R159" s="452">
        <v>43830</v>
      </c>
      <c r="S159" s="430">
        <f t="shared" si="14"/>
        <v>1.6E-2</v>
      </c>
      <c r="T159" s="536" t="s">
        <v>834</v>
      </c>
      <c r="U159" s="539"/>
      <c r="V159" s="711"/>
      <c r="W159" s="81">
        <f t="shared" si="20"/>
        <v>0</v>
      </c>
      <c r="X159" s="442">
        <f t="shared" si="21"/>
        <v>0</v>
      </c>
      <c r="Y159" s="280">
        <f t="shared" si="15"/>
        <v>0</v>
      </c>
    </row>
    <row r="160" spans="2:25" ht="76.5" customHeight="1" x14ac:dyDescent="0.25">
      <c r="B160" s="485" t="s">
        <v>391</v>
      </c>
      <c r="C160" s="484" t="s">
        <v>392</v>
      </c>
      <c r="D160" s="484" t="s">
        <v>52</v>
      </c>
      <c r="E160" s="229" t="s">
        <v>539</v>
      </c>
      <c r="F160" s="55" t="s">
        <v>176</v>
      </c>
      <c r="G160" s="965"/>
      <c r="H160" s="55" t="s">
        <v>779</v>
      </c>
      <c r="I160" s="488">
        <v>0.2</v>
      </c>
      <c r="J160" s="491">
        <v>4</v>
      </c>
      <c r="K160" s="1028"/>
      <c r="L160" s="1028"/>
      <c r="M160" s="436" t="s">
        <v>834</v>
      </c>
      <c r="N160" s="42">
        <v>3</v>
      </c>
      <c r="O160" s="333" t="s">
        <v>1072</v>
      </c>
      <c r="P160" s="430">
        <v>0.05</v>
      </c>
      <c r="Q160" s="451">
        <v>43830</v>
      </c>
      <c r="R160" s="452">
        <v>43830</v>
      </c>
      <c r="S160" s="430">
        <f t="shared" si="14"/>
        <v>1.0000000000000002E-2</v>
      </c>
      <c r="T160" s="536" t="s">
        <v>834</v>
      </c>
      <c r="U160" s="539"/>
      <c r="V160" s="711"/>
      <c r="W160" s="81">
        <f t="shared" si="20"/>
        <v>0</v>
      </c>
      <c r="X160" s="442">
        <f t="shared" si="21"/>
        <v>0</v>
      </c>
      <c r="Y160" s="280">
        <f t="shared" si="15"/>
        <v>0</v>
      </c>
    </row>
    <row r="161" spans="2:25" ht="76.5" customHeight="1" x14ac:dyDescent="0.25">
      <c r="B161" s="485" t="s">
        <v>391</v>
      </c>
      <c r="C161" s="484" t="s">
        <v>392</v>
      </c>
      <c r="D161" s="484" t="s">
        <v>52</v>
      </c>
      <c r="E161" s="229" t="s">
        <v>539</v>
      </c>
      <c r="F161" s="55" t="s">
        <v>176</v>
      </c>
      <c r="G161" s="965">
        <v>4</v>
      </c>
      <c r="H161" s="441" t="s">
        <v>783</v>
      </c>
      <c r="I161" s="488">
        <v>0.2</v>
      </c>
      <c r="J161" s="491">
        <v>1</v>
      </c>
      <c r="K161" s="1028" t="s">
        <v>1073</v>
      </c>
      <c r="L161" s="1029" t="s">
        <v>784</v>
      </c>
      <c r="M161" s="436" t="s">
        <v>1074</v>
      </c>
      <c r="N161" s="42">
        <v>1</v>
      </c>
      <c r="O161" s="224" t="s">
        <v>1075</v>
      </c>
      <c r="P161" s="430">
        <v>0.2</v>
      </c>
      <c r="Q161" s="431">
        <v>43480</v>
      </c>
      <c r="R161" s="432">
        <v>43524</v>
      </c>
      <c r="S161" s="430">
        <f t="shared" si="14"/>
        <v>4.0000000000000008E-2</v>
      </c>
      <c r="T161" s="536" t="s">
        <v>834</v>
      </c>
      <c r="U161" s="539">
        <v>1</v>
      </c>
      <c r="V161" s="710" t="s">
        <v>1302</v>
      </c>
      <c r="W161" s="81">
        <f t="shared" si="20"/>
        <v>0.2</v>
      </c>
      <c r="X161" s="442">
        <f t="shared" si="21"/>
        <v>0.2</v>
      </c>
      <c r="Y161" s="280">
        <f t="shared" si="15"/>
        <v>4.0000000000000008E-2</v>
      </c>
    </row>
    <row r="162" spans="2:25" ht="76.5" customHeight="1" x14ac:dyDescent="0.25">
      <c r="B162" s="485" t="s">
        <v>391</v>
      </c>
      <c r="C162" s="484" t="s">
        <v>392</v>
      </c>
      <c r="D162" s="484" t="s">
        <v>52</v>
      </c>
      <c r="E162" s="229" t="s">
        <v>539</v>
      </c>
      <c r="F162" s="55" t="s">
        <v>176</v>
      </c>
      <c r="G162" s="965"/>
      <c r="H162" s="441" t="s">
        <v>783</v>
      </c>
      <c r="I162" s="488">
        <v>0.2</v>
      </c>
      <c r="J162" s="491">
        <v>1</v>
      </c>
      <c r="K162" s="1028"/>
      <c r="L162" s="1029"/>
      <c r="M162" s="436" t="s">
        <v>1074</v>
      </c>
      <c r="N162" s="42">
        <v>2</v>
      </c>
      <c r="O162" s="224" t="s">
        <v>1076</v>
      </c>
      <c r="P162" s="430">
        <v>0.2</v>
      </c>
      <c r="Q162" s="431">
        <v>43525</v>
      </c>
      <c r="R162" s="432">
        <v>43555</v>
      </c>
      <c r="S162" s="430">
        <f t="shared" si="14"/>
        <v>4.0000000000000008E-2</v>
      </c>
      <c r="T162" s="536" t="s">
        <v>834</v>
      </c>
      <c r="U162" s="468">
        <v>0</v>
      </c>
      <c r="V162" s="710" t="s">
        <v>1303</v>
      </c>
      <c r="W162" s="81">
        <f t="shared" si="20"/>
        <v>0</v>
      </c>
      <c r="X162" s="442">
        <f t="shared" si="21"/>
        <v>0</v>
      </c>
      <c r="Y162" s="280">
        <f t="shared" si="15"/>
        <v>0</v>
      </c>
    </row>
    <row r="163" spans="2:25" ht="76.5" customHeight="1" x14ac:dyDescent="0.25">
      <c r="B163" s="485" t="s">
        <v>391</v>
      </c>
      <c r="C163" s="484" t="s">
        <v>392</v>
      </c>
      <c r="D163" s="484" t="s">
        <v>52</v>
      </c>
      <c r="E163" s="229" t="s">
        <v>539</v>
      </c>
      <c r="F163" s="55" t="s">
        <v>176</v>
      </c>
      <c r="G163" s="965"/>
      <c r="H163" s="441" t="s">
        <v>783</v>
      </c>
      <c r="I163" s="488">
        <v>0.2</v>
      </c>
      <c r="J163" s="491">
        <v>1</v>
      </c>
      <c r="K163" s="1028"/>
      <c r="L163" s="1029"/>
      <c r="M163" s="436" t="s">
        <v>1074</v>
      </c>
      <c r="N163" s="42">
        <v>3</v>
      </c>
      <c r="O163" s="224" t="s">
        <v>1077</v>
      </c>
      <c r="P163" s="430">
        <v>0.15</v>
      </c>
      <c r="Q163" s="431">
        <v>43556</v>
      </c>
      <c r="R163" s="432">
        <v>43585</v>
      </c>
      <c r="S163" s="430">
        <f t="shared" si="14"/>
        <v>0.03</v>
      </c>
      <c r="T163" s="536" t="s">
        <v>834</v>
      </c>
      <c r="U163" s="468">
        <v>1</v>
      </c>
      <c r="V163" s="710" t="s">
        <v>1294</v>
      </c>
      <c r="W163" s="81">
        <f t="shared" si="20"/>
        <v>0.15</v>
      </c>
      <c r="X163" s="442">
        <f t="shared" si="21"/>
        <v>0.15</v>
      </c>
      <c r="Y163" s="280">
        <f t="shared" si="15"/>
        <v>0.03</v>
      </c>
    </row>
    <row r="164" spans="2:25" ht="76.5" customHeight="1" x14ac:dyDescent="0.25">
      <c r="B164" s="485" t="s">
        <v>391</v>
      </c>
      <c r="C164" s="484" t="s">
        <v>392</v>
      </c>
      <c r="D164" s="484" t="s">
        <v>52</v>
      </c>
      <c r="E164" s="229" t="s">
        <v>539</v>
      </c>
      <c r="F164" s="55" t="s">
        <v>176</v>
      </c>
      <c r="G164" s="965"/>
      <c r="H164" s="441" t="s">
        <v>783</v>
      </c>
      <c r="I164" s="488">
        <v>0.2</v>
      </c>
      <c r="J164" s="491">
        <v>1</v>
      </c>
      <c r="K164" s="1028"/>
      <c r="L164" s="1029"/>
      <c r="M164" s="436" t="s">
        <v>1074</v>
      </c>
      <c r="N164" s="42">
        <v>4</v>
      </c>
      <c r="O164" s="224" t="s">
        <v>1078</v>
      </c>
      <c r="P164" s="430">
        <v>0.4</v>
      </c>
      <c r="Q164" s="431">
        <v>43586</v>
      </c>
      <c r="R164" s="432">
        <v>43616</v>
      </c>
      <c r="S164" s="430">
        <f t="shared" si="14"/>
        <v>8.0000000000000016E-2</v>
      </c>
      <c r="T164" s="536" t="s">
        <v>834</v>
      </c>
      <c r="U164" s="468">
        <v>0</v>
      </c>
      <c r="V164" s="710" t="s">
        <v>1165</v>
      </c>
      <c r="W164" s="81">
        <f t="shared" si="20"/>
        <v>0</v>
      </c>
      <c r="X164" s="442">
        <f t="shared" si="21"/>
        <v>0</v>
      </c>
      <c r="Y164" s="280">
        <f t="shared" si="15"/>
        <v>0</v>
      </c>
    </row>
    <row r="165" spans="2:25" ht="76.5" customHeight="1" x14ac:dyDescent="0.25">
      <c r="B165" s="485" t="s">
        <v>391</v>
      </c>
      <c r="C165" s="484" t="s">
        <v>392</v>
      </c>
      <c r="D165" s="484" t="s">
        <v>52</v>
      </c>
      <c r="E165" s="229" t="s">
        <v>539</v>
      </c>
      <c r="F165" s="55" t="s">
        <v>176</v>
      </c>
      <c r="G165" s="965"/>
      <c r="H165" s="441" t="s">
        <v>783</v>
      </c>
      <c r="I165" s="488">
        <v>0.2</v>
      </c>
      <c r="J165" s="491">
        <v>1</v>
      </c>
      <c r="K165" s="1028"/>
      <c r="L165" s="1029"/>
      <c r="M165" s="436" t="s">
        <v>1074</v>
      </c>
      <c r="N165" s="42">
        <v>5</v>
      </c>
      <c r="O165" s="224" t="s">
        <v>1079</v>
      </c>
      <c r="P165" s="430">
        <v>0.05</v>
      </c>
      <c r="Q165" s="431">
        <v>43617</v>
      </c>
      <c r="R165" s="432">
        <v>43626</v>
      </c>
      <c r="S165" s="430">
        <f t="shared" si="14"/>
        <v>1.0000000000000002E-2</v>
      </c>
      <c r="T165" s="536" t="s">
        <v>834</v>
      </c>
      <c r="U165" s="468"/>
      <c r="V165" s="711"/>
      <c r="W165" s="81">
        <f t="shared" si="20"/>
        <v>0</v>
      </c>
      <c r="X165" s="442">
        <f t="shared" si="21"/>
        <v>0</v>
      </c>
      <c r="Y165" s="280">
        <f t="shared" si="15"/>
        <v>0</v>
      </c>
    </row>
    <row r="166" spans="2:25" ht="76.5" customHeight="1" x14ac:dyDescent="0.25">
      <c r="B166" s="485" t="s">
        <v>391</v>
      </c>
      <c r="C166" s="484" t="s">
        <v>392</v>
      </c>
      <c r="D166" s="484" t="s">
        <v>52</v>
      </c>
      <c r="E166" s="229" t="s">
        <v>539</v>
      </c>
      <c r="F166" s="55" t="s">
        <v>176</v>
      </c>
      <c r="G166" s="965">
        <v>5</v>
      </c>
      <c r="H166" s="435" t="s">
        <v>785</v>
      </c>
      <c r="I166" s="488">
        <v>0.2</v>
      </c>
      <c r="J166" s="491">
        <v>100</v>
      </c>
      <c r="K166" s="1028" t="s">
        <v>1080</v>
      </c>
      <c r="L166" s="1029" t="s">
        <v>786</v>
      </c>
      <c r="M166" s="436" t="s">
        <v>834</v>
      </c>
      <c r="N166" s="42">
        <v>1</v>
      </c>
      <c r="O166" s="333" t="s">
        <v>1081</v>
      </c>
      <c r="P166" s="430">
        <v>0.2</v>
      </c>
      <c r="Q166" s="431">
        <v>43480</v>
      </c>
      <c r="R166" s="432">
        <v>43524</v>
      </c>
      <c r="S166" s="430">
        <f t="shared" si="14"/>
        <v>4.0000000000000008E-2</v>
      </c>
      <c r="T166" s="536" t="s">
        <v>834</v>
      </c>
      <c r="U166" s="468">
        <v>1</v>
      </c>
      <c r="V166" s="710" t="s">
        <v>1170</v>
      </c>
      <c r="W166" s="81">
        <f t="shared" si="20"/>
        <v>0.2</v>
      </c>
      <c r="X166" s="442">
        <f t="shared" si="21"/>
        <v>0.2</v>
      </c>
      <c r="Y166" s="280">
        <f t="shared" si="15"/>
        <v>4.0000000000000008E-2</v>
      </c>
    </row>
    <row r="167" spans="2:25" ht="76.5" customHeight="1" x14ac:dyDescent="0.25">
      <c r="B167" s="485" t="s">
        <v>391</v>
      </c>
      <c r="C167" s="484" t="s">
        <v>392</v>
      </c>
      <c r="D167" s="484" t="s">
        <v>52</v>
      </c>
      <c r="E167" s="229" t="s">
        <v>539</v>
      </c>
      <c r="F167" s="55" t="s">
        <v>176</v>
      </c>
      <c r="G167" s="965"/>
      <c r="H167" s="435" t="s">
        <v>785</v>
      </c>
      <c r="I167" s="488">
        <v>0.2</v>
      </c>
      <c r="J167" s="491">
        <v>100</v>
      </c>
      <c r="K167" s="1028"/>
      <c r="L167" s="1029"/>
      <c r="M167" s="436" t="s">
        <v>834</v>
      </c>
      <c r="N167" s="42">
        <v>2</v>
      </c>
      <c r="O167" s="333" t="s">
        <v>1172</v>
      </c>
      <c r="P167" s="430">
        <v>0.35</v>
      </c>
      <c r="Q167" s="431">
        <v>43525</v>
      </c>
      <c r="R167" s="432">
        <v>43799</v>
      </c>
      <c r="S167" s="430">
        <f t="shared" si="14"/>
        <v>6.9999999999999993E-2</v>
      </c>
      <c r="T167" s="536" t="s">
        <v>834</v>
      </c>
      <c r="U167" s="468">
        <v>1</v>
      </c>
      <c r="V167" s="710" t="s">
        <v>1287</v>
      </c>
      <c r="W167" s="81">
        <f t="shared" si="20"/>
        <v>0.35</v>
      </c>
      <c r="X167" s="442">
        <f t="shared" si="21"/>
        <v>0.35</v>
      </c>
      <c r="Y167" s="280">
        <f t="shared" si="15"/>
        <v>6.9999999999999993E-2</v>
      </c>
    </row>
    <row r="168" spans="2:25" ht="76.5" customHeight="1" x14ac:dyDescent="0.25">
      <c r="B168" s="485" t="s">
        <v>391</v>
      </c>
      <c r="C168" s="484" t="s">
        <v>392</v>
      </c>
      <c r="D168" s="484" t="s">
        <v>52</v>
      </c>
      <c r="E168" s="229" t="s">
        <v>539</v>
      </c>
      <c r="F168" s="55" t="s">
        <v>176</v>
      </c>
      <c r="G168" s="965"/>
      <c r="H168" s="435" t="s">
        <v>785</v>
      </c>
      <c r="I168" s="488">
        <v>0.2</v>
      </c>
      <c r="J168" s="491">
        <v>100</v>
      </c>
      <c r="K168" s="1028"/>
      <c r="L168" s="1029"/>
      <c r="M168" s="436" t="s">
        <v>834</v>
      </c>
      <c r="N168" s="42">
        <v>3</v>
      </c>
      <c r="O168" s="495" t="s">
        <v>1290</v>
      </c>
      <c r="P168" s="430">
        <v>0.35</v>
      </c>
      <c r="Q168" s="431">
        <v>43525</v>
      </c>
      <c r="R168" s="432">
        <v>43799</v>
      </c>
      <c r="S168" s="430">
        <f t="shared" si="14"/>
        <v>6.9999999999999993E-2</v>
      </c>
      <c r="T168" s="536" t="s">
        <v>834</v>
      </c>
      <c r="U168" s="468">
        <v>1</v>
      </c>
      <c r="V168" s="710" t="s">
        <v>1291</v>
      </c>
      <c r="W168" s="81">
        <f t="shared" si="20"/>
        <v>0.35</v>
      </c>
      <c r="X168" s="442">
        <f t="shared" si="21"/>
        <v>0.35</v>
      </c>
      <c r="Y168" s="280">
        <f t="shared" si="15"/>
        <v>6.9999999999999993E-2</v>
      </c>
    </row>
    <row r="169" spans="2:25" ht="76.5" customHeight="1" x14ac:dyDescent="0.25">
      <c r="B169" s="485" t="s">
        <v>391</v>
      </c>
      <c r="C169" s="484" t="s">
        <v>392</v>
      </c>
      <c r="D169" s="484" t="s">
        <v>52</v>
      </c>
      <c r="E169" s="229" t="s">
        <v>539</v>
      </c>
      <c r="F169" s="55" t="s">
        <v>176</v>
      </c>
      <c r="G169" s="965"/>
      <c r="H169" s="435" t="s">
        <v>785</v>
      </c>
      <c r="I169" s="488">
        <v>0.2</v>
      </c>
      <c r="J169" s="491">
        <v>100</v>
      </c>
      <c r="K169" s="1028"/>
      <c r="L169" s="1029"/>
      <c r="M169" s="436" t="s">
        <v>834</v>
      </c>
      <c r="N169" s="42">
        <v>4</v>
      </c>
      <c r="O169" s="333" t="s">
        <v>1082</v>
      </c>
      <c r="P169" s="430">
        <v>0.1</v>
      </c>
      <c r="Q169" s="431">
        <v>43800</v>
      </c>
      <c r="R169" s="432">
        <v>43830</v>
      </c>
      <c r="S169" s="430">
        <f t="shared" si="14"/>
        <v>2.0000000000000004E-2</v>
      </c>
      <c r="T169" s="536" t="s">
        <v>834</v>
      </c>
      <c r="U169" s="468"/>
      <c r="V169" s="711"/>
      <c r="W169" s="81">
        <f t="shared" si="20"/>
        <v>0</v>
      </c>
      <c r="X169" s="442">
        <f t="shared" si="21"/>
        <v>0</v>
      </c>
      <c r="Y169" s="280">
        <f t="shared" si="15"/>
        <v>0</v>
      </c>
    </row>
    <row r="170" spans="2:25" ht="76.5" customHeight="1" x14ac:dyDescent="0.25">
      <c r="B170" s="485" t="s">
        <v>391</v>
      </c>
      <c r="C170" s="484" t="s">
        <v>734</v>
      </c>
      <c r="D170" s="484" t="s">
        <v>23</v>
      </c>
      <c r="E170" s="229" t="s">
        <v>787</v>
      </c>
      <c r="F170" s="55" t="s">
        <v>183</v>
      </c>
      <c r="G170" s="965">
        <v>1</v>
      </c>
      <c r="H170" s="476" t="s">
        <v>788</v>
      </c>
      <c r="I170" s="492">
        <v>0.33</v>
      </c>
      <c r="J170" s="517">
        <v>100</v>
      </c>
      <c r="K170" s="525" t="s">
        <v>1083</v>
      </c>
      <c r="L170" s="541" t="s">
        <v>1084</v>
      </c>
      <c r="M170" s="525" t="s">
        <v>1085</v>
      </c>
      <c r="N170" s="42">
        <v>1</v>
      </c>
      <c r="O170" s="506" t="s">
        <v>1086</v>
      </c>
      <c r="P170" s="453">
        <v>0.5</v>
      </c>
      <c r="Q170" s="454">
        <v>43525</v>
      </c>
      <c r="R170" s="455">
        <v>43585</v>
      </c>
      <c r="S170" s="430">
        <f t="shared" si="14"/>
        <v>0.16500000000000001</v>
      </c>
      <c r="T170" s="525" t="s">
        <v>1085</v>
      </c>
      <c r="U170" s="456">
        <v>1</v>
      </c>
      <c r="V170" s="504" t="s">
        <v>1184</v>
      </c>
      <c r="W170" s="81">
        <f t="shared" si="20"/>
        <v>0.5</v>
      </c>
      <c r="X170" s="442">
        <f t="shared" si="21"/>
        <v>0.5</v>
      </c>
      <c r="Y170" s="280">
        <f t="shared" si="15"/>
        <v>0.16500000000000001</v>
      </c>
    </row>
    <row r="171" spans="2:25" ht="76.5" customHeight="1" x14ac:dyDescent="0.25">
      <c r="B171" s="485" t="s">
        <v>391</v>
      </c>
      <c r="C171" s="484" t="s">
        <v>734</v>
      </c>
      <c r="D171" s="484" t="s">
        <v>23</v>
      </c>
      <c r="E171" s="229" t="s">
        <v>787</v>
      </c>
      <c r="F171" s="55" t="s">
        <v>183</v>
      </c>
      <c r="G171" s="965"/>
      <c r="H171" s="476" t="s">
        <v>788</v>
      </c>
      <c r="I171" s="492">
        <v>0.33</v>
      </c>
      <c r="J171" s="517">
        <v>100</v>
      </c>
      <c r="K171" s="525" t="s">
        <v>1083</v>
      </c>
      <c r="L171" s="541" t="s">
        <v>1084</v>
      </c>
      <c r="M171" s="525" t="s">
        <v>1085</v>
      </c>
      <c r="N171" s="42">
        <v>2</v>
      </c>
      <c r="O171" s="506" t="s">
        <v>1087</v>
      </c>
      <c r="P171" s="453">
        <v>0.5</v>
      </c>
      <c r="Q171" s="454">
        <v>43586</v>
      </c>
      <c r="R171" s="455">
        <v>43646</v>
      </c>
      <c r="S171" s="430">
        <f t="shared" si="14"/>
        <v>0.16500000000000001</v>
      </c>
      <c r="T171" s="525" t="s">
        <v>1085</v>
      </c>
      <c r="U171" s="456">
        <v>1</v>
      </c>
      <c r="V171" s="504" t="s">
        <v>1185</v>
      </c>
      <c r="W171" s="81">
        <f t="shared" si="20"/>
        <v>0.5</v>
      </c>
      <c r="X171" s="442">
        <f t="shared" si="21"/>
        <v>0.5</v>
      </c>
      <c r="Y171" s="280">
        <f t="shared" si="15"/>
        <v>0.16500000000000001</v>
      </c>
    </row>
    <row r="172" spans="2:25" ht="76.5" customHeight="1" x14ac:dyDescent="0.25">
      <c r="B172" s="485" t="s">
        <v>391</v>
      </c>
      <c r="C172" s="484" t="s">
        <v>734</v>
      </c>
      <c r="D172" s="484" t="s">
        <v>23</v>
      </c>
      <c r="E172" s="229" t="s">
        <v>787</v>
      </c>
      <c r="F172" s="55" t="s">
        <v>183</v>
      </c>
      <c r="G172" s="1032">
        <v>2</v>
      </c>
      <c r="H172" s="542" t="s">
        <v>791</v>
      </c>
      <c r="I172" s="486">
        <v>0.33</v>
      </c>
      <c r="J172" s="487">
        <v>100</v>
      </c>
      <c r="K172" s="525" t="s">
        <v>1083</v>
      </c>
      <c r="L172" s="524" t="s">
        <v>357</v>
      </c>
      <c r="M172" s="522" t="s">
        <v>351</v>
      </c>
      <c r="N172" s="42">
        <v>1</v>
      </c>
      <c r="O172" s="457" t="s">
        <v>1088</v>
      </c>
      <c r="P172" s="453">
        <v>0.3</v>
      </c>
      <c r="Q172" s="454">
        <v>43525</v>
      </c>
      <c r="R172" s="455">
        <v>43600</v>
      </c>
      <c r="S172" s="430">
        <f t="shared" si="14"/>
        <v>9.9000000000000005E-2</v>
      </c>
      <c r="T172" s="525" t="s">
        <v>790</v>
      </c>
      <c r="U172" s="456">
        <v>1</v>
      </c>
      <c r="V172" s="710" t="s">
        <v>1186</v>
      </c>
      <c r="W172" s="81">
        <f t="shared" si="20"/>
        <v>0.3</v>
      </c>
      <c r="X172" s="442">
        <f t="shared" si="21"/>
        <v>0.3</v>
      </c>
      <c r="Y172" s="280">
        <f t="shared" si="15"/>
        <v>9.9000000000000005E-2</v>
      </c>
    </row>
    <row r="173" spans="2:25" ht="76.5" customHeight="1" x14ac:dyDescent="0.25">
      <c r="B173" s="485" t="s">
        <v>391</v>
      </c>
      <c r="C173" s="484" t="s">
        <v>734</v>
      </c>
      <c r="D173" s="484" t="s">
        <v>23</v>
      </c>
      <c r="E173" s="229" t="s">
        <v>787</v>
      </c>
      <c r="F173" s="55" t="s">
        <v>183</v>
      </c>
      <c r="G173" s="1032"/>
      <c r="H173" s="542" t="s">
        <v>791</v>
      </c>
      <c r="I173" s="486">
        <v>0.33</v>
      </c>
      <c r="J173" s="487">
        <v>100</v>
      </c>
      <c r="K173" s="525" t="s">
        <v>1083</v>
      </c>
      <c r="L173" s="524" t="s">
        <v>357</v>
      </c>
      <c r="M173" s="522" t="s">
        <v>351</v>
      </c>
      <c r="N173" s="42">
        <v>2</v>
      </c>
      <c r="O173" s="507" t="s">
        <v>1089</v>
      </c>
      <c r="P173" s="453">
        <v>0.3</v>
      </c>
      <c r="Q173" s="454">
        <v>43601</v>
      </c>
      <c r="R173" s="455">
        <v>43692</v>
      </c>
      <c r="S173" s="430">
        <f t="shared" si="14"/>
        <v>9.9000000000000005E-2</v>
      </c>
      <c r="T173" s="525" t="s">
        <v>790</v>
      </c>
      <c r="U173" s="456">
        <v>0.5</v>
      </c>
      <c r="V173" s="504" t="s">
        <v>1187</v>
      </c>
      <c r="W173" s="81">
        <f t="shared" si="20"/>
        <v>0.15</v>
      </c>
      <c r="X173" s="442">
        <f t="shared" si="21"/>
        <v>7.4999999999999997E-2</v>
      </c>
      <c r="Y173" s="280">
        <f t="shared" si="15"/>
        <v>4.9500000000000002E-2</v>
      </c>
    </row>
    <row r="174" spans="2:25" ht="76.5" customHeight="1" x14ac:dyDescent="0.25">
      <c r="B174" s="485" t="s">
        <v>391</v>
      </c>
      <c r="C174" s="484" t="s">
        <v>734</v>
      </c>
      <c r="D174" s="484" t="s">
        <v>23</v>
      </c>
      <c r="E174" s="229" t="s">
        <v>787</v>
      </c>
      <c r="F174" s="55" t="s">
        <v>183</v>
      </c>
      <c r="G174" s="1032"/>
      <c r="H174" s="542" t="s">
        <v>791</v>
      </c>
      <c r="I174" s="486">
        <v>0.33</v>
      </c>
      <c r="J174" s="487">
        <v>100</v>
      </c>
      <c r="K174" s="525" t="s">
        <v>1083</v>
      </c>
      <c r="L174" s="524" t="s">
        <v>357</v>
      </c>
      <c r="M174" s="522" t="s">
        <v>351</v>
      </c>
      <c r="N174" s="42">
        <v>3</v>
      </c>
      <c r="O174" s="457" t="s">
        <v>1090</v>
      </c>
      <c r="P174" s="453">
        <v>0.4</v>
      </c>
      <c r="Q174" s="454">
        <v>43693</v>
      </c>
      <c r="R174" s="455">
        <v>43799</v>
      </c>
      <c r="S174" s="430">
        <f t="shared" si="14"/>
        <v>0.13200000000000001</v>
      </c>
      <c r="T174" s="525" t="s">
        <v>790</v>
      </c>
      <c r="U174" s="456">
        <v>0.38</v>
      </c>
      <c r="V174" s="504" t="s">
        <v>1188</v>
      </c>
      <c r="W174" s="81">
        <f t="shared" si="20"/>
        <v>0.15200000000000002</v>
      </c>
      <c r="X174" s="442">
        <f t="shared" si="21"/>
        <v>5.7760000000000013E-2</v>
      </c>
      <c r="Y174" s="280">
        <f t="shared" si="15"/>
        <v>5.016000000000001E-2</v>
      </c>
    </row>
    <row r="175" spans="2:25" ht="76.5" customHeight="1" thickBot="1" x14ac:dyDescent="0.3">
      <c r="B175" s="485" t="s">
        <v>391</v>
      </c>
      <c r="C175" s="484" t="s">
        <v>734</v>
      </c>
      <c r="D175" s="484" t="s">
        <v>23</v>
      </c>
      <c r="E175" s="229" t="s">
        <v>787</v>
      </c>
      <c r="F175" s="55" t="s">
        <v>183</v>
      </c>
      <c r="G175" s="965">
        <v>3</v>
      </c>
      <c r="H175" s="477" t="s">
        <v>793</v>
      </c>
      <c r="I175" s="486">
        <v>0.34</v>
      </c>
      <c r="J175" s="487">
        <v>100</v>
      </c>
      <c r="K175" s="525" t="s">
        <v>1083</v>
      </c>
      <c r="L175" s="524" t="s">
        <v>357</v>
      </c>
      <c r="M175" s="522" t="s">
        <v>351</v>
      </c>
      <c r="N175" s="42">
        <v>1</v>
      </c>
      <c r="O175" s="457" t="s">
        <v>1091</v>
      </c>
      <c r="P175" s="453">
        <v>0.3</v>
      </c>
      <c r="Q175" s="454">
        <v>43525</v>
      </c>
      <c r="R175" s="455">
        <v>43600</v>
      </c>
      <c r="S175" s="430">
        <f t="shared" si="14"/>
        <v>0.10200000000000001</v>
      </c>
      <c r="T175" s="525" t="s">
        <v>790</v>
      </c>
      <c r="U175" s="456">
        <v>1</v>
      </c>
      <c r="V175" s="710" t="s">
        <v>1189</v>
      </c>
      <c r="W175" s="81">
        <f t="shared" si="20"/>
        <v>0.3</v>
      </c>
      <c r="X175" s="442">
        <f t="shared" si="21"/>
        <v>0.3</v>
      </c>
      <c r="Y175" s="280">
        <f t="shared" si="15"/>
        <v>0.10200000000000001</v>
      </c>
    </row>
    <row r="176" spans="2:25" ht="76.5" customHeight="1" thickBot="1" x14ac:dyDescent="0.3">
      <c r="B176" s="485" t="s">
        <v>391</v>
      </c>
      <c r="C176" s="484" t="s">
        <v>734</v>
      </c>
      <c r="D176" s="484" t="s">
        <v>23</v>
      </c>
      <c r="E176" s="229" t="s">
        <v>787</v>
      </c>
      <c r="F176" s="55" t="s">
        <v>183</v>
      </c>
      <c r="G176" s="965"/>
      <c r="H176" s="477" t="s">
        <v>793</v>
      </c>
      <c r="I176" s="486">
        <v>0.34</v>
      </c>
      <c r="J176" s="487">
        <v>100</v>
      </c>
      <c r="K176" s="525" t="s">
        <v>1083</v>
      </c>
      <c r="L176" s="524" t="s">
        <v>357</v>
      </c>
      <c r="M176" s="522" t="s">
        <v>351</v>
      </c>
      <c r="N176" s="42">
        <v>2</v>
      </c>
      <c r="O176" s="507" t="s">
        <v>1092</v>
      </c>
      <c r="P176" s="453">
        <v>0.3</v>
      </c>
      <c r="Q176" s="454">
        <v>43601</v>
      </c>
      <c r="R176" s="455">
        <v>43692</v>
      </c>
      <c r="S176" s="430">
        <f t="shared" si="14"/>
        <v>0.10200000000000001</v>
      </c>
      <c r="T176" s="525" t="s">
        <v>790</v>
      </c>
      <c r="U176" s="456">
        <v>0.5</v>
      </c>
      <c r="V176" s="504" t="s">
        <v>1190</v>
      </c>
      <c r="W176" s="81">
        <f t="shared" si="20"/>
        <v>0.15</v>
      </c>
      <c r="X176" s="442">
        <f t="shared" si="21"/>
        <v>7.4999999999999997E-2</v>
      </c>
      <c r="Y176" s="280">
        <f t="shared" si="15"/>
        <v>5.1000000000000004E-2</v>
      </c>
    </row>
    <row r="177" spans="2:25" ht="76.5" customHeight="1" thickBot="1" x14ac:dyDescent="0.3">
      <c r="B177" s="485" t="s">
        <v>391</v>
      </c>
      <c r="C177" s="484" t="s">
        <v>734</v>
      </c>
      <c r="D177" s="484" t="s">
        <v>23</v>
      </c>
      <c r="E177" s="229" t="s">
        <v>787</v>
      </c>
      <c r="F177" s="55" t="s">
        <v>183</v>
      </c>
      <c r="G177" s="965"/>
      <c r="H177" s="477" t="s">
        <v>793</v>
      </c>
      <c r="I177" s="486">
        <v>0.34</v>
      </c>
      <c r="J177" s="487">
        <v>100</v>
      </c>
      <c r="K177" s="525" t="s">
        <v>1083</v>
      </c>
      <c r="L177" s="524" t="s">
        <v>357</v>
      </c>
      <c r="M177" s="522" t="s">
        <v>351</v>
      </c>
      <c r="N177" s="42">
        <v>3</v>
      </c>
      <c r="O177" s="457" t="s">
        <v>1093</v>
      </c>
      <c r="P177" s="453">
        <v>0.4</v>
      </c>
      <c r="Q177" s="454">
        <v>43693</v>
      </c>
      <c r="R177" s="455">
        <v>43799</v>
      </c>
      <c r="S177" s="430">
        <f t="shared" si="14"/>
        <v>0.13600000000000001</v>
      </c>
      <c r="T177" s="525" t="s">
        <v>790</v>
      </c>
      <c r="U177" s="456"/>
      <c r="V177" s="709"/>
      <c r="W177" s="81">
        <f t="shared" si="20"/>
        <v>0</v>
      </c>
      <c r="X177" s="442">
        <f t="shared" si="21"/>
        <v>0</v>
      </c>
      <c r="Y177" s="280">
        <f t="shared" si="15"/>
        <v>0</v>
      </c>
    </row>
    <row r="178" spans="2:25" ht="76.5" customHeight="1" x14ac:dyDescent="0.25">
      <c r="B178" s="355" t="s">
        <v>388</v>
      </c>
      <c r="C178" s="484" t="s">
        <v>389</v>
      </c>
      <c r="D178" s="55" t="s">
        <v>23</v>
      </c>
      <c r="E178" s="229" t="s">
        <v>542</v>
      </c>
      <c r="F178" s="55" t="s">
        <v>186</v>
      </c>
      <c r="G178" s="1033">
        <v>1</v>
      </c>
      <c r="H178" s="478" t="s">
        <v>795</v>
      </c>
      <c r="I178" s="513">
        <v>6.25E-2</v>
      </c>
      <c r="J178" s="493">
        <v>1</v>
      </c>
      <c r="K178" s="1036" t="s">
        <v>184</v>
      </c>
      <c r="L178" s="411" t="s">
        <v>796</v>
      </c>
      <c r="M178" s="458" t="s">
        <v>797</v>
      </c>
      <c r="N178" s="566">
        <v>1</v>
      </c>
      <c r="O178" s="459" t="s">
        <v>1094</v>
      </c>
      <c r="P178" s="450">
        <v>0.25</v>
      </c>
      <c r="Q178" s="460">
        <v>43467</v>
      </c>
      <c r="R178" s="460">
        <v>43554</v>
      </c>
      <c r="S178" s="430">
        <f t="shared" si="14"/>
        <v>1.5625E-2</v>
      </c>
      <c r="T178" s="396" t="s">
        <v>797</v>
      </c>
      <c r="U178" s="461">
        <v>1</v>
      </c>
      <c r="V178" s="710" t="s">
        <v>1295</v>
      </c>
      <c r="W178" s="81">
        <f t="shared" si="20"/>
        <v>0.25</v>
      </c>
      <c r="X178" s="442">
        <f t="shared" si="21"/>
        <v>0.25</v>
      </c>
      <c r="Y178" s="280">
        <f t="shared" si="15"/>
        <v>1.5625E-2</v>
      </c>
    </row>
    <row r="179" spans="2:25" ht="76.5" customHeight="1" x14ac:dyDescent="0.25">
      <c r="B179" s="355" t="s">
        <v>388</v>
      </c>
      <c r="C179" s="484" t="s">
        <v>389</v>
      </c>
      <c r="D179" s="55" t="s">
        <v>23</v>
      </c>
      <c r="E179" s="229" t="s">
        <v>542</v>
      </c>
      <c r="F179" s="55" t="s">
        <v>186</v>
      </c>
      <c r="G179" s="1033"/>
      <c r="H179" s="478" t="s">
        <v>795</v>
      </c>
      <c r="I179" s="513">
        <v>6.25E-2</v>
      </c>
      <c r="J179" s="493">
        <v>1</v>
      </c>
      <c r="K179" s="1036"/>
      <c r="L179" s="411" t="s">
        <v>796</v>
      </c>
      <c r="M179" s="458" t="s">
        <v>797</v>
      </c>
      <c r="N179" s="566">
        <v>2</v>
      </c>
      <c r="O179" s="459" t="s">
        <v>1095</v>
      </c>
      <c r="P179" s="450">
        <v>0.25</v>
      </c>
      <c r="Q179" s="460">
        <v>43557</v>
      </c>
      <c r="R179" s="460">
        <v>43646</v>
      </c>
      <c r="S179" s="430">
        <f t="shared" si="14"/>
        <v>1.5625E-2</v>
      </c>
      <c r="T179" s="396" t="s">
        <v>797</v>
      </c>
      <c r="U179" s="437">
        <v>0</v>
      </c>
      <c r="V179" s="710" t="s">
        <v>1296</v>
      </c>
      <c r="W179" s="81">
        <f t="shared" ref="W179:W234" si="22">U179*P179</f>
        <v>0</v>
      </c>
      <c r="X179" s="442">
        <f t="shared" ref="X179:X234" si="23">W179*U179</f>
        <v>0</v>
      </c>
      <c r="Y179" s="280">
        <f t="shared" si="15"/>
        <v>0</v>
      </c>
    </row>
    <row r="180" spans="2:25" ht="76.5" customHeight="1" x14ac:dyDescent="0.25">
      <c r="B180" s="355" t="s">
        <v>388</v>
      </c>
      <c r="C180" s="484" t="s">
        <v>389</v>
      </c>
      <c r="D180" s="55" t="s">
        <v>23</v>
      </c>
      <c r="E180" s="229" t="s">
        <v>542</v>
      </c>
      <c r="F180" s="55" t="s">
        <v>186</v>
      </c>
      <c r="G180" s="1033"/>
      <c r="H180" s="478" t="s">
        <v>795</v>
      </c>
      <c r="I180" s="513">
        <v>6.25E-2</v>
      </c>
      <c r="J180" s="493">
        <v>1</v>
      </c>
      <c r="K180" s="1036"/>
      <c r="L180" s="411" t="s">
        <v>796</v>
      </c>
      <c r="M180" s="458" t="s">
        <v>797</v>
      </c>
      <c r="N180" s="566">
        <v>3</v>
      </c>
      <c r="O180" s="459" t="s">
        <v>1096</v>
      </c>
      <c r="P180" s="450">
        <v>0.25</v>
      </c>
      <c r="Q180" s="460">
        <v>43648</v>
      </c>
      <c r="R180" s="460">
        <v>43738</v>
      </c>
      <c r="S180" s="430">
        <f t="shared" si="14"/>
        <v>1.5625E-2</v>
      </c>
      <c r="T180" s="396" t="s">
        <v>797</v>
      </c>
      <c r="U180" s="292"/>
      <c r="V180" s="709"/>
      <c r="W180" s="81">
        <f t="shared" si="22"/>
        <v>0</v>
      </c>
      <c r="X180" s="442">
        <f t="shared" si="23"/>
        <v>0</v>
      </c>
      <c r="Y180" s="280">
        <f t="shared" si="15"/>
        <v>0</v>
      </c>
    </row>
    <row r="181" spans="2:25" ht="76.5" customHeight="1" x14ac:dyDescent="0.25">
      <c r="B181" s="355" t="s">
        <v>388</v>
      </c>
      <c r="C181" s="484" t="s">
        <v>389</v>
      </c>
      <c r="D181" s="55" t="s">
        <v>23</v>
      </c>
      <c r="E181" s="229" t="s">
        <v>542</v>
      </c>
      <c r="F181" s="55" t="s">
        <v>186</v>
      </c>
      <c r="G181" s="1033"/>
      <c r="H181" s="478" t="s">
        <v>795</v>
      </c>
      <c r="I181" s="513">
        <v>6.25E-2</v>
      </c>
      <c r="J181" s="493">
        <v>1</v>
      </c>
      <c r="K181" s="1036"/>
      <c r="L181" s="411" t="s">
        <v>796</v>
      </c>
      <c r="M181" s="458" t="s">
        <v>797</v>
      </c>
      <c r="N181" s="566">
        <v>4</v>
      </c>
      <c r="O181" s="459" t="s">
        <v>1097</v>
      </c>
      <c r="P181" s="450">
        <v>0.25</v>
      </c>
      <c r="Q181" s="460">
        <v>43740</v>
      </c>
      <c r="R181" s="460">
        <v>43829</v>
      </c>
      <c r="S181" s="430">
        <f t="shared" si="14"/>
        <v>1.5625E-2</v>
      </c>
      <c r="T181" s="396" t="s">
        <v>797</v>
      </c>
      <c r="U181" s="292"/>
      <c r="V181" s="709"/>
      <c r="W181" s="81">
        <f t="shared" si="22"/>
        <v>0</v>
      </c>
      <c r="X181" s="442">
        <f t="shared" si="23"/>
        <v>0</v>
      </c>
      <c r="Y181" s="280">
        <f t="shared" si="15"/>
        <v>0</v>
      </c>
    </row>
    <row r="182" spans="2:25" ht="76.5" customHeight="1" x14ac:dyDescent="0.25">
      <c r="B182" s="355" t="s">
        <v>388</v>
      </c>
      <c r="C182" s="484" t="s">
        <v>389</v>
      </c>
      <c r="D182" s="55" t="s">
        <v>23</v>
      </c>
      <c r="E182" s="229" t="s">
        <v>542</v>
      </c>
      <c r="F182" s="55" t="s">
        <v>186</v>
      </c>
      <c r="G182" s="1033">
        <v>2</v>
      </c>
      <c r="H182" s="411" t="s">
        <v>363</v>
      </c>
      <c r="I182" s="513">
        <v>6.25E-2</v>
      </c>
      <c r="J182" s="397">
        <v>0.2</v>
      </c>
      <c r="K182" s="1034" t="s">
        <v>184</v>
      </c>
      <c r="L182" s="411" t="s">
        <v>798</v>
      </c>
      <c r="M182" s="458" t="s">
        <v>198</v>
      </c>
      <c r="N182" s="566">
        <v>1</v>
      </c>
      <c r="O182" s="459" t="s">
        <v>209</v>
      </c>
      <c r="P182" s="450">
        <v>0.5</v>
      </c>
      <c r="Q182" s="460">
        <v>43497</v>
      </c>
      <c r="R182" s="460">
        <v>43830</v>
      </c>
      <c r="S182" s="430">
        <f t="shared" si="14"/>
        <v>3.125E-2</v>
      </c>
      <c r="T182" s="546" t="s">
        <v>198</v>
      </c>
      <c r="U182" s="461">
        <v>1</v>
      </c>
      <c r="V182" s="710" t="s">
        <v>1277</v>
      </c>
      <c r="W182" s="81">
        <f t="shared" si="22"/>
        <v>0.5</v>
      </c>
      <c r="X182" s="442">
        <f t="shared" si="23"/>
        <v>0.5</v>
      </c>
      <c r="Y182" s="280">
        <f t="shared" si="15"/>
        <v>3.125E-2</v>
      </c>
    </row>
    <row r="183" spans="2:25" ht="76.5" customHeight="1" x14ac:dyDescent="0.25">
      <c r="B183" s="355" t="s">
        <v>388</v>
      </c>
      <c r="C183" s="484" t="s">
        <v>389</v>
      </c>
      <c r="D183" s="55" t="s">
        <v>23</v>
      </c>
      <c r="E183" s="229" t="s">
        <v>542</v>
      </c>
      <c r="F183" s="55" t="s">
        <v>186</v>
      </c>
      <c r="G183" s="1033"/>
      <c r="H183" s="411" t="s">
        <v>363</v>
      </c>
      <c r="I183" s="513">
        <v>6.25E-2</v>
      </c>
      <c r="J183" s="397">
        <v>0.2</v>
      </c>
      <c r="K183" s="1034"/>
      <c r="L183" s="411" t="s">
        <v>798</v>
      </c>
      <c r="M183" s="458" t="s">
        <v>198</v>
      </c>
      <c r="N183" s="566">
        <v>2</v>
      </c>
      <c r="O183" s="459" t="s">
        <v>1098</v>
      </c>
      <c r="P183" s="450">
        <v>0.5</v>
      </c>
      <c r="Q183" s="460">
        <v>43497</v>
      </c>
      <c r="R183" s="460">
        <v>43830</v>
      </c>
      <c r="S183" s="430">
        <f t="shared" si="14"/>
        <v>3.125E-2</v>
      </c>
      <c r="T183" s="546" t="s">
        <v>200</v>
      </c>
      <c r="U183" s="461">
        <v>1</v>
      </c>
      <c r="V183" s="710" t="s">
        <v>1278</v>
      </c>
      <c r="W183" s="81">
        <f t="shared" si="22"/>
        <v>0.5</v>
      </c>
      <c r="X183" s="442">
        <f t="shared" si="23"/>
        <v>0.5</v>
      </c>
      <c r="Y183" s="280">
        <f t="shared" si="15"/>
        <v>3.125E-2</v>
      </c>
    </row>
    <row r="184" spans="2:25" ht="76.5" customHeight="1" x14ac:dyDescent="0.25">
      <c r="B184" s="355" t="s">
        <v>388</v>
      </c>
      <c r="C184" s="484" t="s">
        <v>389</v>
      </c>
      <c r="D184" s="55" t="s">
        <v>23</v>
      </c>
      <c r="E184" s="229" t="s">
        <v>542</v>
      </c>
      <c r="F184" s="55" t="s">
        <v>186</v>
      </c>
      <c r="G184" s="1033">
        <v>3</v>
      </c>
      <c r="H184" s="475" t="s">
        <v>799</v>
      </c>
      <c r="I184" s="513">
        <v>6.25E-2</v>
      </c>
      <c r="J184" s="494">
        <v>51</v>
      </c>
      <c r="K184" s="1034" t="s">
        <v>1099</v>
      </c>
      <c r="L184" s="1035" t="s">
        <v>1174</v>
      </c>
      <c r="M184" s="458" t="s">
        <v>198</v>
      </c>
      <c r="N184" s="566">
        <v>1</v>
      </c>
      <c r="O184" s="462" t="s">
        <v>1100</v>
      </c>
      <c r="P184" s="450">
        <v>0.1</v>
      </c>
      <c r="Q184" s="460">
        <v>43550</v>
      </c>
      <c r="R184" s="460">
        <v>43553</v>
      </c>
      <c r="S184" s="430">
        <f t="shared" si="14"/>
        <v>6.2500000000000003E-3</v>
      </c>
      <c r="T184" s="546" t="s">
        <v>198</v>
      </c>
      <c r="U184" s="461">
        <v>1</v>
      </c>
      <c r="V184" s="710" t="s">
        <v>1279</v>
      </c>
      <c r="W184" s="81">
        <f t="shared" si="22"/>
        <v>0.1</v>
      </c>
      <c r="X184" s="442">
        <f t="shared" si="23"/>
        <v>0.1</v>
      </c>
      <c r="Y184" s="280">
        <f t="shared" si="15"/>
        <v>6.2500000000000003E-3</v>
      </c>
    </row>
    <row r="185" spans="2:25" ht="76.5" customHeight="1" x14ac:dyDescent="0.25">
      <c r="B185" s="355" t="s">
        <v>388</v>
      </c>
      <c r="C185" s="484" t="s">
        <v>389</v>
      </c>
      <c r="D185" s="55" t="s">
        <v>23</v>
      </c>
      <c r="E185" s="229" t="s">
        <v>542</v>
      </c>
      <c r="F185" s="55" t="s">
        <v>186</v>
      </c>
      <c r="G185" s="1033"/>
      <c r="H185" s="475" t="s">
        <v>799</v>
      </c>
      <c r="I185" s="513">
        <v>6.25E-2</v>
      </c>
      <c r="J185" s="494">
        <v>51</v>
      </c>
      <c r="K185" s="1034"/>
      <c r="L185" s="1035"/>
      <c r="M185" s="458" t="s">
        <v>198</v>
      </c>
      <c r="N185" s="566">
        <v>2</v>
      </c>
      <c r="O185" s="462" t="s">
        <v>1102</v>
      </c>
      <c r="P185" s="450">
        <v>0.9</v>
      </c>
      <c r="Q185" s="460">
        <v>43556</v>
      </c>
      <c r="R185" s="460">
        <v>43830</v>
      </c>
      <c r="S185" s="430">
        <f t="shared" si="14"/>
        <v>5.6250000000000001E-2</v>
      </c>
      <c r="T185" s="546" t="s">
        <v>198</v>
      </c>
      <c r="U185" s="461">
        <v>1</v>
      </c>
      <c r="V185" s="710" t="s">
        <v>1280</v>
      </c>
      <c r="W185" s="81">
        <f t="shared" si="22"/>
        <v>0.9</v>
      </c>
      <c r="X185" s="442">
        <f t="shared" si="23"/>
        <v>0.9</v>
      </c>
      <c r="Y185" s="280">
        <f t="shared" si="15"/>
        <v>5.6250000000000001E-2</v>
      </c>
    </row>
    <row r="186" spans="2:25" ht="76.5" customHeight="1" x14ac:dyDescent="0.25">
      <c r="B186" s="355" t="s">
        <v>388</v>
      </c>
      <c r="C186" s="484" t="s">
        <v>389</v>
      </c>
      <c r="D186" s="55" t="s">
        <v>23</v>
      </c>
      <c r="E186" s="229" t="s">
        <v>542</v>
      </c>
      <c r="F186" s="55" t="s">
        <v>186</v>
      </c>
      <c r="G186" s="1033">
        <v>4</v>
      </c>
      <c r="H186" s="411" t="s">
        <v>1103</v>
      </c>
      <c r="I186" s="513">
        <v>6.25E-2</v>
      </c>
      <c r="J186" s="494">
        <v>4</v>
      </c>
      <c r="K186" s="1034" t="s">
        <v>212</v>
      </c>
      <c r="L186" s="1035" t="s">
        <v>1297</v>
      </c>
      <c r="M186" s="458" t="s">
        <v>1101</v>
      </c>
      <c r="N186" s="566">
        <v>1</v>
      </c>
      <c r="O186" s="459" t="s">
        <v>1298</v>
      </c>
      <c r="P186" s="450">
        <v>0.25</v>
      </c>
      <c r="Q186" s="460">
        <v>43467</v>
      </c>
      <c r="R186" s="460">
        <v>43554</v>
      </c>
      <c r="S186" s="430">
        <f t="shared" si="14"/>
        <v>1.5625E-2</v>
      </c>
      <c r="T186" s="539" t="s">
        <v>1101</v>
      </c>
      <c r="U186" s="461">
        <v>1</v>
      </c>
      <c r="V186" s="504" t="s">
        <v>1299</v>
      </c>
      <c r="W186" s="81">
        <f t="shared" si="22"/>
        <v>0.25</v>
      </c>
      <c r="X186" s="442">
        <f t="shared" si="23"/>
        <v>0.25</v>
      </c>
      <c r="Y186" s="280">
        <f t="shared" si="15"/>
        <v>1.5625E-2</v>
      </c>
    </row>
    <row r="187" spans="2:25" s="530" customFormat="1" ht="76.5" customHeight="1" x14ac:dyDescent="0.25">
      <c r="B187" s="531" t="s">
        <v>388</v>
      </c>
      <c r="C187" s="484" t="s">
        <v>389</v>
      </c>
      <c r="D187" s="55" t="s">
        <v>23</v>
      </c>
      <c r="E187" s="229" t="s">
        <v>542</v>
      </c>
      <c r="F187" s="55" t="s">
        <v>186</v>
      </c>
      <c r="G187" s="1033"/>
      <c r="H187" s="411" t="s">
        <v>1103</v>
      </c>
      <c r="I187" s="513">
        <v>6.25E-2</v>
      </c>
      <c r="J187" s="532">
        <v>4</v>
      </c>
      <c r="K187" s="1034"/>
      <c r="L187" s="1035"/>
      <c r="M187" s="458" t="s">
        <v>1101</v>
      </c>
      <c r="N187" s="566">
        <v>2</v>
      </c>
      <c r="O187" s="459" t="s">
        <v>1298</v>
      </c>
      <c r="P187" s="450">
        <v>0.25</v>
      </c>
      <c r="Q187" s="460">
        <v>43557</v>
      </c>
      <c r="R187" s="460">
        <v>43646</v>
      </c>
      <c r="S187" s="430">
        <f t="shared" si="14"/>
        <v>1.5625E-2</v>
      </c>
      <c r="T187" s="539" t="s">
        <v>1101</v>
      </c>
      <c r="U187" s="468">
        <v>1</v>
      </c>
      <c r="V187" s="504" t="s">
        <v>1299</v>
      </c>
      <c r="W187" s="81">
        <f t="shared" si="22"/>
        <v>0.25</v>
      </c>
      <c r="X187" s="442">
        <f t="shared" si="23"/>
        <v>0.25</v>
      </c>
      <c r="Y187" s="280">
        <f t="shared" si="15"/>
        <v>1.5625E-2</v>
      </c>
    </row>
    <row r="188" spans="2:25" s="530" customFormat="1" ht="76.5" customHeight="1" x14ac:dyDescent="0.25">
      <c r="B188" s="531" t="s">
        <v>388</v>
      </c>
      <c r="C188" s="484" t="s">
        <v>389</v>
      </c>
      <c r="D188" s="55" t="s">
        <v>23</v>
      </c>
      <c r="E188" s="229" t="s">
        <v>542</v>
      </c>
      <c r="F188" s="55" t="s">
        <v>186</v>
      </c>
      <c r="G188" s="1033"/>
      <c r="H188" s="411" t="s">
        <v>1103</v>
      </c>
      <c r="I188" s="513">
        <v>6.25E-2</v>
      </c>
      <c r="J188" s="532">
        <v>4</v>
      </c>
      <c r="K188" s="1034"/>
      <c r="L188" s="1035"/>
      <c r="M188" s="458" t="s">
        <v>1101</v>
      </c>
      <c r="N188" s="566">
        <v>3</v>
      </c>
      <c r="O188" s="459" t="s">
        <v>1298</v>
      </c>
      <c r="P188" s="450">
        <v>0.25</v>
      </c>
      <c r="Q188" s="460">
        <v>43648</v>
      </c>
      <c r="R188" s="460">
        <v>43738</v>
      </c>
      <c r="S188" s="430">
        <f t="shared" si="14"/>
        <v>1.5625E-2</v>
      </c>
      <c r="T188" s="539" t="s">
        <v>1101</v>
      </c>
      <c r="U188" s="461"/>
      <c r="V188" s="504"/>
      <c r="W188" s="81">
        <f t="shared" si="22"/>
        <v>0</v>
      </c>
      <c r="X188" s="442">
        <f t="shared" si="23"/>
        <v>0</v>
      </c>
      <c r="Y188" s="280">
        <f t="shared" si="15"/>
        <v>0</v>
      </c>
    </row>
    <row r="189" spans="2:25" ht="76.5" customHeight="1" x14ac:dyDescent="0.25">
      <c r="B189" s="355" t="s">
        <v>388</v>
      </c>
      <c r="C189" s="484" t="s">
        <v>389</v>
      </c>
      <c r="D189" s="55" t="s">
        <v>23</v>
      </c>
      <c r="E189" s="229" t="s">
        <v>542</v>
      </c>
      <c r="F189" s="55" t="s">
        <v>186</v>
      </c>
      <c r="G189" s="1033"/>
      <c r="H189" s="411" t="s">
        <v>1103</v>
      </c>
      <c r="I189" s="513">
        <v>6.25E-2</v>
      </c>
      <c r="J189" s="494">
        <v>4</v>
      </c>
      <c r="K189" s="1034"/>
      <c r="L189" s="1035"/>
      <c r="M189" s="458" t="s">
        <v>1101</v>
      </c>
      <c r="N189" s="566">
        <v>4</v>
      </c>
      <c r="O189" s="459" t="s">
        <v>1298</v>
      </c>
      <c r="P189" s="450">
        <v>0.25</v>
      </c>
      <c r="Q189" s="460">
        <v>43740</v>
      </c>
      <c r="R189" s="460">
        <v>43829</v>
      </c>
      <c r="S189" s="430">
        <f t="shared" si="14"/>
        <v>1.5625E-2</v>
      </c>
      <c r="T189" s="539" t="s">
        <v>1101</v>
      </c>
      <c r="U189" s="292"/>
      <c r="V189" s="504"/>
      <c r="W189" s="81">
        <f t="shared" si="22"/>
        <v>0</v>
      </c>
      <c r="X189" s="442">
        <f>W189*U187</f>
        <v>0</v>
      </c>
      <c r="Y189" s="280">
        <f t="shared" si="15"/>
        <v>0</v>
      </c>
    </row>
    <row r="190" spans="2:25" ht="76.5" customHeight="1" x14ac:dyDescent="0.25">
      <c r="B190" s="355" t="s">
        <v>388</v>
      </c>
      <c r="C190" s="484" t="s">
        <v>389</v>
      </c>
      <c r="D190" s="55" t="s">
        <v>23</v>
      </c>
      <c r="E190" s="229" t="s">
        <v>542</v>
      </c>
      <c r="F190" s="55" t="s">
        <v>186</v>
      </c>
      <c r="G190" s="1033">
        <v>5</v>
      </c>
      <c r="H190" s="479" t="s">
        <v>211</v>
      </c>
      <c r="I190" s="513">
        <v>6.25E-2</v>
      </c>
      <c r="J190" s="409">
        <v>2</v>
      </c>
      <c r="K190" s="1036" t="s">
        <v>220</v>
      </c>
      <c r="L190" s="1038" t="s">
        <v>1175</v>
      </c>
      <c r="M190" s="464" t="s">
        <v>1101</v>
      </c>
      <c r="N190" s="566">
        <v>1</v>
      </c>
      <c r="O190" s="459" t="s">
        <v>579</v>
      </c>
      <c r="P190" s="450">
        <v>0.25</v>
      </c>
      <c r="Q190" s="460">
        <v>43467</v>
      </c>
      <c r="R190" s="460">
        <v>43821</v>
      </c>
      <c r="S190" s="430">
        <f t="shared" si="14"/>
        <v>1.5625E-2</v>
      </c>
      <c r="T190" s="537" t="s">
        <v>1101</v>
      </c>
      <c r="U190" s="468">
        <v>1</v>
      </c>
      <c r="V190" s="504" t="s">
        <v>1300</v>
      </c>
      <c r="W190" s="81">
        <f t="shared" si="22"/>
        <v>0.25</v>
      </c>
      <c r="X190" s="442">
        <f t="shared" si="23"/>
        <v>0.25</v>
      </c>
      <c r="Y190" s="280">
        <f t="shared" si="15"/>
        <v>1.5625E-2</v>
      </c>
    </row>
    <row r="191" spans="2:25" ht="76.5" customHeight="1" x14ac:dyDescent="0.25">
      <c r="B191" s="355" t="s">
        <v>388</v>
      </c>
      <c r="C191" s="484" t="s">
        <v>389</v>
      </c>
      <c r="D191" s="55" t="s">
        <v>23</v>
      </c>
      <c r="E191" s="229" t="s">
        <v>542</v>
      </c>
      <c r="F191" s="55" t="s">
        <v>186</v>
      </c>
      <c r="G191" s="1033"/>
      <c r="H191" s="479" t="s">
        <v>211</v>
      </c>
      <c r="I191" s="513">
        <v>6.25E-2</v>
      </c>
      <c r="J191" s="409">
        <v>2</v>
      </c>
      <c r="K191" s="1036"/>
      <c r="L191" s="1038"/>
      <c r="M191" s="464" t="s">
        <v>1101</v>
      </c>
      <c r="N191" s="566">
        <v>2</v>
      </c>
      <c r="O191" s="459" t="s">
        <v>580</v>
      </c>
      <c r="P191" s="450">
        <v>0.25</v>
      </c>
      <c r="Q191" s="460">
        <v>43467</v>
      </c>
      <c r="R191" s="460">
        <v>43821</v>
      </c>
      <c r="S191" s="430">
        <f t="shared" si="14"/>
        <v>1.5625E-2</v>
      </c>
      <c r="T191" s="537" t="s">
        <v>1101</v>
      </c>
      <c r="U191" s="468">
        <v>0.5</v>
      </c>
      <c r="V191" s="504" t="s">
        <v>1301</v>
      </c>
      <c r="W191" s="81">
        <f t="shared" si="22"/>
        <v>0.125</v>
      </c>
      <c r="X191" s="442">
        <f t="shared" si="23"/>
        <v>6.25E-2</v>
      </c>
      <c r="Y191" s="280">
        <f t="shared" si="15"/>
        <v>7.8125E-3</v>
      </c>
    </row>
    <row r="192" spans="2:25" ht="76.5" customHeight="1" x14ac:dyDescent="0.25">
      <c r="B192" s="355" t="s">
        <v>388</v>
      </c>
      <c r="C192" s="484" t="s">
        <v>389</v>
      </c>
      <c r="D192" s="55" t="s">
        <v>23</v>
      </c>
      <c r="E192" s="229" t="s">
        <v>542</v>
      </c>
      <c r="F192" s="55" t="s">
        <v>186</v>
      </c>
      <c r="G192" s="1033"/>
      <c r="H192" s="479" t="s">
        <v>211</v>
      </c>
      <c r="I192" s="513">
        <v>6.25E-2</v>
      </c>
      <c r="J192" s="409">
        <v>2</v>
      </c>
      <c r="K192" s="1036"/>
      <c r="L192" s="1038"/>
      <c r="M192" s="464" t="s">
        <v>1101</v>
      </c>
      <c r="N192" s="566">
        <v>3</v>
      </c>
      <c r="O192" s="463" t="s">
        <v>581</v>
      </c>
      <c r="P192" s="450">
        <v>0.5</v>
      </c>
      <c r="Q192" s="460">
        <v>43467</v>
      </c>
      <c r="R192" s="460">
        <v>43821</v>
      </c>
      <c r="S192" s="430">
        <f t="shared" si="14"/>
        <v>3.125E-2</v>
      </c>
      <c r="T192" s="537" t="s">
        <v>1101</v>
      </c>
      <c r="U192" s="468">
        <v>0.5</v>
      </c>
      <c r="V192" s="504" t="s">
        <v>1176</v>
      </c>
      <c r="W192" s="81">
        <f t="shared" si="22"/>
        <v>0.25</v>
      </c>
      <c r="X192" s="442">
        <f t="shared" si="23"/>
        <v>0.125</v>
      </c>
      <c r="Y192" s="280">
        <f t="shared" si="15"/>
        <v>1.5625E-2</v>
      </c>
    </row>
    <row r="193" spans="2:25" ht="76.5" customHeight="1" x14ac:dyDescent="0.25">
      <c r="B193" s="355" t="s">
        <v>388</v>
      </c>
      <c r="C193" s="484" t="s">
        <v>389</v>
      </c>
      <c r="D193" s="55" t="s">
        <v>23</v>
      </c>
      <c r="E193" s="229" t="s">
        <v>536</v>
      </c>
      <c r="F193" s="55" t="s">
        <v>186</v>
      </c>
      <c r="G193" s="1033">
        <v>6</v>
      </c>
      <c r="H193" s="480" t="s">
        <v>365</v>
      </c>
      <c r="I193" s="513">
        <v>6.25E-2</v>
      </c>
      <c r="J193" s="518">
        <v>5</v>
      </c>
      <c r="K193" s="1036" t="s">
        <v>220</v>
      </c>
      <c r="L193" s="1037" t="s">
        <v>805</v>
      </c>
      <c r="M193" s="464" t="s">
        <v>222</v>
      </c>
      <c r="N193" s="566">
        <v>1</v>
      </c>
      <c r="O193" s="465" t="s">
        <v>1104</v>
      </c>
      <c r="P193" s="450">
        <v>0.33</v>
      </c>
      <c r="Q193" s="460">
        <v>43557</v>
      </c>
      <c r="R193" s="460">
        <v>43646</v>
      </c>
      <c r="S193" s="430">
        <f t="shared" si="14"/>
        <v>2.0625000000000001E-2</v>
      </c>
      <c r="T193" s="539" t="s">
        <v>222</v>
      </c>
      <c r="U193" s="466">
        <v>1</v>
      </c>
      <c r="V193" s="710" t="s">
        <v>1282</v>
      </c>
      <c r="W193" s="81">
        <f t="shared" si="22"/>
        <v>0.33</v>
      </c>
      <c r="X193" s="442">
        <f t="shared" si="23"/>
        <v>0.33</v>
      </c>
      <c r="Y193" s="280">
        <f t="shared" si="15"/>
        <v>2.0625000000000001E-2</v>
      </c>
    </row>
    <row r="194" spans="2:25" ht="76.5" customHeight="1" x14ac:dyDescent="0.25">
      <c r="B194" s="355" t="s">
        <v>388</v>
      </c>
      <c r="C194" s="484" t="s">
        <v>389</v>
      </c>
      <c r="D194" s="55" t="s">
        <v>23</v>
      </c>
      <c r="E194" s="229" t="s">
        <v>536</v>
      </c>
      <c r="F194" s="55" t="s">
        <v>186</v>
      </c>
      <c r="G194" s="1033"/>
      <c r="H194" s="480" t="s">
        <v>365</v>
      </c>
      <c r="I194" s="513">
        <v>6.25E-2</v>
      </c>
      <c r="J194" s="518">
        <v>5</v>
      </c>
      <c r="K194" s="1036"/>
      <c r="L194" s="1037"/>
      <c r="M194" s="464" t="s">
        <v>222</v>
      </c>
      <c r="N194" s="566">
        <v>2</v>
      </c>
      <c r="O194" s="465" t="s">
        <v>1105</v>
      </c>
      <c r="P194" s="450">
        <v>0.33</v>
      </c>
      <c r="Q194" s="460">
        <v>43647</v>
      </c>
      <c r="R194" s="460">
        <v>43738</v>
      </c>
      <c r="S194" s="430">
        <f t="shared" si="14"/>
        <v>2.0625000000000001E-2</v>
      </c>
      <c r="T194" s="539" t="s">
        <v>222</v>
      </c>
      <c r="U194" s="468">
        <v>0.5</v>
      </c>
      <c r="V194" s="708" t="s">
        <v>1281</v>
      </c>
      <c r="W194" s="81">
        <f t="shared" si="22"/>
        <v>0.16500000000000001</v>
      </c>
      <c r="X194" s="442">
        <f t="shared" si="23"/>
        <v>8.2500000000000004E-2</v>
      </c>
      <c r="Y194" s="280">
        <f t="shared" si="15"/>
        <v>1.03125E-2</v>
      </c>
    </row>
    <row r="195" spans="2:25" ht="76.5" customHeight="1" x14ac:dyDescent="0.25">
      <c r="B195" s="355" t="s">
        <v>388</v>
      </c>
      <c r="C195" s="484" t="s">
        <v>389</v>
      </c>
      <c r="D195" s="55" t="s">
        <v>23</v>
      </c>
      <c r="E195" s="229" t="s">
        <v>536</v>
      </c>
      <c r="F195" s="55" t="s">
        <v>186</v>
      </c>
      <c r="G195" s="1033"/>
      <c r="H195" s="480" t="s">
        <v>365</v>
      </c>
      <c r="I195" s="513">
        <v>6.25E-2</v>
      </c>
      <c r="J195" s="518">
        <v>5</v>
      </c>
      <c r="K195" s="1036"/>
      <c r="L195" s="1037"/>
      <c r="M195" s="464" t="s">
        <v>222</v>
      </c>
      <c r="N195" s="566">
        <v>3</v>
      </c>
      <c r="O195" s="465" t="s">
        <v>1106</v>
      </c>
      <c r="P195" s="450">
        <v>0.34</v>
      </c>
      <c r="Q195" s="460">
        <v>43739</v>
      </c>
      <c r="R195" s="460">
        <v>43830</v>
      </c>
      <c r="S195" s="430">
        <f t="shared" si="14"/>
        <v>2.1250000000000002E-2</v>
      </c>
      <c r="T195" s="539" t="s">
        <v>222</v>
      </c>
      <c r="U195" s="292"/>
      <c r="V195" s="709"/>
      <c r="W195" s="81">
        <f t="shared" si="22"/>
        <v>0</v>
      </c>
      <c r="X195" s="442">
        <f t="shared" si="23"/>
        <v>0</v>
      </c>
      <c r="Y195" s="280">
        <f t="shared" si="15"/>
        <v>0</v>
      </c>
    </row>
    <row r="196" spans="2:25" ht="76.5" customHeight="1" x14ac:dyDescent="0.25">
      <c r="B196" s="355" t="s">
        <v>388</v>
      </c>
      <c r="C196" s="484" t="s">
        <v>389</v>
      </c>
      <c r="D196" s="55" t="s">
        <v>23</v>
      </c>
      <c r="E196" s="229" t="s">
        <v>545</v>
      </c>
      <c r="F196" s="55" t="s">
        <v>186</v>
      </c>
      <c r="G196" s="1033">
        <v>7</v>
      </c>
      <c r="H196" s="411" t="s">
        <v>225</v>
      </c>
      <c r="I196" s="514">
        <v>6.25E-2</v>
      </c>
      <c r="J196" s="407">
        <v>4</v>
      </c>
      <c r="K196" s="1037" t="s">
        <v>220</v>
      </c>
      <c r="L196" s="1038" t="s">
        <v>806</v>
      </c>
      <c r="M196" s="464" t="s">
        <v>227</v>
      </c>
      <c r="N196" s="566">
        <v>1</v>
      </c>
      <c r="O196" s="467" t="s">
        <v>228</v>
      </c>
      <c r="P196" s="450">
        <v>0.33333333333333337</v>
      </c>
      <c r="Q196" s="460">
        <v>43497</v>
      </c>
      <c r="R196" s="460">
        <v>43555</v>
      </c>
      <c r="S196" s="430">
        <f t="shared" si="14"/>
        <v>2.0833333333333336E-2</v>
      </c>
      <c r="T196" s="539" t="s">
        <v>229</v>
      </c>
      <c r="U196" s="468">
        <v>1</v>
      </c>
      <c r="V196" s="710" t="s">
        <v>1283</v>
      </c>
      <c r="W196" s="81">
        <f t="shared" si="22"/>
        <v>0.33333333333333337</v>
      </c>
      <c r="X196" s="442">
        <f t="shared" si="23"/>
        <v>0.33333333333333337</v>
      </c>
      <c r="Y196" s="280">
        <f t="shared" si="15"/>
        <v>2.0833333333333336E-2</v>
      </c>
    </row>
    <row r="197" spans="2:25" ht="76.5" customHeight="1" x14ac:dyDescent="0.25">
      <c r="B197" s="355" t="s">
        <v>388</v>
      </c>
      <c r="C197" s="484" t="s">
        <v>389</v>
      </c>
      <c r="D197" s="55" t="s">
        <v>23</v>
      </c>
      <c r="E197" s="229" t="s">
        <v>545</v>
      </c>
      <c r="F197" s="55" t="s">
        <v>186</v>
      </c>
      <c r="G197" s="1033"/>
      <c r="H197" s="411" t="s">
        <v>225</v>
      </c>
      <c r="I197" s="514">
        <v>6.25E-2</v>
      </c>
      <c r="J197" s="407">
        <v>4</v>
      </c>
      <c r="K197" s="1037"/>
      <c r="L197" s="1038"/>
      <c r="M197" s="464" t="s">
        <v>227</v>
      </c>
      <c r="N197" s="566">
        <v>2</v>
      </c>
      <c r="O197" s="467" t="s">
        <v>230</v>
      </c>
      <c r="P197" s="450">
        <v>0.33333333333333337</v>
      </c>
      <c r="Q197" s="460">
        <v>43497</v>
      </c>
      <c r="R197" s="460">
        <v>43555</v>
      </c>
      <c r="S197" s="430">
        <f t="shared" si="14"/>
        <v>2.0833333333333336E-2</v>
      </c>
      <c r="T197" s="539" t="s">
        <v>229</v>
      </c>
      <c r="U197" s="468">
        <v>1</v>
      </c>
      <c r="V197" s="710" t="s">
        <v>1284</v>
      </c>
      <c r="W197" s="81">
        <f t="shared" si="22"/>
        <v>0.33333333333333337</v>
      </c>
      <c r="X197" s="442">
        <f t="shared" si="23"/>
        <v>0.33333333333333337</v>
      </c>
      <c r="Y197" s="280">
        <f t="shared" si="15"/>
        <v>2.0833333333333336E-2</v>
      </c>
    </row>
    <row r="198" spans="2:25" ht="76.5" customHeight="1" x14ac:dyDescent="0.25">
      <c r="B198" s="355" t="s">
        <v>388</v>
      </c>
      <c r="C198" s="484" t="s">
        <v>389</v>
      </c>
      <c r="D198" s="55" t="s">
        <v>23</v>
      </c>
      <c r="E198" s="229" t="s">
        <v>545</v>
      </c>
      <c r="F198" s="55" t="s">
        <v>186</v>
      </c>
      <c r="G198" s="1033"/>
      <c r="H198" s="411" t="s">
        <v>225</v>
      </c>
      <c r="I198" s="514">
        <v>6.25E-2</v>
      </c>
      <c r="J198" s="407">
        <v>4</v>
      </c>
      <c r="K198" s="1037"/>
      <c r="L198" s="1038"/>
      <c r="M198" s="464" t="s">
        <v>227</v>
      </c>
      <c r="N198" s="566">
        <v>3</v>
      </c>
      <c r="O198" s="467" t="s">
        <v>231</v>
      </c>
      <c r="P198" s="450">
        <v>0.33333333333333337</v>
      </c>
      <c r="Q198" s="460">
        <v>43497</v>
      </c>
      <c r="R198" s="460">
        <v>43830</v>
      </c>
      <c r="S198" s="430">
        <f t="shared" ref="S198:S255" si="24">+I198*P198</f>
        <v>2.0833333333333336E-2</v>
      </c>
      <c r="T198" s="539" t="s">
        <v>229</v>
      </c>
      <c r="U198" s="468">
        <v>0.25</v>
      </c>
      <c r="V198" s="710" t="s">
        <v>918</v>
      </c>
      <c r="W198" s="81">
        <f t="shared" si="22"/>
        <v>8.3333333333333343E-2</v>
      </c>
      <c r="X198" s="442">
        <f t="shared" si="23"/>
        <v>2.0833333333333336E-2</v>
      </c>
      <c r="Y198" s="280">
        <f t="shared" ref="Y198:Y255" si="25">W198*I198</f>
        <v>5.2083333333333339E-3</v>
      </c>
    </row>
    <row r="199" spans="2:25" ht="76.5" customHeight="1" x14ac:dyDescent="0.25">
      <c r="B199" s="355" t="s">
        <v>388</v>
      </c>
      <c r="C199" s="484" t="s">
        <v>389</v>
      </c>
      <c r="D199" s="55" t="s">
        <v>23</v>
      </c>
      <c r="E199" s="229" t="s">
        <v>543</v>
      </c>
      <c r="F199" s="55" t="s">
        <v>186</v>
      </c>
      <c r="G199" s="1033">
        <v>8</v>
      </c>
      <c r="H199" s="411" t="s">
        <v>807</v>
      </c>
      <c r="I199" s="514">
        <v>6.25E-2</v>
      </c>
      <c r="J199" s="407">
        <v>100</v>
      </c>
      <c r="K199" s="1037" t="s">
        <v>184</v>
      </c>
      <c r="L199" s="479" t="s">
        <v>808</v>
      </c>
      <c r="M199" s="411" t="s">
        <v>809</v>
      </c>
      <c r="N199" s="566">
        <v>1</v>
      </c>
      <c r="O199" s="467" t="s">
        <v>1107</v>
      </c>
      <c r="P199" s="450">
        <v>0.25</v>
      </c>
      <c r="Q199" s="460">
        <v>43466</v>
      </c>
      <c r="R199" s="460">
        <v>43525</v>
      </c>
      <c r="S199" s="430">
        <f t="shared" si="24"/>
        <v>1.5625E-2</v>
      </c>
      <c r="T199" s="539" t="s">
        <v>809</v>
      </c>
      <c r="U199" s="461">
        <v>1</v>
      </c>
      <c r="V199" s="710" t="s">
        <v>1285</v>
      </c>
      <c r="W199" s="81">
        <f t="shared" si="22"/>
        <v>0.25</v>
      </c>
      <c r="X199" s="442">
        <f t="shared" si="23"/>
        <v>0.25</v>
      </c>
      <c r="Y199" s="280">
        <f t="shared" si="25"/>
        <v>1.5625E-2</v>
      </c>
    </row>
    <row r="200" spans="2:25" ht="76.5" customHeight="1" x14ac:dyDescent="0.25">
      <c r="B200" s="355" t="s">
        <v>388</v>
      </c>
      <c r="C200" s="484" t="s">
        <v>389</v>
      </c>
      <c r="D200" s="55" t="s">
        <v>23</v>
      </c>
      <c r="E200" s="229" t="s">
        <v>543</v>
      </c>
      <c r="F200" s="55" t="s">
        <v>186</v>
      </c>
      <c r="G200" s="1033"/>
      <c r="H200" s="411" t="s">
        <v>807</v>
      </c>
      <c r="I200" s="514">
        <v>6.25E-2</v>
      </c>
      <c r="J200" s="407">
        <v>100</v>
      </c>
      <c r="K200" s="1037"/>
      <c r="L200" s="479" t="s">
        <v>808</v>
      </c>
      <c r="M200" s="411" t="s">
        <v>809</v>
      </c>
      <c r="N200" s="566">
        <v>2</v>
      </c>
      <c r="O200" s="467" t="s">
        <v>1108</v>
      </c>
      <c r="P200" s="450">
        <v>0.25</v>
      </c>
      <c r="Q200" s="460">
        <v>43466</v>
      </c>
      <c r="R200" s="460">
        <v>43525</v>
      </c>
      <c r="S200" s="430">
        <f t="shared" si="24"/>
        <v>1.5625E-2</v>
      </c>
      <c r="T200" s="539" t="s">
        <v>809</v>
      </c>
      <c r="U200" s="461">
        <v>1</v>
      </c>
      <c r="V200" s="708" t="s">
        <v>1109</v>
      </c>
      <c r="W200" s="81">
        <f t="shared" si="22"/>
        <v>0.25</v>
      </c>
      <c r="X200" s="442">
        <f t="shared" si="23"/>
        <v>0.25</v>
      </c>
      <c r="Y200" s="280">
        <f t="shared" si="25"/>
        <v>1.5625E-2</v>
      </c>
    </row>
    <row r="201" spans="2:25" ht="76.5" customHeight="1" x14ac:dyDescent="0.25">
      <c r="B201" s="355" t="s">
        <v>388</v>
      </c>
      <c r="C201" s="484" t="s">
        <v>389</v>
      </c>
      <c r="D201" s="55" t="s">
        <v>23</v>
      </c>
      <c r="E201" s="229" t="s">
        <v>543</v>
      </c>
      <c r="F201" s="55" t="s">
        <v>186</v>
      </c>
      <c r="G201" s="1033"/>
      <c r="H201" s="411" t="s">
        <v>807</v>
      </c>
      <c r="I201" s="514">
        <v>6.25E-2</v>
      </c>
      <c r="J201" s="407">
        <v>100</v>
      </c>
      <c r="K201" s="1037"/>
      <c r="L201" s="479" t="s">
        <v>808</v>
      </c>
      <c r="M201" s="411" t="s">
        <v>809</v>
      </c>
      <c r="N201" s="566">
        <v>3</v>
      </c>
      <c r="O201" s="467" t="s">
        <v>1110</v>
      </c>
      <c r="P201" s="450">
        <v>0.25</v>
      </c>
      <c r="Q201" s="460">
        <v>43678</v>
      </c>
      <c r="R201" s="460">
        <v>43739</v>
      </c>
      <c r="S201" s="430">
        <f t="shared" si="24"/>
        <v>1.5625E-2</v>
      </c>
      <c r="T201" s="539" t="s">
        <v>809</v>
      </c>
      <c r="U201" s="292"/>
      <c r="V201" s="709"/>
      <c r="W201" s="81">
        <f t="shared" si="22"/>
        <v>0</v>
      </c>
      <c r="X201" s="442">
        <f t="shared" si="23"/>
        <v>0</v>
      </c>
      <c r="Y201" s="280">
        <f t="shared" si="25"/>
        <v>0</v>
      </c>
    </row>
    <row r="202" spans="2:25" ht="76.5" customHeight="1" x14ac:dyDescent="0.25">
      <c r="B202" s="355" t="s">
        <v>388</v>
      </c>
      <c r="C202" s="484" t="s">
        <v>389</v>
      </c>
      <c r="D202" s="55" t="s">
        <v>23</v>
      </c>
      <c r="E202" s="229" t="s">
        <v>543</v>
      </c>
      <c r="F202" s="55" t="s">
        <v>186</v>
      </c>
      <c r="G202" s="1033"/>
      <c r="H202" s="411" t="s">
        <v>807</v>
      </c>
      <c r="I202" s="514">
        <v>6.25E-2</v>
      </c>
      <c r="J202" s="407">
        <v>100</v>
      </c>
      <c r="K202" s="1037"/>
      <c r="L202" s="479" t="s">
        <v>808</v>
      </c>
      <c r="M202" s="411" t="s">
        <v>809</v>
      </c>
      <c r="N202" s="566">
        <v>4</v>
      </c>
      <c r="O202" s="467" t="s">
        <v>1111</v>
      </c>
      <c r="P202" s="450">
        <v>0.25</v>
      </c>
      <c r="Q202" s="460">
        <v>43739</v>
      </c>
      <c r="R202" s="460">
        <v>43770</v>
      </c>
      <c r="S202" s="430">
        <f t="shared" si="24"/>
        <v>1.5625E-2</v>
      </c>
      <c r="T202" s="539" t="s">
        <v>809</v>
      </c>
      <c r="U202" s="292"/>
      <c r="V202" s="709"/>
      <c r="W202" s="81">
        <f t="shared" si="22"/>
        <v>0</v>
      </c>
      <c r="X202" s="442">
        <f t="shared" si="23"/>
        <v>0</v>
      </c>
      <c r="Y202" s="280">
        <f t="shared" si="25"/>
        <v>0</v>
      </c>
    </row>
    <row r="203" spans="2:25" ht="76.5" customHeight="1" x14ac:dyDescent="0.25">
      <c r="B203" s="355" t="s">
        <v>388</v>
      </c>
      <c r="C203" s="484" t="s">
        <v>389</v>
      </c>
      <c r="D203" s="55" t="s">
        <v>23</v>
      </c>
      <c r="E203" s="229" t="s">
        <v>543</v>
      </c>
      <c r="F203" s="55" t="s">
        <v>186</v>
      </c>
      <c r="G203" s="1033">
        <v>9</v>
      </c>
      <c r="H203" s="475" t="s">
        <v>1112</v>
      </c>
      <c r="I203" s="514">
        <v>6.25E-2</v>
      </c>
      <c r="J203" s="407">
        <v>80</v>
      </c>
      <c r="K203" s="1035" t="s">
        <v>184</v>
      </c>
      <c r="L203" s="1035" t="s">
        <v>811</v>
      </c>
      <c r="M203" s="411" t="s">
        <v>809</v>
      </c>
      <c r="N203" s="566">
        <v>1</v>
      </c>
      <c r="O203" s="505" t="s">
        <v>1113</v>
      </c>
      <c r="P203" s="450">
        <v>0.25</v>
      </c>
      <c r="Q203" s="460">
        <v>43466</v>
      </c>
      <c r="R203" s="460">
        <v>43644</v>
      </c>
      <c r="S203" s="430">
        <f t="shared" si="24"/>
        <v>1.5625E-2</v>
      </c>
      <c r="T203" s="539" t="s">
        <v>809</v>
      </c>
      <c r="U203" s="461">
        <v>1</v>
      </c>
      <c r="V203" s="710" t="s">
        <v>1177</v>
      </c>
      <c r="W203" s="81">
        <f t="shared" si="22"/>
        <v>0.25</v>
      </c>
      <c r="X203" s="442">
        <f t="shared" si="23"/>
        <v>0.25</v>
      </c>
      <c r="Y203" s="280">
        <f t="shared" si="25"/>
        <v>1.5625E-2</v>
      </c>
    </row>
    <row r="204" spans="2:25" ht="76.5" customHeight="1" x14ac:dyDescent="0.25">
      <c r="B204" s="355" t="s">
        <v>388</v>
      </c>
      <c r="C204" s="484" t="s">
        <v>389</v>
      </c>
      <c r="D204" s="55" t="s">
        <v>23</v>
      </c>
      <c r="E204" s="229" t="s">
        <v>543</v>
      </c>
      <c r="F204" s="55" t="s">
        <v>186</v>
      </c>
      <c r="G204" s="1033"/>
      <c r="H204" s="475" t="s">
        <v>1112</v>
      </c>
      <c r="I204" s="514">
        <v>6.25E-2</v>
      </c>
      <c r="J204" s="407">
        <v>80</v>
      </c>
      <c r="K204" s="1035"/>
      <c r="L204" s="1035"/>
      <c r="M204" s="411" t="s">
        <v>809</v>
      </c>
      <c r="N204" s="566">
        <v>2</v>
      </c>
      <c r="O204" s="469" t="s">
        <v>1114</v>
      </c>
      <c r="P204" s="450">
        <v>0.75</v>
      </c>
      <c r="Q204" s="460">
        <v>43617</v>
      </c>
      <c r="R204" s="460">
        <v>43830</v>
      </c>
      <c r="S204" s="430">
        <f t="shared" si="24"/>
        <v>4.6875E-2</v>
      </c>
      <c r="T204" s="539" t="s">
        <v>809</v>
      </c>
      <c r="U204" s="568">
        <v>1</v>
      </c>
      <c r="V204" s="504" t="s">
        <v>1178</v>
      </c>
      <c r="W204" s="81">
        <f t="shared" si="22"/>
        <v>0.75</v>
      </c>
      <c r="X204" s="442">
        <f t="shared" si="23"/>
        <v>0.75</v>
      </c>
      <c r="Y204" s="280">
        <f t="shared" si="25"/>
        <v>4.6875E-2</v>
      </c>
    </row>
    <row r="205" spans="2:25" ht="76.5" customHeight="1" x14ac:dyDescent="0.25">
      <c r="B205" s="355" t="s">
        <v>388</v>
      </c>
      <c r="C205" s="484" t="s">
        <v>389</v>
      </c>
      <c r="D205" s="55" t="s">
        <v>23</v>
      </c>
      <c r="E205" s="229" t="s">
        <v>543</v>
      </c>
      <c r="F205" s="55" t="s">
        <v>186</v>
      </c>
      <c r="G205" s="1033">
        <v>10</v>
      </c>
      <c r="H205" s="411" t="s">
        <v>812</v>
      </c>
      <c r="I205" s="514">
        <v>6.25E-2</v>
      </c>
      <c r="J205" s="407">
        <v>100</v>
      </c>
      <c r="K205" s="1035" t="s">
        <v>184</v>
      </c>
      <c r="L205" s="411" t="s">
        <v>813</v>
      </c>
      <c r="M205" s="411" t="s">
        <v>809</v>
      </c>
      <c r="N205" s="566">
        <v>1</v>
      </c>
      <c r="O205" s="411" t="s">
        <v>1115</v>
      </c>
      <c r="P205" s="450">
        <v>0.16</v>
      </c>
      <c r="Q205" s="460">
        <v>43467</v>
      </c>
      <c r="R205" s="460">
        <v>43553</v>
      </c>
      <c r="S205" s="430">
        <f t="shared" si="24"/>
        <v>0.01</v>
      </c>
      <c r="T205" s="539" t="s">
        <v>809</v>
      </c>
      <c r="U205" s="461">
        <v>1</v>
      </c>
      <c r="V205" s="710" t="s">
        <v>1179</v>
      </c>
      <c r="W205" s="81">
        <f t="shared" si="22"/>
        <v>0.16</v>
      </c>
      <c r="X205" s="442">
        <f t="shared" si="23"/>
        <v>0.16</v>
      </c>
      <c r="Y205" s="280">
        <f t="shared" si="25"/>
        <v>0.01</v>
      </c>
    </row>
    <row r="206" spans="2:25" ht="76.5" customHeight="1" x14ac:dyDescent="0.25">
      <c r="B206" s="355" t="s">
        <v>388</v>
      </c>
      <c r="C206" s="484" t="s">
        <v>389</v>
      </c>
      <c r="D206" s="55" t="s">
        <v>23</v>
      </c>
      <c r="E206" s="229" t="s">
        <v>543</v>
      </c>
      <c r="F206" s="55" t="s">
        <v>186</v>
      </c>
      <c r="G206" s="1033"/>
      <c r="H206" s="411" t="s">
        <v>812</v>
      </c>
      <c r="I206" s="514">
        <v>6.25E-2</v>
      </c>
      <c r="J206" s="407">
        <v>100</v>
      </c>
      <c r="K206" s="1035"/>
      <c r="L206" s="411" t="s">
        <v>813</v>
      </c>
      <c r="M206" s="411" t="s">
        <v>809</v>
      </c>
      <c r="N206" s="566">
        <v>2</v>
      </c>
      <c r="O206" s="411" t="s">
        <v>1116</v>
      </c>
      <c r="P206" s="450">
        <v>0.16</v>
      </c>
      <c r="Q206" s="460">
        <v>43556</v>
      </c>
      <c r="R206" s="460">
        <v>43644</v>
      </c>
      <c r="S206" s="430">
        <f t="shared" si="24"/>
        <v>0.01</v>
      </c>
      <c r="T206" s="539" t="s">
        <v>809</v>
      </c>
      <c r="U206" s="568">
        <v>1</v>
      </c>
      <c r="V206" s="710" t="s">
        <v>922</v>
      </c>
      <c r="W206" s="81">
        <f t="shared" si="22"/>
        <v>0.16</v>
      </c>
      <c r="X206" s="442">
        <f t="shared" si="23"/>
        <v>0.16</v>
      </c>
      <c r="Y206" s="280">
        <f t="shared" si="25"/>
        <v>0.01</v>
      </c>
    </row>
    <row r="207" spans="2:25" ht="76.5" customHeight="1" x14ac:dyDescent="0.25">
      <c r="B207" s="355" t="s">
        <v>388</v>
      </c>
      <c r="C207" s="484" t="s">
        <v>389</v>
      </c>
      <c r="D207" s="55" t="s">
        <v>23</v>
      </c>
      <c r="E207" s="229" t="s">
        <v>543</v>
      </c>
      <c r="F207" s="55" t="s">
        <v>186</v>
      </c>
      <c r="G207" s="1033"/>
      <c r="H207" s="411" t="s">
        <v>812</v>
      </c>
      <c r="I207" s="514">
        <v>6.25E-2</v>
      </c>
      <c r="J207" s="407">
        <v>100</v>
      </c>
      <c r="K207" s="1035"/>
      <c r="L207" s="411" t="s">
        <v>813</v>
      </c>
      <c r="M207" s="411" t="s">
        <v>809</v>
      </c>
      <c r="N207" s="566">
        <v>3</v>
      </c>
      <c r="O207" s="411" t="s">
        <v>1117</v>
      </c>
      <c r="P207" s="450">
        <v>0.16</v>
      </c>
      <c r="Q207" s="460">
        <v>43647</v>
      </c>
      <c r="R207" s="460">
        <v>43738</v>
      </c>
      <c r="S207" s="430">
        <f t="shared" si="24"/>
        <v>0.01</v>
      </c>
      <c r="T207" s="539" t="s">
        <v>809</v>
      </c>
      <c r="U207" s="292"/>
      <c r="V207" s="709"/>
      <c r="W207" s="81">
        <f t="shared" si="22"/>
        <v>0</v>
      </c>
      <c r="X207" s="442">
        <f t="shared" si="23"/>
        <v>0</v>
      </c>
      <c r="Y207" s="280">
        <f t="shared" si="25"/>
        <v>0</v>
      </c>
    </row>
    <row r="208" spans="2:25" ht="76.5" customHeight="1" x14ac:dyDescent="0.25">
      <c r="B208" s="355" t="s">
        <v>388</v>
      </c>
      <c r="C208" s="484" t="s">
        <v>389</v>
      </c>
      <c r="D208" s="55" t="s">
        <v>23</v>
      </c>
      <c r="E208" s="229" t="s">
        <v>543</v>
      </c>
      <c r="F208" s="55" t="s">
        <v>186</v>
      </c>
      <c r="G208" s="1033"/>
      <c r="H208" s="411" t="s">
        <v>812</v>
      </c>
      <c r="I208" s="514">
        <v>6.25E-2</v>
      </c>
      <c r="J208" s="407">
        <v>100</v>
      </c>
      <c r="K208" s="1035"/>
      <c r="L208" s="411" t="s">
        <v>813</v>
      </c>
      <c r="M208" s="411" t="s">
        <v>809</v>
      </c>
      <c r="N208" s="566">
        <v>4</v>
      </c>
      <c r="O208" s="411" t="s">
        <v>1118</v>
      </c>
      <c r="P208" s="450">
        <v>0.16</v>
      </c>
      <c r="Q208" s="460">
        <v>43739</v>
      </c>
      <c r="R208" s="460">
        <v>43798</v>
      </c>
      <c r="S208" s="430">
        <f t="shared" si="24"/>
        <v>0.01</v>
      </c>
      <c r="T208" s="539" t="s">
        <v>809</v>
      </c>
      <c r="U208" s="292"/>
      <c r="V208" s="709"/>
      <c r="W208" s="81">
        <f t="shared" si="22"/>
        <v>0</v>
      </c>
      <c r="X208" s="442">
        <f t="shared" si="23"/>
        <v>0</v>
      </c>
      <c r="Y208" s="280">
        <f t="shared" si="25"/>
        <v>0</v>
      </c>
    </row>
    <row r="209" spans="2:25" ht="76.5" customHeight="1" x14ac:dyDescent="0.25">
      <c r="B209" s="355" t="s">
        <v>388</v>
      </c>
      <c r="C209" s="484" t="s">
        <v>389</v>
      </c>
      <c r="D209" s="55" t="s">
        <v>23</v>
      </c>
      <c r="E209" s="229" t="s">
        <v>543</v>
      </c>
      <c r="F209" s="55" t="s">
        <v>186</v>
      </c>
      <c r="G209" s="1033"/>
      <c r="H209" s="411" t="s">
        <v>812</v>
      </c>
      <c r="I209" s="514">
        <v>6.25E-2</v>
      </c>
      <c r="J209" s="407">
        <v>100</v>
      </c>
      <c r="K209" s="1035"/>
      <c r="L209" s="411" t="s">
        <v>813</v>
      </c>
      <c r="M209" s="411" t="s">
        <v>809</v>
      </c>
      <c r="N209" s="566">
        <v>5</v>
      </c>
      <c r="O209" s="411" t="s">
        <v>1119</v>
      </c>
      <c r="P209" s="450">
        <v>0.16</v>
      </c>
      <c r="Q209" s="460">
        <v>43800</v>
      </c>
      <c r="R209" s="460">
        <v>43830</v>
      </c>
      <c r="S209" s="430">
        <f t="shared" si="24"/>
        <v>0.01</v>
      </c>
      <c r="T209" s="539" t="s">
        <v>809</v>
      </c>
      <c r="U209" s="292"/>
      <c r="V209" s="709"/>
      <c r="W209" s="81">
        <f t="shared" si="22"/>
        <v>0</v>
      </c>
      <c r="X209" s="442">
        <f t="shared" si="23"/>
        <v>0</v>
      </c>
      <c r="Y209" s="280">
        <f t="shared" si="25"/>
        <v>0</v>
      </c>
    </row>
    <row r="210" spans="2:25" ht="76.5" customHeight="1" x14ac:dyDescent="0.25">
      <c r="B210" s="355" t="s">
        <v>388</v>
      </c>
      <c r="C210" s="484" t="s">
        <v>389</v>
      </c>
      <c r="D210" s="55" t="s">
        <v>23</v>
      </c>
      <c r="E210" s="229" t="s">
        <v>543</v>
      </c>
      <c r="F210" s="55" t="s">
        <v>186</v>
      </c>
      <c r="G210" s="1033"/>
      <c r="H210" s="411" t="s">
        <v>812</v>
      </c>
      <c r="I210" s="514">
        <v>6.25E-2</v>
      </c>
      <c r="J210" s="407">
        <v>100</v>
      </c>
      <c r="K210" s="1035"/>
      <c r="L210" s="411" t="s">
        <v>813</v>
      </c>
      <c r="M210" s="411" t="s">
        <v>809</v>
      </c>
      <c r="N210" s="566">
        <v>6</v>
      </c>
      <c r="O210" s="411" t="s">
        <v>1120</v>
      </c>
      <c r="P210" s="450">
        <v>0.2</v>
      </c>
      <c r="Q210" s="460">
        <v>43830</v>
      </c>
      <c r="R210" s="460">
        <v>43830</v>
      </c>
      <c r="S210" s="430">
        <f t="shared" si="24"/>
        <v>1.2500000000000001E-2</v>
      </c>
      <c r="T210" s="539" t="s">
        <v>809</v>
      </c>
      <c r="U210" s="292"/>
      <c r="V210" s="709"/>
      <c r="W210" s="81">
        <f t="shared" si="22"/>
        <v>0</v>
      </c>
      <c r="X210" s="442">
        <f t="shared" si="23"/>
        <v>0</v>
      </c>
      <c r="Y210" s="280">
        <f t="shared" si="25"/>
        <v>0</v>
      </c>
    </row>
    <row r="211" spans="2:25" ht="76.5" customHeight="1" x14ac:dyDescent="0.25">
      <c r="B211" s="355" t="s">
        <v>391</v>
      </c>
      <c r="C211" s="484" t="s">
        <v>814</v>
      </c>
      <c r="D211" s="55" t="s">
        <v>23</v>
      </c>
      <c r="E211" s="229" t="s">
        <v>546</v>
      </c>
      <c r="F211" s="55" t="s">
        <v>186</v>
      </c>
      <c r="G211" s="1033">
        <v>11</v>
      </c>
      <c r="H211" s="441" t="s">
        <v>240</v>
      </c>
      <c r="I211" s="514">
        <v>6.25E-2</v>
      </c>
      <c r="J211" s="448">
        <v>100</v>
      </c>
      <c r="K211" s="1039" t="s">
        <v>184</v>
      </c>
      <c r="L211" s="1036" t="s">
        <v>241</v>
      </c>
      <c r="M211" s="438" t="s">
        <v>242</v>
      </c>
      <c r="N211" s="566">
        <v>1</v>
      </c>
      <c r="O211" s="224" t="s">
        <v>247</v>
      </c>
      <c r="P211" s="430">
        <v>0.25</v>
      </c>
      <c r="Q211" s="431">
        <v>43466</v>
      </c>
      <c r="R211" s="432">
        <v>43555</v>
      </c>
      <c r="S211" s="430">
        <f t="shared" si="24"/>
        <v>1.5625E-2</v>
      </c>
      <c r="T211" s="538" t="s">
        <v>1121</v>
      </c>
      <c r="U211" s="437">
        <v>0.2</v>
      </c>
      <c r="V211" s="708" t="s">
        <v>1319</v>
      </c>
      <c r="W211" s="81">
        <f t="shared" si="22"/>
        <v>0.05</v>
      </c>
      <c r="X211" s="442">
        <f t="shared" si="23"/>
        <v>1.0000000000000002E-2</v>
      </c>
      <c r="Y211" s="280">
        <f t="shared" si="25"/>
        <v>3.1250000000000002E-3</v>
      </c>
    </row>
    <row r="212" spans="2:25" ht="76.5" customHeight="1" x14ac:dyDescent="0.25">
      <c r="B212" s="355" t="s">
        <v>391</v>
      </c>
      <c r="C212" s="484" t="s">
        <v>814</v>
      </c>
      <c r="D212" s="55" t="s">
        <v>23</v>
      </c>
      <c r="E212" s="229" t="s">
        <v>546</v>
      </c>
      <c r="F212" s="55" t="s">
        <v>186</v>
      </c>
      <c r="G212" s="1033"/>
      <c r="H212" s="441" t="s">
        <v>240</v>
      </c>
      <c r="I212" s="514">
        <v>6.25E-2</v>
      </c>
      <c r="J212" s="448">
        <v>100</v>
      </c>
      <c r="K212" s="1039"/>
      <c r="L212" s="1036"/>
      <c r="M212" s="438" t="s">
        <v>242</v>
      </c>
      <c r="N212" s="566">
        <v>2</v>
      </c>
      <c r="O212" s="224" t="s">
        <v>1122</v>
      </c>
      <c r="P212" s="430">
        <v>0.25</v>
      </c>
      <c r="Q212" s="432">
        <v>43556</v>
      </c>
      <c r="R212" s="432">
        <v>43646</v>
      </c>
      <c r="S212" s="430">
        <f t="shared" si="24"/>
        <v>1.5625E-2</v>
      </c>
      <c r="T212" s="538" t="s">
        <v>1121</v>
      </c>
      <c r="U212" s="468">
        <v>0</v>
      </c>
      <c r="V212" s="710" t="s">
        <v>1318</v>
      </c>
      <c r="W212" s="81">
        <f t="shared" si="22"/>
        <v>0</v>
      </c>
      <c r="X212" s="442">
        <f t="shared" si="23"/>
        <v>0</v>
      </c>
      <c r="Y212" s="280">
        <f t="shared" si="25"/>
        <v>0</v>
      </c>
    </row>
    <row r="213" spans="2:25" ht="76.5" customHeight="1" x14ac:dyDescent="0.25">
      <c r="B213" s="355" t="s">
        <v>391</v>
      </c>
      <c r="C213" s="484" t="s">
        <v>814</v>
      </c>
      <c r="D213" s="55" t="s">
        <v>23</v>
      </c>
      <c r="E213" s="229" t="s">
        <v>546</v>
      </c>
      <c r="F213" s="55" t="s">
        <v>186</v>
      </c>
      <c r="G213" s="1033"/>
      <c r="H213" s="441" t="s">
        <v>240</v>
      </c>
      <c r="I213" s="514">
        <v>6.25E-2</v>
      </c>
      <c r="J213" s="448">
        <v>100</v>
      </c>
      <c r="K213" s="1039"/>
      <c r="L213" s="1036"/>
      <c r="M213" s="438" t="s">
        <v>242</v>
      </c>
      <c r="N213" s="566">
        <v>3</v>
      </c>
      <c r="O213" s="224" t="s">
        <v>1123</v>
      </c>
      <c r="P213" s="430">
        <v>0.4</v>
      </c>
      <c r="Q213" s="431">
        <v>43647</v>
      </c>
      <c r="R213" s="432">
        <v>43738</v>
      </c>
      <c r="S213" s="430">
        <f t="shared" si="24"/>
        <v>2.5000000000000001E-2</v>
      </c>
      <c r="T213" s="538" t="s">
        <v>1121</v>
      </c>
      <c r="U213" s="468">
        <v>0</v>
      </c>
      <c r="V213" s="709"/>
      <c r="W213" s="81">
        <f t="shared" si="22"/>
        <v>0</v>
      </c>
      <c r="X213" s="442">
        <f t="shared" si="23"/>
        <v>0</v>
      </c>
      <c r="Y213" s="280">
        <f t="shared" si="25"/>
        <v>0</v>
      </c>
    </row>
    <row r="214" spans="2:25" ht="76.5" customHeight="1" x14ac:dyDescent="0.25">
      <c r="B214" s="355" t="s">
        <v>391</v>
      </c>
      <c r="C214" s="484" t="s">
        <v>814</v>
      </c>
      <c r="D214" s="55" t="s">
        <v>23</v>
      </c>
      <c r="E214" s="229" t="s">
        <v>546</v>
      </c>
      <c r="F214" s="55" t="s">
        <v>186</v>
      </c>
      <c r="G214" s="1033"/>
      <c r="H214" s="441" t="s">
        <v>240</v>
      </c>
      <c r="I214" s="514">
        <v>6.25E-2</v>
      </c>
      <c r="J214" s="448">
        <v>100</v>
      </c>
      <c r="K214" s="1039"/>
      <c r="L214" s="1036"/>
      <c r="M214" s="438" t="s">
        <v>242</v>
      </c>
      <c r="N214" s="566">
        <v>4</v>
      </c>
      <c r="O214" s="224" t="s">
        <v>1124</v>
      </c>
      <c r="P214" s="430">
        <v>0.1</v>
      </c>
      <c r="Q214" s="431">
        <v>43739</v>
      </c>
      <c r="R214" s="432">
        <v>43830</v>
      </c>
      <c r="S214" s="430">
        <f t="shared" si="24"/>
        <v>6.2500000000000003E-3</v>
      </c>
      <c r="T214" s="538" t="s">
        <v>1121</v>
      </c>
      <c r="U214" s="468">
        <v>0</v>
      </c>
      <c r="V214" s="709"/>
      <c r="W214" s="81">
        <f t="shared" si="22"/>
        <v>0</v>
      </c>
      <c r="X214" s="442">
        <f t="shared" si="23"/>
        <v>0</v>
      </c>
      <c r="Y214" s="280">
        <f t="shared" si="25"/>
        <v>0</v>
      </c>
    </row>
    <row r="215" spans="2:25" ht="76.5" customHeight="1" x14ac:dyDescent="0.25">
      <c r="B215" s="355" t="s">
        <v>391</v>
      </c>
      <c r="C215" s="484" t="s">
        <v>392</v>
      </c>
      <c r="D215" s="55" t="s">
        <v>23</v>
      </c>
      <c r="E215" s="229" t="s">
        <v>546</v>
      </c>
      <c r="F215" s="55" t="s">
        <v>186</v>
      </c>
      <c r="G215" s="1033">
        <v>12</v>
      </c>
      <c r="H215" s="441" t="s">
        <v>250</v>
      </c>
      <c r="I215" s="514">
        <v>6.25E-2</v>
      </c>
      <c r="J215" s="448">
        <v>100</v>
      </c>
      <c r="K215" s="1039" t="s">
        <v>1125</v>
      </c>
      <c r="L215" s="1040" t="s">
        <v>815</v>
      </c>
      <c r="M215" s="438" t="s">
        <v>242</v>
      </c>
      <c r="N215" s="566">
        <v>1</v>
      </c>
      <c r="O215" s="224" t="s">
        <v>1126</v>
      </c>
      <c r="P215" s="430">
        <v>0.3</v>
      </c>
      <c r="Q215" s="431">
        <v>43466</v>
      </c>
      <c r="R215" s="432">
        <v>43555</v>
      </c>
      <c r="S215" s="430">
        <f t="shared" si="24"/>
        <v>1.8749999999999999E-2</v>
      </c>
      <c r="T215" s="538" t="s">
        <v>1121</v>
      </c>
      <c r="U215" s="437">
        <v>1</v>
      </c>
      <c r="V215" s="708" t="s">
        <v>1320</v>
      </c>
      <c r="W215" s="81">
        <f t="shared" si="22"/>
        <v>0.3</v>
      </c>
      <c r="X215" s="442">
        <f t="shared" si="23"/>
        <v>0.3</v>
      </c>
      <c r="Y215" s="280">
        <f t="shared" si="25"/>
        <v>1.8749999999999999E-2</v>
      </c>
    </row>
    <row r="216" spans="2:25" ht="76.5" customHeight="1" x14ac:dyDescent="0.25">
      <c r="B216" s="355" t="s">
        <v>391</v>
      </c>
      <c r="C216" s="484" t="s">
        <v>392</v>
      </c>
      <c r="D216" s="55" t="s">
        <v>23</v>
      </c>
      <c r="E216" s="229" t="s">
        <v>546</v>
      </c>
      <c r="F216" s="55" t="s">
        <v>186</v>
      </c>
      <c r="G216" s="1033"/>
      <c r="H216" s="441" t="s">
        <v>250</v>
      </c>
      <c r="I216" s="514">
        <v>6.25E-2</v>
      </c>
      <c r="J216" s="448">
        <v>100</v>
      </c>
      <c r="K216" s="1039"/>
      <c r="L216" s="1040"/>
      <c r="M216" s="438" t="s">
        <v>242</v>
      </c>
      <c r="N216" s="566">
        <v>2</v>
      </c>
      <c r="O216" s="224" t="s">
        <v>1127</v>
      </c>
      <c r="P216" s="430">
        <v>0.3</v>
      </c>
      <c r="Q216" s="432">
        <v>43556</v>
      </c>
      <c r="R216" s="432">
        <v>43646</v>
      </c>
      <c r="S216" s="430">
        <f t="shared" si="24"/>
        <v>1.8749999999999999E-2</v>
      </c>
      <c r="T216" s="538" t="s">
        <v>1121</v>
      </c>
      <c r="U216" s="468">
        <v>0</v>
      </c>
      <c r="V216" s="710" t="s">
        <v>1180</v>
      </c>
      <c r="W216" s="81">
        <f t="shared" si="22"/>
        <v>0</v>
      </c>
      <c r="X216" s="442">
        <f t="shared" si="23"/>
        <v>0</v>
      </c>
      <c r="Y216" s="280">
        <f t="shared" si="25"/>
        <v>0</v>
      </c>
    </row>
    <row r="217" spans="2:25" ht="76.5" customHeight="1" x14ac:dyDescent="0.25">
      <c r="B217" s="355" t="s">
        <v>391</v>
      </c>
      <c r="C217" s="484" t="s">
        <v>392</v>
      </c>
      <c r="D217" s="55" t="s">
        <v>23</v>
      </c>
      <c r="E217" s="229" t="s">
        <v>546</v>
      </c>
      <c r="F217" s="55" t="s">
        <v>186</v>
      </c>
      <c r="G217" s="1033"/>
      <c r="H217" s="441" t="s">
        <v>250</v>
      </c>
      <c r="I217" s="514">
        <v>6.25E-2</v>
      </c>
      <c r="J217" s="448">
        <v>100</v>
      </c>
      <c r="K217" s="1039"/>
      <c r="L217" s="1040"/>
      <c r="M217" s="438" t="s">
        <v>242</v>
      </c>
      <c r="N217" s="566">
        <v>3</v>
      </c>
      <c r="O217" s="224" t="s">
        <v>1128</v>
      </c>
      <c r="P217" s="430">
        <v>0.2</v>
      </c>
      <c r="Q217" s="431">
        <v>43647</v>
      </c>
      <c r="R217" s="432">
        <v>43738</v>
      </c>
      <c r="S217" s="430">
        <f t="shared" si="24"/>
        <v>1.2500000000000001E-2</v>
      </c>
      <c r="T217" s="538" t="s">
        <v>1121</v>
      </c>
      <c r="U217" s="292"/>
      <c r="V217" s="709"/>
      <c r="W217" s="81">
        <f t="shared" si="22"/>
        <v>0</v>
      </c>
      <c r="X217" s="442">
        <f t="shared" si="23"/>
        <v>0</v>
      </c>
      <c r="Y217" s="280">
        <f t="shared" si="25"/>
        <v>0</v>
      </c>
    </row>
    <row r="218" spans="2:25" ht="76.5" customHeight="1" x14ac:dyDescent="0.25">
      <c r="B218" s="355" t="s">
        <v>391</v>
      </c>
      <c r="C218" s="484" t="s">
        <v>392</v>
      </c>
      <c r="D218" s="55" t="s">
        <v>23</v>
      </c>
      <c r="E218" s="229" t="s">
        <v>546</v>
      </c>
      <c r="F218" s="55" t="s">
        <v>186</v>
      </c>
      <c r="G218" s="1033"/>
      <c r="H218" s="441" t="s">
        <v>250</v>
      </c>
      <c r="I218" s="514">
        <v>6.25E-2</v>
      </c>
      <c r="J218" s="448">
        <v>100</v>
      </c>
      <c r="K218" s="1039"/>
      <c r="L218" s="1040"/>
      <c r="M218" s="438" t="s">
        <v>242</v>
      </c>
      <c r="N218" s="566">
        <v>4</v>
      </c>
      <c r="O218" s="224" t="s">
        <v>1129</v>
      </c>
      <c r="P218" s="430">
        <v>0.2</v>
      </c>
      <c r="Q218" s="431">
        <v>43739</v>
      </c>
      <c r="R218" s="432">
        <v>43830</v>
      </c>
      <c r="S218" s="430">
        <f t="shared" si="24"/>
        <v>1.2500000000000001E-2</v>
      </c>
      <c r="T218" s="538" t="s">
        <v>1121</v>
      </c>
      <c r="U218" s="292"/>
      <c r="V218" s="709"/>
      <c r="W218" s="81">
        <f t="shared" si="22"/>
        <v>0</v>
      </c>
      <c r="X218" s="442">
        <f t="shared" si="23"/>
        <v>0</v>
      </c>
      <c r="Y218" s="280">
        <f t="shared" si="25"/>
        <v>0</v>
      </c>
    </row>
    <row r="219" spans="2:25" ht="76.5" customHeight="1" x14ac:dyDescent="0.25">
      <c r="B219" s="355" t="s">
        <v>391</v>
      </c>
      <c r="C219" s="484" t="s">
        <v>392</v>
      </c>
      <c r="D219" s="55" t="s">
        <v>23</v>
      </c>
      <c r="E219" s="229" t="s">
        <v>546</v>
      </c>
      <c r="F219" s="55" t="s">
        <v>186</v>
      </c>
      <c r="G219" s="1033">
        <v>13</v>
      </c>
      <c r="H219" s="441" t="s">
        <v>369</v>
      </c>
      <c r="I219" s="514">
        <v>6.25E-2</v>
      </c>
      <c r="J219" s="448">
        <v>100</v>
      </c>
      <c r="K219" s="1039" t="s">
        <v>184</v>
      </c>
      <c r="L219" s="1029" t="s">
        <v>816</v>
      </c>
      <c r="M219" s="438" t="s">
        <v>242</v>
      </c>
      <c r="N219" s="566">
        <v>1</v>
      </c>
      <c r="O219" s="224" t="s">
        <v>1130</v>
      </c>
      <c r="P219" s="430">
        <v>0.2</v>
      </c>
      <c r="Q219" s="431">
        <v>43466</v>
      </c>
      <c r="R219" s="432">
        <v>43555</v>
      </c>
      <c r="S219" s="430">
        <f t="shared" si="24"/>
        <v>1.2500000000000001E-2</v>
      </c>
      <c r="T219" s="538" t="s">
        <v>1121</v>
      </c>
      <c r="U219" s="437">
        <v>1</v>
      </c>
      <c r="V219" s="708" t="s">
        <v>1321</v>
      </c>
      <c r="W219" s="81">
        <f t="shared" si="22"/>
        <v>0.2</v>
      </c>
      <c r="X219" s="442">
        <f t="shared" si="23"/>
        <v>0.2</v>
      </c>
      <c r="Y219" s="280">
        <f t="shared" si="25"/>
        <v>1.2500000000000001E-2</v>
      </c>
    </row>
    <row r="220" spans="2:25" ht="76.5" customHeight="1" x14ac:dyDescent="0.25">
      <c r="B220" s="355" t="s">
        <v>391</v>
      </c>
      <c r="C220" s="484" t="s">
        <v>392</v>
      </c>
      <c r="D220" s="55" t="s">
        <v>23</v>
      </c>
      <c r="E220" s="229" t="s">
        <v>546</v>
      </c>
      <c r="F220" s="55" t="s">
        <v>186</v>
      </c>
      <c r="G220" s="1033"/>
      <c r="H220" s="441" t="s">
        <v>369</v>
      </c>
      <c r="I220" s="514">
        <v>6.25E-2</v>
      </c>
      <c r="J220" s="448">
        <v>100</v>
      </c>
      <c r="K220" s="1039"/>
      <c r="L220" s="1029"/>
      <c r="M220" s="438" t="s">
        <v>242</v>
      </c>
      <c r="N220" s="566">
        <v>2</v>
      </c>
      <c r="O220" s="224" t="s">
        <v>1130</v>
      </c>
      <c r="P220" s="430">
        <v>0.3</v>
      </c>
      <c r="Q220" s="432">
        <v>43556</v>
      </c>
      <c r="R220" s="432">
        <v>43646</v>
      </c>
      <c r="S220" s="430">
        <f t="shared" si="24"/>
        <v>1.8749999999999999E-2</v>
      </c>
      <c r="T220" s="538" t="s">
        <v>1121</v>
      </c>
      <c r="U220" s="468">
        <v>1</v>
      </c>
      <c r="V220" s="710" t="s">
        <v>1322</v>
      </c>
      <c r="W220" s="81">
        <f t="shared" si="22"/>
        <v>0.3</v>
      </c>
      <c r="X220" s="442">
        <f t="shared" si="23"/>
        <v>0.3</v>
      </c>
      <c r="Y220" s="280">
        <f t="shared" si="25"/>
        <v>1.8749999999999999E-2</v>
      </c>
    </row>
    <row r="221" spans="2:25" ht="76.5" customHeight="1" x14ac:dyDescent="0.25">
      <c r="B221" s="355" t="s">
        <v>391</v>
      </c>
      <c r="C221" s="484" t="s">
        <v>392</v>
      </c>
      <c r="D221" s="55" t="s">
        <v>23</v>
      </c>
      <c r="E221" s="229" t="s">
        <v>546</v>
      </c>
      <c r="F221" s="55" t="s">
        <v>186</v>
      </c>
      <c r="G221" s="1033"/>
      <c r="H221" s="441" t="s">
        <v>369</v>
      </c>
      <c r="I221" s="514">
        <v>6.25E-2</v>
      </c>
      <c r="J221" s="448">
        <v>100</v>
      </c>
      <c r="K221" s="1039"/>
      <c r="L221" s="1029"/>
      <c r="M221" s="438" t="s">
        <v>242</v>
      </c>
      <c r="N221" s="566">
        <v>3</v>
      </c>
      <c r="O221" s="224" t="s">
        <v>1131</v>
      </c>
      <c r="P221" s="430">
        <v>0.3</v>
      </c>
      <c r="Q221" s="431">
        <v>43647</v>
      </c>
      <c r="R221" s="432">
        <v>43738</v>
      </c>
      <c r="S221" s="430">
        <f t="shared" si="24"/>
        <v>1.8749999999999999E-2</v>
      </c>
      <c r="T221" s="538" t="s">
        <v>1121</v>
      </c>
      <c r="U221" s="292"/>
      <c r="V221" s="709"/>
      <c r="W221" s="81">
        <f t="shared" si="22"/>
        <v>0</v>
      </c>
      <c r="X221" s="442">
        <f t="shared" si="23"/>
        <v>0</v>
      </c>
      <c r="Y221" s="280">
        <f t="shared" si="25"/>
        <v>0</v>
      </c>
    </row>
    <row r="222" spans="2:25" ht="76.5" customHeight="1" x14ac:dyDescent="0.25">
      <c r="B222" s="355" t="s">
        <v>391</v>
      </c>
      <c r="C222" s="484" t="s">
        <v>392</v>
      </c>
      <c r="D222" s="55" t="s">
        <v>23</v>
      </c>
      <c r="E222" s="229" t="s">
        <v>546</v>
      </c>
      <c r="F222" s="55" t="s">
        <v>186</v>
      </c>
      <c r="G222" s="1033"/>
      <c r="H222" s="441" t="s">
        <v>369</v>
      </c>
      <c r="I222" s="514">
        <v>6.25E-2</v>
      </c>
      <c r="J222" s="448">
        <v>100</v>
      </c>
      <c r="K222" s="1039"/>
      <c r="L222" s="1029"/>
      <c r="M222" s="438" t="s">
        <v>242</v>
      </c>
      <c r="N222" s="566">
        <v>4</v>
      </c>
      <c r="O222" s="224" t="s">
        <v>1130</v>
      </c>
      <c r="P222" s="430">
        <v>0.2</v>
      </c>
      <c r="Q222" s="431">
        <v>43739</v>
      </c>
      <c r="R222" s="432">
        <v>43830</v>
      </c>
      <c r="S222" s="430">
        <f t="shared" si="24"/>
        <v>1.2500000000000001E-2</v>
      </c>
      <c r="T222" s="538" t="s">
        <v>1121</v>
      </c>
      <c r="U222" s="292"/>
      <c r="V222" s="709"/>
      <c r="W222" s="81">
        <f t="shared" si="22"/>
        <v>0</v>
      </c>
      <c r="X222" s="442">
        <f t="shared" si="23"/>
        <v>0</v>
      </c>
      <c r="Y222" s="280">
        <f t="shared" si="25"/>
        <v>0</v>
      </c>
    </row>
    <row r="223" spans="2:25" ht="76.5" customHeight="1" x14ac:dyDescent="0.25">
      <c r="B223" s="355" t="s">
        <v>391</v>
      </c>
      <c r="C223" s="484" t="s">
        <v>817</v>
      </c>
      <c r="D223" s="55" t="s">
        <v>23</v>
      </c>
      <c r="E223" s="229" t="s">
        <v>546</v>
      </c>
      <c r="F223" s="55" t="s">
        <v>186</v>
      </c>
      <c r="G223" s="1033">
        <v>14</v>
      </c>
      <c r="H223" s="481" t="s">
        <v>256</v>
      </c>
      <c r="I223" s="515">
        <v>6.25E-2</v>
      </c>
      <c r="J223" s="448">
        <v>100</v>
      </c>
      <c r="K223" s="1039" t="s">
        <v>184</v>
      </c>
      <c r="L223" s="1029" t="s">
        <v>818</v>
      </c>
      <c r="M223" s="438" t="s">
        <v>242</v>
      </c>
      <c r="N223" s="566">
        <v>1</v>
      </c>
      <c r="O223" s="440" t="s">
        <v>1132</v>
      </c>
      <c r="P223" s="430">
        <v>0.3</v>
      </c>
      <c r="Q223" s="431">
        <v>43466</v>
      </c>
      <c r="R223" s="432">
        <v>43555</v>
      </c>
      <c r="S223" s="430">
        <f t="shared" si="24"/>
        <v>1.8749999999999999E-2</v>
      </c>
      <c r="T223" s="538" t="s">
        <v>1121</v>
      </c>
      <c r="U223" s="468">
        <v>1</v>
      </c>
      <c r="V223" s="710" t="s">
        <v>1323</v>
      </c>
      <c r="W223" s="81">
        <f t="shared" si="22"/>
        <v>0.3</v>
      </c>
      <c r="X223" s="442">
        <f t="shared" si="23"/>
        <v>0.3</v>
      </c>
      <c r="Y223" s="280">
        <f t="shared" si="25"/>
        <v>1.8749999999999999E-2</v>
      </c>
    </row>
    <row r="224" spans="2:25" ht="76.5" customHeight="1" x14ac:dyDescent="0.25">
      <c r="B224" s="355" t="s">
        <v>391</v>
      </c>
      <c r="C224" s="484" t="s">
        <v>817</v>
      </c>
      <c r="D224" s="55" t="s">
        <v>23</v>
      </c>
      <c r="E224" s="229" t="s">
        <v>546</v>
      </c>
      <c r="F224" s="55" t="s">
        <v>186</v>
      </c>
      <c r="G224" s="1033"/>
      <c r="H224" s="481" t="s">
        <v>256</v>
      </c>
      <c r="I224" s="515">
        <v>6.25E-2</v>
      </c>
      <c r="J224" s="448">
        <v>100</v>
      </c>
      <c r="K224" s="1039"/>
      <c r="L224" s="1029"/>
      <c r="M224" s="438" t="s">
        <v>242</v>
      </c>
      <c r="N224" s="566">
        <v>2</v>
      </c>
      <c r="O224" s="470" t="s">
        <v>1133</v>
      </c>
      <c r="P224" s="430">
        <v>0.3</v>
      </c>
      <c r="Q224" s="432">
        <v>43556</v>
      </c>
      <c r="R224" s="432">
        <v>43646</v>
      </c>
      <c r="S224" s="430">
        <f t="shared" si="24"/>
        <v>1.8749999999999999E-2</v>
      </c>
      <c r="T224" s="538" t="s">
        <v>1121</v>
      </c>
      <c r="U224" s="468">
        <v>0.2</v>
      </c>
      <c r="V224" s="710" t="s">
        <v>1167</v>
      </c>
      <c r="W224" s="81">
        <f t="shared" si="22"/>
        <v>0.06</v>
      </c>
      <c r="X224" s="442">
        <f t="shared" si="23"/>
        <v>1.2E-2</v>
      </c>
      <c r="Y224" s="280">
        <f t="shared" si="25"/>
        <v>3.7499999999999999E-3</v>
      </c>
    </row>
    <row r="225" spans="2:25" ht="76.5" customHeight="1" x14ac:dyDescent="0.25">
      <c r="B225" s="355" t="s">
        <v>391</v>
      </c>
      <c r="C225" s="484" t="s">
        <v>817</v>
      </c>
      <c r="D225" s="55" t="s">
        <v>23</v>
      </c>
      <c r="E225" s="229" t="s">
        <v>546</v>
      </c>
      <c r="F225" s="55" t="s">
        <v>186</v>
      </c>
      <c r="G225" s="1033"/>
      <c r="H225" s="481" t="s">
        <v>256</v>
      </c>
      <c r="I225" s="515">
        <v>6.25E-2</v>
      </c>
      <c r="J225" s="448">
        <v>100</v>
      </c>
      <c r="K225" s="1039"/>
      <c r="L225" s="1029"/>
      <c r="M225" s="438" t="s">
        <v>242</v>
      </c>
      <c r="N225" s="566">
        <v>3</v>
      </c>
      <c r="O225" s="440" t="s">
        <v>1134</v>
      </c>
      <c r="P225" s="430">
        <v>0.3</v>
      </c>
      <c r="Q225" s="431">
        <v>43647</v>
      </c>
      <c r="R225" s="432">
        <v>43738</v>
      </c>
      <c r="S225" s="430">
        <f t="shared" si="24"/>
        <v>1.8749999999999999E-2</v>
      </c>
      <c r="T225" s="538" t="s">
        <v>1121</v>
      </c>
      <c r="U225" s="292"/>
      <c r="V225" s="709"/>
      <c r="W225" s="81">
        <f t="shared" si="22"/>
        <v>0</v>
      </c>
      <c r="X225" s="442">
        <f t="shared" si="23"/>
        <v>0</v>
      </c>
      <c r="Y225" s="280">
        <f t="shared" si="25"/>
        <v>0</v>
      </c>
    </row>
    <row r="226" spans="2:25" ht="76.5" customHeight="1" x14ac:dyDescent="0.25">
      <c r="B226" s="355" t="s">
        <v>391</v>
      </c>
      <c r="C226" s="484" t="s">
        <v>817</v>
      </c>
      <c r="D226" s="55" t="s">
        <v>23</v>
      </c>
      <c r="E226" s="229" t="s">
        <v>546</v>
      </c>
      <c r="F226" s="55" t="s">
        <v>186</v>
      </c>
      <c r="G226" s="1033"/>
      <c r="H226" s="481" t="s">
        <v>256</v>
      </c>
      <c r="I226" s="515">
        <v>6.25E-2</v>
      </c>
      <c r="J226" s="448">
        <v>100</v>
      </c>
      <c r="K226" s="1039"/>
      <c r="L226" s="1029"/>
      <c r="M226" s="438" t="s">
        <v>242</v>
      </c>
      <c r="N226" s="566">
        <v>4</v>
      </c>
      <c r="O226" s="440" t="s">
        <v>1135</v>
      </c>
      <c r="P226" s="430">
        <v>0.1</v>
      </c>
      <c r="Q226" s="431">
        <v>43739</v>
      </c>
      <c r="R226" s="432">
        <v>43830</v>
      </c>
      <c r="S226" s="430">
        <f t="shared" si="24"/>
        <v>6.2500000000000003E-3</v>
      </c>
      <c r="T226" s="538" t="s">
        <v>1121</v>
      </c>
      <c r="U226" s="292"/>
      <c r="V226" s="709"/>
      <c r="W226" s="81">
        <f t="shared" si="22"/>
        <v>0</v>
      </c>
      <c r="X226" s="442">
        <f t="shared" si="23"/>
        <v>0</v>
      </c>
      <c r="Y226" s="280">
        <f t="shared" si="25"/>
        <v>0</v>
      </c>
    </row>
    <row r="227" spans="2:25" ht="76.5" customHeight="1" x14ac:dyDescent="0.25">
      <c r="B227" s="355" t="s">
        <v>391</v>
      </c>
      <c r="C227" s="484" t="s">
        <v>819</v>
      </c>
      <c r="D227" s="55" t="s">
        <v>23</v>
      </c>
      <c r="E227" s="229" t="s">
        <v>546</v>
      </c>
      <c r="F227" s="55" t="s">
        <v>186</v>
      </c>
      <c r="G227" s="1033">
        <v>15</v>
      </c>
      <c r="H227" s="482" t="s">
        <v>261</v>
      </c>
      <c r="I227" s="515">
        <v>6.25E-2</v>
      </c>
      <c r="J227" s="448">
        <v>100</v>
      </c>
      <c r="K227" s="1039" t="s">
        <v>184</v>
      </c>
      <c r="L227" s="1029" t="s">
        <v>820</v>
      </c>
      <c r="M227" s="438" t="s">
        <v>242</v>
      </c>
      <c r="N227" s="566">
        <v>1</v>
      </c>
      <c r="O227" s="224" t="s">
        <v>1136</v>
      </c>
      <c r="P227" s="430">
        <v>0.2</v>
      </c>
      <c r="Q227" s="431">
        <v>43466</v>
      </c>
      <c r="R227" s="432">
        <v>43555</v>
      </c>
      <c r="S227" s="430">
        <f t="shared" si="24"/>
        <v>1.2500000000000001E-2</v>
      </c>
      <c r="T227" s="538" t="s">
        <v>1121</v>
      </c>
      <c r="U227" s="483">
        <v>1</v>
      </c>
      <c r="V227" s="708" t="s">
        <v>1181</v>
      </c>
      <c r="W227" s="81">
        <f t="shared" si="22"/>
        <v>0.2</v>
      </c>
      <c r="X227" s="442">
        <f t="shared" si="23"/>
        <v>0.2</v>
      </c>
      <c r="Y227" s="280">
        <f t="shared" si="25"/>
        <v>1.2500000000000001E-2</v>
      </c>
    </row>
    <row r="228" spans="2:25" ht="76.5" customHeight="1" x14ac:dyDescent="0.25">
      <c r="B228" s="355" t="s">
        <v>391</v>
      </c>
      <c r="C228" s="484" t="s">
        <v>819</v>
      </c>
      <c r="D228" s="55" t="s">
        <v>23</v>
      </c>
      <c r="E228" s="229" t="s">
        <v>546</v>
      </c>
      <c r="F228" s="55" t="s">
        <v>186</v>
      </c>
      <c r="G228" s="1033"/>
      <c r="H228" s="482" t="s">
        <v>261</v>
      </c>
      <c r="I228" s="515">
        <v>6.25E-2</v>
      </c>
      <c r="J228" s="448">
        <v>100</v>
      </c>
      <c r="K228" s="1039"/>
      <c r="L228" s="1029"/>
      <c r="M228" s="438" t="s">
        <v>242</v>
      </c>
      <c r="N228" s="566">
        <v>2</v>
      </c>
      <c r="O228" s="222" t="s">
        <v>1137</v>
      </c>
      <c r="P228" s="430">
        <v>0.3</v>
      </c>
      <c r="Q228" s="432">
        <v>43556</v>
      </c>
      <c r="R228" s="432">
        <v>43646</v>
      </c>
      <c r="S228" s="430">
        <f t="shared" si="24"/>
        <v>1.8749999999999999E-2</v>
      </c>
      <c r="T228" s="538" t="s">
        <v>1121</v>
      </c>
      <c r="U228" s="468">
        <v>0</v>
      </c>
      <c r="V228" s="710" t="s">
        <v>1182</v>
      </c>
      <c r="W228" s="81">
        <f t="shared" si="22"/>
        <v>0</v>
      </c>
      <c r="X228" s="442">
        <f t="shared" si="23"/>
        <v>0</v>
      </c>
      <c r="Y228" s="280">
        <f t="shared" si="25"/>
        <v>0</v>
      </c>
    </row>
    <row r="229" spans="2:25" ht="76.5" customHeight="1" x14ac:dyDescent="0.25">
      <c r="B229" s="355" t="s">
        <v>391</v>
      </c>
      <c r="C229" s="484" t="s">
        <v>819</v>
      </c>
      <c r="D229" s="55" t="s">
        <v>23</v>
      </c>
      <c r="E229" s="229" t="s">
        <v>546</v>
      </c>
      <c r="F229" s="55" t="s">
        <v>186</v>
      </c>
      <c r="G229" s="1033"/>
      <c r="H229" s="482" t="s">
        <v>261</v>
      </c>
      <c r="I229" s="515">
        <v>6.25E-2</v>
      </c>
      <c r="J229" s="448">
        <v>100</v>
      </c>
      <c r="K229" s="1039"/>
      <c r="L229" s="1029"/>
      <c r="M229" s="438" t="s">
        <v>242</v>
      </c>
      <c r="N229" s="566">
        <v>3</v>
      </c>
      <c r="O229" s="222" t="s">
        <v>1138</v>
      </c>
      <c r="P229" s="430">
        <v>0.3</v>
      </c>
      <c r="Q229" s="431">
        <v>43647</v>
      </c>
      <c r="R229" s="432">
        <v>43738</v>
      </c>
      <c r="S229" s="430">
        <f t="shared" si="24"/>
        <v>1.8749999999999999E-2</v>
      </c>
      <c r="T229" s="538" t="s">
        <v>1121</v>
      </c>
      <c r="U229" s="292"/>
      <c r="V229" s="709"/>
      <c r="W229" s="81">
        <f t="shared" si="22"/>
        <v>0</v>
      </c>
      <c r="X229" s="442">
        <f t="shared" si="23"/>
        <v>0</v>
      </c>
      <c r="Y229" s="280">
        <f t="shared" si="25"/>
        <v>0</v>
      </c>
    </row>
    <row r="230" spans="2:25" ht="76.5" customHeight="1" x14ac:dyDescent="0.25">
      <c r="B230" s="355" t="s">
        <v>391</v>
      </c>
      <c r="C230" s="484" t="s">
        <v>819</v>
      </c>
      <c r="D230" s="55" t="s">
        <v>23</v>
      </c>
      <c r="E230" s="229" t="s">
        <v>546</v>
      </c>
      <c r="F230" s="55" t="s">
        <v>186</v>
      </c>
      <c r="G230" s="1033"/>
      <c r="H230" s="482" t="s">
        <v>261</v>
      </c>
      <c r="I230" s="515">
        <v>6.25E-2</v>
      </c>
      <c r="J230" s="448">
        <v>100</v>
      </c>
      <c r="K230" s="1039"/>
      <c r="L230" s="1029"/>
      <c r="M230" s="438" t="s">
        <v>242</v>
      </c>
      <c r="N230" s="566">
        <v>4</v>
      </c>
      <c r="O230" s="222" t="s">
        <v>1139</v>
      </c>
      <c r="P230" s="430">
        <v>0.2</v>
      </c>
      <c r="Q230" s="431">
        <v>43739</v>
      </c>
      <c r="R230" s="432">
        <v>43830</v>
      </c>
      <c r="S230" s="430">
        <f t="shared" si="24"/>
        <v>1.2500000000000001E-2</v>
      </c>
      <c r="T230" s="538" t="s">
        <v>1121</v>
      </c>
      <c r="U230" s="292"/>
      <c r="V230" s="709"/>
      <c r="W230" s="81">
        <f t="shared" si="22"/>
        <v>0</v>
      </c>
      <c r="X230" s="442">
        <f t="shared" si="23"/>
        <v>0</v>
      </c>
      <c r="Y230" s="280">
        <f t="shared" si="25"/>
        <v>0</v>
      </c>
    </row>
    <row r="231" spans="2:25" ht="76.5" customHeight="1" x14ac:dyDescent="0.25">
      <c r="B231" s="355" t="s">
        <v>391</v>
      </c>
      <c r="C231" s="484" t="s">
        <v>392</v>
      </c>
      <c r="D231" s="55" t="s">
        <v>23</v>
      </c>
      <c r="E231" s="229" t="s">
        <v>546</v>
      </c>
      <c r="F231" s="55" t="s">
        <v>186</v>
      </c>
      <c r="G231" s="1033">
        <v>16</v>
      </c>
      <c r="H231" s="481" t="s">
        <v>266</v>
      </c>
      <c r="I231" s="515">
        <v>6.25E-2</v>
      </c>
      <c r="J231" s="448">
        <v>100</v>
      </c>
      <c r="K231" s="1039" t="s">
        <v>184</v>
      </c>
      <c r="L231" s="1029" t="s">
        <v>267</v>
      </c>
      <c r="M231" s="438" t="s">
        <v>242</v>
      </c>
      <c r="N231" s="566">
        <v>1</v>
      </c>
      <c r="O231" s="459" t="s">
        <v>268</v>
      </c>
      <c r="P231" s="430">
        <v>0.2</v>
      </c>
      <c r="Q231" s="431">
        <v>43466</v>
      </c>
      <c r="R231" s="432">
        <v>43555</v>
      </c>
      <c r="S231" s="430">
        <f t="shared" si="24"/>
        <v>1.2500000000000001E-2</v>
      </c>
      <c r="T231" s="538" t="s">
        <v>1121</v>
      </c>
      <c r="U231" s="483">
        <v>1</v>
      </c>
      <c r="V231" s="708" t="s">
        <v>1306</v>
      </c>
      <c r="W231" s="81">
        <f t="shared" si="22"/>
        <v>0.2</v>
      </c>
      <c r="X231" s="442">
        <f t="shared" si="23"/>
        <v>0.2</v>
      </c>
      <c r="Y231" s="280">
        <f t="shared" si="25"/>
        <v>1.2500000000000001E-2</v>
      </c>
    </row>
    <row r="232" spans="2:25" ht="76.5" customHeight="1" x14ac:dyDescent="0.25">
      <c r="B232" s="355" t="s">
        <v>391</v>
      </c>
      <c r="C232" s="484" t="s">
        <v>392</v>
      </c>
      <c r="D232" s="55" t="s">
        <v>23</v>
      </c>
      <c r="E232" s="229" t="s">
        <v>546</v>
      </c>
      <c r="F232" s="55" t="s">
        <v>186</v>
      </c>
      <c r="G232" s="1033"/>
      <c r="H232" s="481" t="s">
        <v>266</v>
      </c>
      <c r="I232" s="515">
        <v>6.25E-2</v>
      </c>
      <c r="J232" s="448">
        <v>100</v>
      </c>
      <c r="K232" s="1039"/>
      <c r="L232" s="1029"/>
      <c r="M232" s="438" t="s">
        <v>242</v>
      </c>
      <c r="N232" s="566">
        <v>2</v>
      </c>
      <c r="O232" s="459" t="s">
        <v>264</v>
      </c>
      <c r="P232" s="430">
        <v>0.2</v>
      </c>
      <c r="Q232" s="432">
        <v>43556</v>
      </c>
      <c r="R232" s="432">
        <v>43646</v>
      </c>
      <c r="S232" s="430">
        <f t="shared" si="24"/>
        <v>1.2500000000000001E-2</v>
      </c>
      <c r="T232" s="538" t="s">
        <v>1121</v>
      </c>
      <c r="U232" s="569">
        <v>1</v>
      </c>
      <c r="V232" s="710" t="s">
        <v>1307</v>
      </c>
      <c r="W232" s="81">
        <f t="shared" si="22"/>
        <v>0.2</v>
      </c>
      <c r="X232" s="442">
        <f t="shared" si="23"/>
        <v>0.2</v>
      </c>
      <c r="Y232" s="280">
        <f t="shared" si="25"/>
        <v>1.2500000000000001E-2</v>
      </c>
    </row>
    <row r="233" spans="2:25" ht="76.5" customHeight="1" x14ac:dyDescent="0.25">
      <c r="B233" s="355" t="s">
        <v>391</v>
      </c>
      <c r="C233" s="484" t="s">
        <v>392</v>
      </c>
      <c r="D233" s="55" t="s">
        <v>23</v>
      </c>
      <c r="E233" s="229" t="s">
        <v>546</v>
      </c>
      <c r="F233" s="55" t="s">
        <v>186</v>
      </c>
      <c r="G233" s="1033"/>
      <c r="H233" s="481" t="s">
        <v>266</v>
      </c>
      <c r="I233" s="515">
        <v>6.25E-2</v>
      </c>
      <c r="J233" s="448">
        <v>100</v>
      </c>
      <c r="K233" s="1039"/>
      <c r="L233" s="1029"/>
      <c r="M233" s="438" t="s">
        <v>242</v>
      </c>
      <c r="N233" s="566">
        <v>3</v>
      </c>
      <c r="O233" s="459" t="s">
        <v>269</v>
      </c>
      <c r="P233" s="430">
        <v>0.4</v>
      </c>
      <c r="Q233" s="431">
        <v>43647</v>
      </c>
      <c r="R233" s="432">
        <v>43738</v>
      </c>
      <c r="S233" s="430">
        <f t="shared" si="24"/>
        <v>2.5000000000000001E-2</v>
      </c>
      <c r="T233" s="538" t="s">
        <v>1121</v>
      </c>
      <c r="U233" s="292"/>
      <c r="V233" s="709"/>
      <c r="W233" s="81">
        <f t="shared" si="22"/>
        <v>0</v>
      </c>
      <c r="X233" s="442">
        <f t="shared" si="23"/>
        <v>0</v>
      </c>
      <c r="Y233" s="280">
        <f t="shared" si="25"/>
        <v>0</v>
      </c>
    </row>
    <row r="234" spans="2:25" ht="76.5" customHeight="1" x14ac:dyDescent="0.25">
      <c r="B234" s="355" t="s">
        <v>391</v>
      </c>
      <c r="C234" s="484" t="s">
        <v>392</v>
      </c>
      <c r="D234" s="55" t="s">
        <v>23</v>
      </c>
      <c r="E234" s="229" t="s">
        <v>546</v>
      </c>
      <c r="F234" s="55" t="s">
        <v>186</v>
      </c>
      <c r="G234" s="1033"/>
      <c r="H234" s="481" t="s">
        <v>266</v>
      </c>
      <c r="I234" s="515">
        <v>6.25E-2</v>
      </c>
      <c r="J234" s="448">
        <v>100</v>
      </c>
      <c r="K234" s="1039"/>
      <c r="L234" s="1029"/>
      <c r="M234" s="438" t="s">
        <v>242</v>
      </c>
      <c r="N234" s="566">
        <v>4</v>
      </c>
      <c r="O234" s="459" t="s">
        <v>270</v>
      </c>
      <c r="P234" s="430">
        <v>0.2</v>
      </c>
      <c r="Q234" s="431">
        <v>43739</v>
      </c>
      <c r="R234" s="432">
        <v>43830</v>
      </c>
      <c r="S234" s="430">
        <f t="shared" si="24"/>
        <v>1.2500000000000001E-2</v>
      </c>
      <c r="T234" s="538" t="s">
        <v>1121</v>
      </c>
      <c r="U234" s="292"/>
      <c r="V234" s="709"/>
      <c r="W234" s="81">
        <f t="shared" si="22"/>
        <v>0</v>
      </c>
      <c r="X234" s="442">
        <f t="shared" si="23"/>
        <v>0</v>
      </c>
      <c r="Y234" s="280">
        <f t="shared" si="25"/>
        <v>0</v>
      </c>
    </row>
    <row r="235" spans="2:25" ht="76.5" customHeight="1" x14ac:dyDescent="0.25">
      <c r="B235" s="484" t="s">
        <v>391</v>
      </c>
      <c r="C235" s="484" t="s">
        <v>734</v>
      </c>
      <c r="D235" s="55" t="s">
        <v>23</v>
      </c>
      <c r="E235" s="229" t="s">
        <v>547</v>
      </c>
      <c r="F235" s="435" t="s">
        <v>271</v>
      </c>
      <c r="G235" s="965">
        <v>1</v>
      </c>
      <c r="H235" s="55" t="s">
        <v>821</v>
      </c>
      <c r="I235" s="488">
        <v>0.2</v>
      </c>
      <c r="J235" s="491">
        <v>100</v>
      </c>
      <c r="K235" s="1028" t="s">
        <v>184</v>
      </c>
      <c r="L235" s="1028" t="s">
        <v>822</v>
      </c>
      <c r="M235" s="436" t="s">
        <v>823</v>
      </c>
      <c r="N235" s="42">
        <v>1</v>
      </c>
      <c r="O235" s="333" t="s">
        <v>1140</v>
      </c>
      <c r="P235" s="430">
        <v>0.35</v>
      </c>
      <c r="Q235" s="431">
        <v>43466</v>
      </c>
      <c r="R235" s="432">
        <v>43585</v>
      </c>
      <c r="S235" s="430">
        <f t="shared" si="24"/>
        <v>6.9999999999999993E-2</v>
      </c>
      <c r="T235" s="540" t="s">
        <v>823</v>
      </c>
      <c r="U235" s="81">
        <v>1</v>
      </c>
      <c r="V235" s="707" t="s">
        <v>1324</v>
      </c>
      <c r="W235" s="81">
        <f t="shared" ref="W235:W252" si="26">U235*P235</f>
        <v>0.35</v>
      </c>
      <c r="X235" s="442">
        <f t="shared" ref="X235:X252" si="27">W235*U235</f>
        <v>0.35</v>
      </c>
      <c r="Y235" s="280">
        <f t="shared" si="25"/>
        <v>6.9999999999999993E-2</v>
      </c>
    </row>
    <row r="236" spans="2:25" ht="76.5" customHeight="1" x14ac:dyDescent="0.25">
      <c r="B236" s="484" t="s">
        <v>391</v>
      </c>
      <c r="C236" s="484" t="s">
        <v>734</v>
      </c>
      <c r="D236" s="55" t="s">
        <v>23</v>
      </c>
      <c r="E236" s="229" t="s">
        <v>547</v>
      </c>
      <c r="F236" s="435" t="s">
        <v>271</v>
      </c>
      <c r="G236" s="965"/>
      <c r="H236" s="55" t="s">
        <v>821</v>
      </c>
      <c r="I236" s="488">
        <v>0.2</v>
      </c>
      <c r="J236" s="491">
        <v>100</v>
      </c>
      <c r="K236" s="1028"/>
      <c r="L236" s="1028"/>
      <c r="M236" s="436" t="s">
        <v>823</v>
      </c>
      <c r="N236" s="42">
        <v>2</v>
      </c>
      <c r="O236" s="333" t="s">
        <v>1141</v>
      </c>
      <c r="P236" s="430">
        <v>0.35</v>
      </c>
      <c r="Q236" s="431">
        <v>43586</v>
      </c>
      <c r="R236" s="432">
        <v>43738</v>
      </c>
      <c r="S236" s="430">
        <f t="shared" si="24"/>
        <v>6.9999999999999993E-2</v>
      </c>
      <c r="T236" s="540" t="s">
        <v>823</v>
      </c>
      <c r="U236" s="81">
        <v>1</v>
      </c>
      <c r="V236" s="708" t="s">
        <v>1325</v>
      </c>
      <c r="W236" s="81">
        <f t="shared" si="26"/>
        <v>0.35</v>
      </c>
      <c r="X236" s="442">
        <f t="shared" si="27"/>
        <v>0.35</v>
      </c>
      <c r="Y236" s="280">
        <f t="shared" si="25"/>
        <v>6.9999999999999993E-2</v>
      </c>
    </row>
    <row r="237" spans="2:25" ht="76.5" customHeight="1" x14ac:dyDescent="0.25">
      <c r="B237" s="484" t="s">
        <v>391</v>
      </c>
      <c r="C237" s="484" t="s">
        <v>734</v>
      </c>
      <c r="D237" s="55" t="s">
        <v>23</v>
      </c>
      <c r="E237" s="229" t="s">
        <v>547</v>
      </c>
      <c r="F237" s="435" t="s">
        <v>271</v>
      </c>
      <c r="G237" s="965"/>
      <c r="H237" s="55" t="s">
        <v>821</v>
      </c>
      <c r="I237" s="488">
        <v>0.2</v>
      </c>
      <c r="J237" s="491">
        <v>100</v>
      </c>
      <c r="K237" s="1028"/>
      <c r="L237" s="1028"/>
      <c r="M237" s="436" t="s">
        <v>823</v>
      </c>
      <c r="N237" s="42">
        <v>3</v>
      </c>
      <c r="O237" s="333" t="s">
        <v>1142</v>
      </c>
      <c r="P237" s="430">
        <v>0.3</v>
      </c>
      <c r="Q237" s="431">
        <v>43709</v>
      </c>
      <c r="R237" s="432">
        <v>43830</v>
      </c>
      <c r="S237" s="430">
        <f t="shared" si="24"/>
        <v>0.06</v>
      </c>
      <c r="T237" s="540" t="s">
        <v>823</v>
      </c>
      <c r="U237" s="81"/>
      <c r="V237" s="709"/>
      <c r="W237" s="81">
        <f t="shared" si="26"/>
        <v>0</v>
      </c>
      <c r="X237" s="442">
        <f t="shared" si="27"/>
        <v>0</v>
      </c>
      <c r="Y237" s="280">
        <f t="shared" si="25"/>
        <v>0</v>
      </c>
    </row>
    <row r="238" spans="2:25" ht="76.5" customHeight="1" x14ac:dyDescent="0.25">
      <c r="B238" s="484" t="s">
        <v>391</v>
      </c>
      <c r="C238" s="484" t="s">
        <v>734</v>
      </c>
      <c r="D238" s="55" t="s">
        <v>23</v>
      </c>
      <c r="E238" s="229" t="s">
        <v>547</v>
      </c>
      <c r="F238" s="435" t="s">
        <v>271</v>
      </c>
      <c r="G238" s="965">
        <v>2</v>
      </c>
      <c r="H238" s="55" t="s">
        <v>824</v>
      </c>
      <c r="I238" s="488">
        <v>0.2</v>
      </c>
      <c r="J238" s="491">
        <v>100</v>
      </c>
      <c r="K238" s="1028" t="s">
        <v>184</v>
      </c>
      <c r="L238" s="1028" t="s">
        <v>825</v>
      </c>
      <c r="M238" s="436" t="s">
        <v>823</v>
      </c>
      <c r="N238" s="42">
        <v>1</v>
      </c>
      <c r="O238" s="333" t="s">
        <v>1143</v>
      </c>
      <c r="P238" s="430">
        <v>0.25</v>
      </c>
      <c r="Q238" s="431">
        <v>43466</v>
      </c>
      <c r="R238" s="432">
        <v>43555</v>
      </c>
      <c r="S238" s="430">
        <f t="shared" si="24"/>
        <v>0.05</v>
      </c>
      <c r="T238" s="536" t="s">
        <v>823</v>
      </c>
      <c r="U238" s="81">
        <v>0</v>
      </c>
      <c r="V238" s="512" t="s">
        <v>833</v>
      </c>
      <c r="W238" s="81">
        <f t="shared" si="26"/>
        <v>0</v>
      </c>
      <c r="X238" s="442">
        <f t="shared" si="27"/>
        <v>0</v>
      </c>
      <c r="Y238" s="280">
        <f t="shared" si="25"/>
        <v>0</v>
      </c>
    </row>
    <row r="239" spans="2:25" ht="76.5" customHeight="1" x14ac:dyDescent="0.25">
      <c r="B239" s="484" t="s">
        <v>391</v>
      </c>
      <c r="C239" s="484" t="s">
        <v>734</v>
      </c>
      <c r="D239" s="55" t="s">
        <v>23</v>
      </c>
      <c r="E239" s="229" t="s">
        <v>547</v>
      </c>
      <c r="F239" s="435" t="s">
        <v>271</v>
      </c>
      <c r="G239" s="965"/>
      <c r="H239" s="55" t="s">
        <v>824</v>
      </c>
      <c r="I239" s="488">
        <v>0.2</v>
      </c>
      <c r="J239" s="491">
        <v>100</v>
      </c>
      <c r="K239" s="1028"/>
      <c r="L239" s="1028"/>
      <c r="M239" s="436" t="s">
        <v>823</v>
      </c>
      <c r="N239" s="42">
        <v>2</v>
      </c>
      <c r="O239" s="333" t="s">
        <v>1144</v>
      </c>
      <c r="P239" s="430">
        <v>0.25</v>
      </c>
      <c r="Q239" s="431">
        <v>43556</v>
      </c>
      <c r="R239" s="432">
        <v>43646</v>
      </c>
      <c r="S239" s="430">
        <f t="shared" si="24"/>
        <v>0.05</v>
      </c>
      <c r="T239" s="536" t="s">
        <v>823</v>
      </c>
      <c r="U239" s="81">
        <v>0</v>
      </c>
      <c r="V239" s="512" t="s">
        <v>1271</v>
      </c>
      <c r="W239" s="81">
        <f t="shared" si="26"/>
        <v>0</v>
      </c>
      <c r="X239" s="442">
        <f t="shared" si="27"/>
        <v>0</v>
      </c>
      <c r="Y239" s="280">
        <f t="shared" si="25"/>
        <v>0</v>
      </c>
    </row>
    <row r="240" spans="2:25" ht="76.5" customHeight="1" x14ac:dyDescent="0.25">
      <c r="B240" s="484" t="s">
        <v>391</v>
      </c>
      <c r="C240" s="484" t="s">
        <v>734</v>
      </c>
      <c r="D240" s="55" t="s">
        <v>23</v>
      </c>
      <c r="E240" s="229" t="s">
        <v>547</v>
      </c>
      <c r="F240" s="435" t="s">
        <v>271</v>
      </c>
      <c r="G240" s="965"/>
      <c r="H240" s="55" t="s">
        <v>824</v>
      </c>
      <c r="I240" s="488">
        <v>0.2</v>
      </c>
      <c r="J240" s="491">
        <v>100</v>
      </c>
      <c r="K240" s="1028"/>
      <c r="L240" s="1028"/>
      <c r="M240" s="436" t="s">
        <v>823</v>
      </c>
      <c r="N240" s="42">
        <v>3</v>
      </c>
      <c r="O240" s="333" t="s">
        <v>1145</v>
      </c>
      <c r="P240" s="430">
        <v>0.25</v>
      </c>
      <c r="Q240" s="431">
        <v>43647</v>
      </c>
      <c r="R240" s="432">
        <v>43738</v>
      </c>
      <c r="S240" s="430">
        <f t="shared" si="24"/>
        <v>0.05</v>
      </c>
      <c r="T240" s="536" t="s">
        <v>823</v>
      </c>
      <c r="U240" s="81"/>
      <c r="V240" s="709"/>
      <c r="W240" s="81">
        <f t="shared" si="26"/>
        <v>0</v>
      </c>
      <c r="X240" s="442">
        <f t="shared" si="27"/>
        <v>0</v>
      </c>
      <c r="Y240" s="280">
        <f t="shared" si="25"/>
        <v>0</v>
      </c>
    </row>
    <row r="241" spans="2:25" ht="76.5" customHeight="1" x14ac:dyDescent="0.25">
      <c r="B241" s="484" t="s">
        <v>391</v>
      </c>
      <c r="C241" s="484" t="s">
        <v>734</v>
      </c>
      <c r="D241" s="55" t="s">
        <v>23</v>
      </c>
      <c r="E241" s="229" t="s">
        <v>547</v>
      </c>
      <c r="F241" s="435" t="s">
        <v>271</v>
      </c>
      <c r="G241" s="965"/>
      <c r="H241" s="55" t="s">
        <v>824</v>
      </c>
      <c r="I241" s="488">
        <v>0.2</v>
      </c>
      <c r="J241" s="491">
        <v>100</v>
      </c>
      <c r="K241" s="1028"/>
      <c r="L241" s="1028"/>
      <c r="M241" s="436" t="s">
        <v>823</v>
      </c>
      <c r="N241" s="42">
        <v>4</v>
      </c>
      <c r="O241" s="333" t="s">
        <v>1146</v>
      </c>
      <c r="P241" s="430">
        <v>0.25</v>
      </c>
      <c r="Q241" s="431">
        <v>43739</v>
      </c>
      <c r="R241" s="432">
        <v>43830</v>
      </c>
      <c r="S241" s="430">
        <f t="shared" si="24"/>
        <v>0.05</v>
      </c>
      <c r="T241" s="536" t="s">
        <v>823</v>
      </c>
      <c r="U241" s="81"/>
      <c r="V241" s="709"/>
      <c r="W241" s="81">
        <f t="shared" si="26"/>
        <v>0</v>
      </c>
      <c r="X241" s="442">
        <f t="shared" si="27"/>
        <v>0</v>
      </c>
      <c r="Y241" s="280">
        <f t="shared" si="25"/>
        <v>0</v>
      </c>
    </row>
    <row r="242" spans="2:25" ht="76.5" customHeight="1" x14ac:dyDescent="0.25">
      <c r="B242" s="484" t="s">
        <v>391</v>
      </c>
      <c r="C242" s="484" t="s">
        <v>734</v>
      </c>
      <c r="D242" s="55" t="s">
        <v>23</v>
      </c>
      <c r="E242" s="229" t="s">
        <v>547</v>
      </c>
      <c r="F242" s="435" t="s">
        <v>271</v>
      </c>
      <c r="G242" s="965">
        <v>3</v>
      </c>
      <c r="H242" s="441" t="s">
        <v>826</v>
      </c>
      <c r="I242" s="488">
        <v>0.2</v>
      </c>
      <c r="J242" s="491">
        <v>100</v>
      </c>
      <c r="K242" s="1028" t="s">
        <v>184</v>
      </c>
      <c r="L242" s="1028" t="s">
        <v>827</v>
      </c>
      <c r="M242" s="436" t="s">
        <v>823</v>
      </c>
      <c r="N242" s="42">
        <v>1</v>
      </c>
      <c r="O242" s="224" t="s">
        <v>1147</v>
      </c>
      <c r="P242" s="430">
        <v>0.25</v>
      </c>
      <c r="Q242" s="431">
        <v>43466</v>
      </c>
      <c r="R242" s="432">
        <v>43555</v>
      </c>
      <c r="S242" s="430">
        <f t="shared" si="24"/>
        <v>0.05</v>
      </c>
      <c r="T242" s="536" t="s">
        <v>823</v>
      </c>
      <c r="U242" s="81">
        <v>1</v>
      </c>
      <c r="V242" s="707" t="s">
        <v>1272</v>
      </c>
      <c r="W242" s="81">
        <f t="shared" si="26"/>
        <v>0.25</v>
      </c>
      <c r="X242" s="442">
        <f t="shared" si="27"/>
        <v>0.25</v>
      </c>
      <c r="Y242" s="280">
        <f t="shared" si="25"/>
        <v>0.05</v>
      </c>
    </row>
    <row r="243" spans="2:25" ht="76.5" customHeight="1" x14ac:dyDescent="0.25">
      <c r="B243" s="484" t="s">
        <v>391</v>
      </c>
      <c r="C243" s="484" t="s">
        <v>734</v>
      </c>
      <c r="D243" s="55" t="s">
        <v>23</v>
      </c>
      <c r="E243" s="229" t="s">
        <v>547</v>
      </c>
      <c r="F243" s="435" t="s">
        <v>271</v>
      </c>
      <c r="G243" s="965"/>
      <c r="H243" s="441" t="s">
        <v>826</v>
      </c>
      <c r="I243" s="488">
        <v>0.2</v>
      </c>
      <c r="J243" s="491">
        <v>100</v>
      </c>
      <c r="K243" s="1028"/>
      <c r="L243" s="1028"/>
      <c r="M243" s="436" t="s">
        <v>823</v>
      </c>
      <c r="N243" s="42">
        <v>2</v>
      </c>
      <c r="O243" s="224" t="s">
        <v>1148</v>
      </c>
      <c r="P243" s="430">
        <v>0.25</v>
      </c>
      <c r="Q243" s="431">
        <v>43556</v>
      </c>
      <c r="R243" s="432">
        <v>43646</v>
      </c>
      <c r="S243" s="430">
        <f t="shared" si="24"/>
        <v>0.05</v>
      </c>
      <c r="T243" s="536" t="s">
        <v>823</v>
      </c>
      <c r="U243" s="81">
        <v>1</v>
      </c>
      <c r="V243" s="708" t="s">
        <v>1273</v>
      </c>
      <c r="W243" s="81">
        <f t="shared" si="26"/>
        <v>0.25</v>
      </c>
      <c r="X243" s="442">
        <f t="shared" si="27"/>
        <v>0.25</v>
      </c>
      <c r="Y243" s="280">
        <f t="shared" si="25"/>
        <v>0.05</v>
      </c>
    </row>
    <row r="244" spans="2:25" ht="76.5" customHeight="1" x14ac:dyDescent="0.25">
      <c r="B244" s="484" t="s">
        <v>391</v>
      </c>
      <c r="C244" s="484" t="s">
        <v>734</v>
      </c>
      <c r="D244" s="55" t="s">
        <v>23</v>
      </c>
      <c r="E244" s="229" t="s">
        <v>547</v>
      </c>
      <c r="F244" s="435" t="s">
        <v>271</v>
      </c>
      <c r="G244" s="965"/>
      <c r="H244" s="441" t="s">
        <v>826</v>
      </c>
      <c r="I244" s="488">
        <v>0.2</v>
      </c>
      <c r="J244" s="491">
        <v>100</v>
      </c>
      <c r="K244" s="1028"/>
      <c r="L244" s="1028"/>
      <c r="M244" s="436" t="s">
        <v>823</v>
      </c>
      <c r="N244" s="42">
        <v>3</v>
      </c>
      <c r="O244" s="224" t="s">
        <v>1149</v>
      </c>
      <c r="P244" s="430">
        <v>0.25</v>
      </c>
      <c r="Q244" s="431">
        <v>43647</v>
      </c>
      <c r="R244" s="432">
        <v>43738</v>
      </c>
      <c r="S244" s="430">
        <f t="shared" si="24"/>
        <v>0.05</v>
      </c>
      <c r="T244" s="536" t="s">
        <v>823</v>
      </c>
      <c r="U244" s="81"/>
      <c r="V244" s="709"/>
      <c r="W244" s="81">
        <f t="shared" si="26"/>
        <v>0</v>
      </c>
      <c r="X244" s="442">
        <f t="shared" si="27"/>
        <v>0</v>
      </c>
      <c r="Y244" s="280">
        <f t="shared" si="25"/>
        <v>0</v>
      </c>
    </row>
    <row r="245" spans="2:25" ht="76.5" customHeight="1" x14ac:dyDescent="0.25">
      <c r="B245" s="484" t="s">
        <v>391</v>
      </c>
      <c r="C245" s="484" t="s">
        <v>734</v>
      </c>
      <c r="D245" s="55" t="s">
        <v>23</v>
      </c>
      <c r="E245" s="229" t="s">
        <v>547</v>
      </c>
      <c r="F245" s="435" t="s">
        <v>271</v>
      </c>
      <c r="G245" s="965"/>
      <c r="H245" s="441" t="s">
        <v>826</v>
      </c>
      <c r="I245" s="488">
        <v>0.2</v>
      </c>
      <c r="J245" s="491">
        <v>100</v>
      </c>
      <c r="K245" s="1028"/>
      <c r="L245" s="1028"/>
      <c r="M245" s="436" t="s">
        <v>823</v>
      </c>
      <c r="N245" s="42">
        <v>4</v>
      </c>
      <c r="O245" s="224" t="s">
        <v>1150</v>
      </c>
      <c r="P245" s="430">
        <v>0.25</v>
      </c>
      <c r="Q245" s="431">
        <v>43739</v>
      </c>
      <c r="R245" s="432">
        <v>43830</v>
      </c>
      <c r="S245" s="430">
        <f t="shared" si="24"/>
        <v>0.05</v>
      </c>
      <c r="T245" s="536" t="s">
        <v>823</v>
      </c>
      <c r="U245" s="81"/>
      <c r="V245" s="709"/>
      <c r="W245" s="81">
        <f t="shared" si="26"/>
        <v>0</v>
      </c>
      <c r="X245" s="442">
        <f t="shared" si="27"/>
        <v>0</v>
      </c>
      <c r="Y245" s="280">
        <f t="shared" si="25"/>
        <v>0</v>
      </c>
    </row>
    <row r="246" spans="2:25" ht="76.5" customHeight="1" x14ac:dyDescent="0.25">
      <c r="B246" s="355" t="s">
        <v>391</v>
      </c>
      <c r="C246" s="484" t="s">
        <v>734</v>
      </c>
      <c r="D246" s="55" t="s">
        <v>23</v>
      </c>
      <c r="E246" s="229" t="s">
        <v>547</v>
      </c>
      <c r="F246" s="435" t="s">
        <v>271</v>
      </c>
      <c r="G246" s="965">
        <v>4</v>
      </c>
      <c r="H246" s="441" t="s">
        <v>829</v>
      </c>
      <c r="I246" s="488">
        <v>0.2</v>
      </c>
      <c r="J246" s="491">
        <v>100</v>
      </c>
      <c r="K246" s="1028" t="s">
        <v>184</v>
      </c>
      <c r="L246" s="1028" t="s">
        <v>830</v>
      </c>
      <c r="M246" s="436" t="s">
        <v>375</v>
      </c>
      <c r="N246" s="42">
        <v>1</v>
      </c>
      <c r="O246" s="224" t="s">
        <v>1151</v>
      </c>
      <c r="P246" s="430">
        <v>0.25</v>
      </c>
      <c r="Q246" s="432">
        <v>43497</v>
      </c>
      <c r="R246" s="432">
        <v>43555</v>
      </c>
      <c r="S246" s="430">
        <f t="shared" si="24"/>
        <v>0.05</v>
      </c>
      <c r="T246" s="538" t="s">
        <v>375</v>
      </c>
      <c r="U246" s="461">
        <v>1</v>
      </c>
      <c r="V246" s="710" t="s">
        <v>1274</v>
      </c>
      <c r="W246" s="81">
        <f t="shared" si="26"/>
        <v>0.25</v>
      </c>
      <c r="X246" s="442">
        <f t="shared" si="27"/>
        <v>0.25</v>
      </c>
      <c r="Y246" s="280">
        <f t="shared" si="25"/>
        <v>0.05</v>
      </c>
    </row>
    <row r="247" spans="2:25" ht="76.5" customHeight="1" x14ac:dyDescent="0.25">
      <c r="B247" s="355" t="s">
        <v>391</v>
      </c>
      <c r="C247" s="484" t="s">
        <v>734</v>
      </c>
      <c r="D247" s="55" t="s">
        <v>23</v>
      </c>
      <c r="E247" s="229" t="s">
        <v>547</v>
      </c>
      <c r="F247" s="435" t="s">
        <v>271</v>
      </c>
      <c r="G247" s="965"/>
      <c r="H247" s="441" t="s">
        <v>829</v>
      </c>
      <c r="I247" s="488">
        <v>0.2</v>
      </c>
      <c r="J247" s="491">
        <v>100</v>
      </c>
      <c r="K247" s="1028"/>
      <c r="L247" s="1028"/>
      <c r="M247" s="436" t="s">
        <v>375</v>
      </c>
      <c r="N247" s="42">
        <v>2</v>
      </c>
      <c r="O247" s="224" t="s">
        <v>1152</v>
      </c>
      <c r="P247" s="430">
        <v>0.25</v>
      </c>
      <c r="Q247" s="432">
        <v>43556</v>
      </c>
      <c r="R247" s="432">
        <v>43646</v>
      </c>
      <c r="S247" s="430">
        <f t="shared" si="24"/>
        <v>0.05</v>
      </c>
      <c r="T247" s="538" t="s">
        <v>375</v>
      </c>
      <c r="U247" s="468">
        <v>1</v>
      </c>
      <c r="V247" s="710" t="s">
        <v>1275</v>
      </c>
      <c r="W247" s="81">
        <f t="shared" si="26"/>
        <v>0.25</v>
      </c>
      <c r="X247" s="442">
        <f t="shared" si="27"/>
        <v>0.25</v>
      </c>
      <c r="Y247" s="280">
        <f t="shared" si="25"/>
        <v>0.05</v>
      </c>
    </row>
    <row r="248" spans="2:25" ht="76.5" customHeight="1" x14ac:dyDescent="0.25">
      <c r="B248" s="355" t="s">
        <v>391</v>
      </c>
      <c r="C248" s="484" t="s">
        <v>734</v>
      </c>
      <c r="D248" s="55" t="s">
        <v>23</v>
      </c>
      <c r="E248" s="229" t="s">
        <v>547</v>
      </c>
      <c r="F248" s="435" t="s">
        <v>271</v>
      </c>
      <c r="G248" s="965"/>
      <c r="H248" s="441" t="s">
        <v>829</v>
      </c>
      <c r="I248" s="488">
        <v>0.2</v>
      </c>
      <c r="J248" s="491">
        <v>100</v>
      </c>
      <c r="K248" s="1028"/>
      <c r="L248" s="1028"/>
      <c r="M248" s="436" t="s">
        <v>375</v>
      </c>
      <c r="N248" s="42">
        <v>3</v>
      </c>
      <c r="O248" s="224" t="s">
        <v>1153</v>
      </c>
      <c r="P248" s="430">
        <v>0.25</v>
      </c>
      <c r="Q248" s="432">
        <v>43647</v>
      </c>
      <c r="R248" s="432">
        <v>43738</v>
      </c>
      <c r="S248" s="430">
        <f t="shared" si="24"/>
        <v>0.05</v>
      </c>
      <c r="T248" s="538" t="s">
        <v>375</v>
      </c>
      <c r="U248" s="449"/>
      <c r="V248" s="709"/>
      <c r="W248" s="81">
        <f t="shared" si="26"/>
        <v>0</v>
      </c>
      <c r="X248" s="442">
        <f t="shared" si="27"/>
        <v>0</v>
      </c>
      <c r="Y248" s="280">
        <f t="shared" si="25"/>
        <v>0</v>
      </c>
    </row>
    <row r="249" spans="2:25" ht="76.5" customHeight="1" x14ac:dyDescent="0.25">
      <c r="B249" s="355" t="s">
        <v>391</v>
      </c>
      <c r="C249" s="484" t="s">
        <v>734</v>
      </c>
      <c r="D249" s="55" t="s">
        <v>23</v>
      </c>
      <c r="E249" s="229" t="s">
        <v>547</v>
      </c>
      <c r="F249" s="435" t="s">
        <v>271</v>
      </c>
      <c r="G249" s="965"/>
      <c r="H249" s="441" t="s">
        <v>829</v>
      </c>
      <c r="I249" s="488">
        <v>0.2</v>
      </c>
      <c r="J249" s="491">
        <v>100</v>
      </c>
      <c r="K249" s="1028"/>
      <c r="L249" s="1028"/>
      <c r="M249" s="436" t="s">
        <v>375</v>
      </c>
      <c r="N249" s="42">
        <v>4</v>
      </c>
      <c r="O249" s="224" t="s">
        <v>1154</v>
      </c>
      <c r="P249" s="430">
        <v>0.25</v>
      </c>
      <c r="Q249" s="432">
        <v>43739</v>
      </c>
      <c r="R249" s="432">
        <v>43830</v>
      </c>
      <c r="S249" s="430">
        <f t="shared" si="24"/>
        <v>0.05</v>
      </c>
      <c r="T249" s="538" t="s">
        <v>375</v>
      </c>
      <c r="U249" s="449"/>
      <c r="V249" s="709"/>
      <c r="W249" s="81">
        <f t="shared" si="26"/>
        <v>0</v>
      </c>
      <c r="X249" s="442">
        <f t="shared" si="27"/>
        <v>0</v>
      </c>
      <c r="Y249" s="280">
        <f t="shared" si="25"/>
        <v>0</v>
      </c>
    </row>
    <row r="250" spans="2:25" ht="76.5" customHeight="1" x14ac:dyDescent="0.25">
      <c r="B250" s="355" t="s">
        <v>391</v>
      </c>
      <c r="C250" s="484" t="s">
        <v>734</v>
      </c>
      <c r="D250" s="55" t="s">
        <v>23</v>
      </c>
      <c r="E250" s="229" t="s">
        <v>547</v>
      </c>
      <c r="F250" s="435" t="s">
        <v>271</v>
      </c>
      <c r="G250" s="965">
        <v>5</v>
      </c>
      <c r="H250" s="55" t="s">
        <v>831</v>
      </c>
      <c r="I250" s="488">
        <v>0.2</v>
      </c>
      <c r="J250" s="491">
        <v>100</v>
      </c>
      <c r="K250" s="1028" t="s">
        <v>184</v>
      </c>
      <c r="L250" s="1028" t="s">
        <v>832</v>
      </c>
      <c r="M250" s="436" t="s">
        <v>823</v>
      </c>
      <c r="N250" s="42">
        <v>1</v>
      </c>
      <c r="O250" s="333" t="s">
        <v>1155</v>
      </c>
      <c r="P250" s="430">
        <v>0.5</v>
      </c>
      <c r="Q250" s="431">
        <v>43466</v>
      </c>
      <c r="R250" s="432">
        <v>43646</v>
      </c>
      <c r="S250" s="430">
        <f t="shared" si="24"/>
        <v>0.1</v>
      </c>
      <c r="T250" s="540" t="s">
        <v>823</v>
      </c>
      <c r="U250" s="81">
        <v>0.8</v>
      </c>
      <c r="V250" s="708" t="s">
        <v>1276</v>
      </c>
      <c r="W250" s="81">
        <f t="shared" si="26"/>
        <v>0.4</v>
      </c>
      <c r="X250" s="442">
        <f t="shared" si="27"/>
        <v>0.32000000000000006</v>
      </c>
      <c r="Y250" s="280">
        <f t="shared" si="25"/>
        <v>8.0000000000000016E-2</v>
      </c>
    </row>
    <row r="251" spans="2:25" ht="76.5" customHeight="1" x14ac:dyDescent="0.25">
      <c r="B251" s="355" t="s">
        <v>391</v>
      </c>
      <c r="C251" s="484" t="s">
        <v>734</v>
      </c>
      <c r="D251" s="55" t="s">
        <v>23</v>
      </c>
      <c r="E251" s="229" t="s">
        <v>547</v>
      </c>
      <c r="F251" s="435" t="s">
        <v>271</v>
      </c>
      <c r="G251" s="965"/>
      <c r="H251" s="55" t="s">
        <v>831</v>
      </c>
      <c r="I251" s="488">
        <v>0.2</v>
      </c>
      <c r="J251" s="491">
        <v>100</v>
      </c>
      <c r="K251" s="1028"/>
      <c r="L251" s="1028"/>
      <c r="M251" s="436" t="s">
        <v>823</v>
      </c>
      <c r="N251" s="42">
        <v>2</v>
      </c>
      <c r="O251" s="333" t="s">
        <v>1156</v>
      </c>
      <c r="P251" s="430">
        <v>0.25</v>
      </c>
      <c r="Q251" s="431">
        <v>43647</v>
      </c>
      <c r="R251" s="432">
        <v>43738</v>
      </c>
      <c r="S251" s="430">
        <f t="shared" si="24"/>
        <v>0.05</v>
      </c>
      <c r="T251" s="540" t="s">
        <v>823</v>
      </c>
      <c r="U251" s="81"/>
      <c r="V251" s="708"/>
      <c r="W251" s="81">
        <f t="shared" si="26"/>
        <v>0</v>
      </c>
      <c r="X251" s="442">
        <f t="shared" si="27"/>
        <v>0</v>
      </c>
      <c r="Y251" s="280">
        <f t="shared" si="25"/>
        <v>0</v>
      </c>
    </row>
    <row r="252" spans="2:25" ht="76.5" customHeight="1" thickBot="1" x14ac:dyDescent="0.3">
      <c r="B252" s="386" t="s">
        <v>391</v>
      </c>
      <c r="C252" s="54" t="s">
        <v>734</v>
      </c>
      <c r="D252" s="52" t="s">
        <v>23</v>
      </c>
      <c r="E252" s="692" t="s">
        <v>547</v>
      </c>
      <c r="F252" s="693" t="s">
        <v>271</v>
      </c>
      <c r="G252" s="965"/>
      <c r="H252" s="52" t="s">
        <v>831</v>
      </c>
      <c r="I252" s="689">
        <v>0.2</v>
      </c>
      <c r="J252" s="359">
        <v>100</v>
      </c>
      <c r="K252" s="1041"/>
      <c r="L252" s="1041"/>
      <c r="M252" s="690" t="s">
        <v>823</v>
      </c>
      <c r="N252" s="691">
        <v>3</v>
      </c>
      <c r="O252" s="681" t="s">
        <v>287</v>
      </c>
      <c r="P252" s="682">
        <v>0.25</v>
      </c>
      <c r="Q252" s="683">
        <v>43739</v>
      </c>
      <c r="R252" s="684">
        <v>43830</v>
      </c>
      <c r="S252" s="682">
        <f t="shared" si="24"/>
        <v>0.05</v>
      </c>
      <c r="T252" s="574" t="s">
        <v>823</v>
      </c>
      <c r="U252" s="301"/>
      <c r="V252" s="712"/>
      <c r="W252" s="81">
        <f t="shared" si="26"/>
        <v>0</v>
      </c>
      <c r="X252" s="442">
        <f t="shared" si="27"/>
        <v>0</v>
      </c>
      <c r="Y252" s="280">
        <f t="shared" si="25"/>
        <v>0</v>
      </c>
    </row>
    <row r="253" spans="2:25" ht="76.5" customHeight="1" x14ac:dyDescent="0.25">
      <c r="B253" s="694" t="s">
        <v>391</v>
      </c>
      <c r="C253" s="694" t="s">
        <v>529</v>
      </c>
      <c r="D253" s="260" t="s">
        <v>23</v>
      </c>
      <c r="E253" s="262" t="s">
        <v>548</v>
      </c>
      <c r="F253" s="262" t="s">
        <v>176</v>
      </c>
      <c r="G253" s="1042">
        <v>1</v>
      </c>
      <c r="H253" s="441" t="s">
        <v>835</v>
      </c>
      <c r="I253" s="695">
        <v>1</v>
      </c>
      <c r="J253" s="696">
        <v>100</v>
      </c>
      <c r="K253" s="1045" t="s">
        <v>481</v>
      </c>
      <c r="L253" s="1045" t="s">
        <v>836</v>
      </c>
      <c r="M253" s="697" t="s">
        <v>834</v>
      </c>
      <c r="N253" s="42">
        <v>1</v>
      </c>
      <c r="O253" s="224" t="s">
        <v>1157</v>
      </c>
      <c r="P253" s="698">
        <v>0.5</v>
      </c>
      <c r="Q253" s="699">
        <v>43475</v>
      </c>
      <c r="R253" s="700">
        <v>43616</v>
      </c>
      <c r="S253" s="698">
        <f t="shared" si="24"/>
        <v>0.5</v>
      </c>
      <c r="T253" s="701" t="s">
        <v>834</v>
      </c>
      <c r="U253" s="702">
        <v>1</v>
      </c>
      <c r="V253" s="713" t="s">
        <v>1166</v>
      </c>
      <c r="W253" s="680">
        <f>U253*P253</f>
        <v>0.5</v>
      </c>
      <c r="X253" s="430">
        <f>W253*U253</f>
        <v>0.5</v>
      </c>
      <c r="Y253" s="280">
        <f t="shared" si="25"/>
        <v>0.5</v>
      </c>
    </row>
    <row r="254" spans="2:25" ht="76.5" customHeight="1" x14ac:dyDescent="0.25">
      <c r="B254" s="694" t="s">
        <v>391</v>
      </c>
      <c r="C254" s="694" t="s">
        <v>1310</v>
      </c>
      <c r="D254" s="260" t="s">
        <v>23</v>
      </c>
      <c r="E254" s="262" t="s">
        <v>548</v>
      </c>
      <c r="F254" s="262" t="s">
        <v>176</v>
      </c>
      <c r="G254" s="1043"/>
      <c r="H254" s="441" t="s">
        <v>835</v>
      </c>
      <c r="I254" s="695">
        <v>1</v>
      </c>
      <c r="J254" s="696">
        <v>100</v>
      </c>
      <c r="K254" s="1045"/>
      <c r="L254" s="1045"/>
      <c r="M254" s="697" t="s">
        <v>834</v>
      </c>
      <c r="N254" s="42">
        <v>2</v>
      </c>
      <c r="O254" s="224" t="s">
        <v>1158</v>
      </c>
      <c r="P254" s="698">
        <v>0.25</v>
      </c>
      <c r="Q254" s="699">
        <v>43617</v>
      </c>
      <c r="R254" s="700">
        <v>43677</v>
      </c>
      <c r="S254" s="698">
        <f t="shared" si="24"/>
        <v>0.25</v>
      </c>
      <c r="T254" s="701" t="s">
        <v>834</v>
      </c>
      <c r="U254" s="703"/>
      <c r="V254" s="714"/>
      <c r="W254" s="680">
        <f>U254*P254</f>
        <v>0</v>
      </c>
      <c r="X254" s="430">
        <f>W254*U254</f>
        <v>0</v>
      </c>
      <c r="Y254" s="280">
        <f t="shared" si="25"/>
        <v>0</v>
      </c>
    </row>
    <row r="255" spans="2:25" ht="76.5" customHeight="1" thickBot="1" x14ac:dyDescent="0.3">
      <c r="B255" s="694" t="s">
        <v>391</v>
      </c>
      <c r="C255" s="694" t="s">
        <v>1311</v>
      </c>
      <c r="D255" s="260" t="s">
        <v>23</v>
      </c>
      <c r="E255" s="262" t="s">
        <v>548</v>
      </c>
      <c r="F255" s="262" t="s">
        <v>176</v>
      </c>
      <c r="G255" s="1044"/>
      <c r="H255" s="441" t="s">
        <v>835</v>
      </c>
      <c r="I255" s="695">
        <v>1</v>
      </c>
      <c r="J255" s="696">
        <v>100</v>
      </c>
      <c r="K255" s="1045"/>
      <c r="L255" s="1045"/>
      <c r="M255" s="697" t="s">
        <v>834</v>
      </c>
      <c r="N255" s="42">
        <v>3</v>
      </c>
      <c r="O255" s="224" t="s">
        <v>1159</v>
      </c>
      <c r="P255" s="698">
        <v>0.25</v>
      </c>
      <c r="Q255" s="699">
        <v>43678</v>
      </c>
      <c r="R255" s="700">
        <v>43708</v>
      </c>
      <c r="S255" s="698">
        <f t="shared" si="24"/>
        <v>0.25</v>
      </c>
      <c r="T255" s="701" t="s">
        <v>834</v>
      </c>
      <c r="U255" s="703"/>
      <c r="V255" s="714"/>
      <c r="W255" s="680">
        <f>U255*P255</f>
        <v>0</v>
      </c>
      <c r="X255" s="430">
        <f>W255*U255</f>
        <v>0</v>
      </c>
      <c r="Y255" s="280">
        <f t="shared" si="25"/>
        <v>0</v>
      </c>
    </row>
    <row r="256" spans="2:25" x14ac:dyDescent="0.25">
      <c r="F256" s="228"/>
    </row>
    <row r="257" spans="5:5" x14ac:dyDescent="0.25">
      <c r="E257" s="228"/>
    </row>
  </sheetData>
  <autoFilter ref="B5:Y255"/>
  <mergeCells count="183">
    <mergeCell ref="G238:G241"/>
    <mergeCell ref="K238:K241"/>
    <mergeCell ref="L238:L241"/>
    <mergeCell ref="L250:L252"/>
    <mergeCell ref="G246:G249"/>
    <mergeCell ref="K246:K249"/>
    <mergeCell ref="L246:L249"/>
    <mergeCell ref="L242:L245"/>
    <mergeCell ref="G253:G255"/>
    <mergeCell ref="K253:K255"/>
    <mergeCell ref="G242:G245"/>
    <mergeCell ref="K242:K245"/>
    <mergeCell ref="G250:G252"/>
    <mergeCell ref="K250:K252"/>
    <mergeCell ref="L253:L255"/>
    <mergeCell ref="G199:G202"/>
    <mergeCell ref="G235:G237"/>
    <mergeCell ref="K235:K237"/>
    <mergeCell ref="L235:L237"/>
    <mergeCell ref="G211:G214"/>
    <mergeCell ref="K211:K214"/>
    <mergeCell ref="L211:L214"/>
    <mergeCell ref="G215:G218"/>
    <mergeCell ref="K215:K218"/>
    <mergeCell ref="L215:L218"/>
    <mergeCell ref="G231:G234"/>
    <mergeCell ref="K231:K234"/>
    <mergeCell ref="L231:L234"/>
    <mergeCell ref="G219:G222"/>
    <mergeCell ref="K219:K222"/>
    <mergeCell ref="L219:L222"/>
    <mergeCell ref="G223:G226"/>
    <mergeCell ref="K223:K226"/>
    <mergeCell ref="L223:L226"/>
    <mergeCell ref="G227:G230"/>
    <mergeCell ref="K227:K230"/>
    <mergeCell ref="L227:L230"/>
    <mergeCell ref="G184:G185"/>
    <mergeCell ref="K184:K185"/>
    <mergeCell ref="L184:L185"/>
    <mergeCell ref="G175:G177"/>
    <mergeCell ref="G178:G181"/>
    <mergeCell ref="K178:K181"/>
    <mergeCell ref="G205:G210"/>
    <mergeCell ref="K205:K210"/>
    <mergeCell ref="G203:G204"/>
    <mergeCell ref="K203:K204"/>
    <mergeCell ref="L203:L204"/>
    <mergeCell ref="K199:K202"/>
    <mergeCell ref="G186:G189"/>
    <mergeCell ref="K186:K189"/>
    <mergeCell ref="L186:L189"/>
    <mergeCell ref="G190:G192"/>
    <mergeCell ref="K190:K192"/>
    <mergeCell ref="L190:L192"/>
    <mergeCell ref="G193:G195"/>
    <mergeCell ref="K193:K195"/>
    <mergeCell ref="L193:L195"/>
    <mergeCell ref="G196:G198"/>
    <mergeCell ref="K196:K198"/>
    <mergeCell ref="L196:L198"/>
    <mergeCell ref="K166:K169"/>
    <mergeCell ref="L166:L169"/>
    <mergeCell ref="G170:G171"/>
    <mergeCell ref="G166:G169"/>
    <mergeCell ref="G172:G174"/>
    <mergeCell ref="G149:G160"/>
    <mergeCell ref="K149:K160"/>
    <mergeCell ref="L149:L160"/>
    <mergeCell ref="G182:G183"/>
    <mergeCell ref="K182:K183"/>
    <mergeCell ref="G144:G148"/>
    <mergeCell ref="K144:K148"/>
    <mergeCell ref="L144:L148"/>
    <mergeCell ref="G131:G133"/>
    <mergeCell ref="G134:G137"/>
    <mergeCell ref="G138:G143"/>
    <mergeCell ref="K138:K143"/>
    <mergeCell ref="L138:L143"/>
    <mergeCell ref="G161:G165"/>
    <mergeCell ref="K161:K165"/>
    <mergeCell ref="L161:L165"/>
    <mergeCell ref="G123:G126"/>
    <mergeCell ref="K123:K126"/>
    <mergeCell ref="L123:L126"/>
    <mergeCell ref="G127:G130"/>
    <mergeCell ref="G116:G118"/>
    <mergeCell ref="K116:K118"/>
    <mergeCell ref="L116:L118"/>
    <mergeCell ref="G119:G122"/>
    <mergeCell ref="K119:K122"/>
    <mergeCell ref="L119:L122"/>
    <mergeCell ref="G110:G112"/>
    <mergeCell ref="K110:K112"/>
    <mergeCell ref="L110:L112"/>
    <mergeCell ref="G113:G115"/>
    <mergeCell ref="K113:K115"/>
    <mergeCell ref="L113:L115"/>
    <mergeCell ref="G107:G109"/>
    <mergeCell ref="K107:K109"/>
    <mergeCell ref="L107:L109"/>
    <mergeCell ref="G96:G98"/>
    <mergeCell ref="K96:K98"/>
    <mergeCell ref="L96:L98"/>
    <mergeCell ref="G100:G103"/>
    <mergeCell ref="K100:K103"/>
    <mergeCell ref="G104:G106"/>
    <mergeCell ref="K104:K106"/>
    <mergeCell ref="L104:L106"/>
    <mergeCell ref="L100:L103"/>
    <mergeCell ref="G86:G89"/>
    <mergeCell ref="K86:K89"/>
    <mergeCell ref="G84:G85"/>
    <mergeCell ref="G90:G92"/>
    <mergeCell ref="K90:K92"/>
    <mergeCell ref="L90:L92"/>
    <mergeCell ref="G93:G95"/>
    <mergeCell ref="K93:K95"/>
    <mergeCell ref="L93:L95"/>
    <mergeCell ref="L86:L89"/>
    <mergeCell ref="L84:L85"/>
    <mergeCell ref="K84:K85"/>
    <mergeCell ref="G82:G83"/>
    <mergeCell ref="K82:K83"/>
    <mergeCell ref="G74:G77"/>
    <mergeCell ref="K74:K77"/>
    <mergeCell ref="G80:G81"/>
    <mergeCell ref="K80:K81"/>
    <mergeCell ref="L80:L81"/>
    <mergeCell ref="L78:L79"/>
    <mergeCell ref="G78:G79"/>
    <mergeCell ref="K78:K79"/>
    <mergeCell ref="L74:L77"/>
    <mergeCell ref="L82:L83"/>
    <mergeCell ref="L50:L53"/>
    <mergeCell ref="L54:L56"/>
    <mergeCell ref="G62:G65"/>
    <mergeCell ref="K62:K65"/>
    <mergeCell ref="L62:L65"/>
    <mergeCell ref="G68:G69"/>
    <mergeCell ref="G70:G73"/>
    <mergeCell ref="K70:K73"/>
    <mergeCell ref="L70:L73"/>
    <mergeCell ref="K68:K69"/>
    <mergeCell ref="L68:L69"/>
    <mergeCell ref="K54:K56"/>
    <mergeCell ref="G60:G61"/>
    <mergeCell ref="G54:G56"/>
    <mergeCell ref="G50:G53"/>
    <mergeCell ref="K50:K53"/>
    <mergeCell ref="G6:G9"/>
    <mergeCell ref="K6:K9"/>
    <mergeCell ref="L6:L9"/>
    <mergeCell ref="G22:G25"/>
    <mergeCell ref="K22:K25"/>
    <mergeCell ref="L22:L25"/>
    <mergeCell ref="G26:G29"/>
    <mergeCell ref="K26:K29"/>
    <mergeCell ref="L26:L29"/>
    <mergeCell ref="G18:G21"/>
    <mergeCell ref="K18:K21"/>
    <mergeCell ref="L18:L21"/>
    <mergeCell ref="G14:G17"/>
    <mergeCell ref="K14:K17"/>
    <mergeCell ref="L14:L17"/>
    <mergeCell ref="G10:G13"/>
    <mergeCell ref="K10:K13"/>
    <mergeCell ref="L10:L13"/>
    <mergeCell ref="K30:K33"/>
    <mergeCell ref="L30:L33"/>
    <mergeCell ref="G47:G49"/>
    <mergeCell ref="K47:K49"/>
    <mergeCell ref="L47:L49"/>
    <mergeCell ref="L45:L46"/>
    <mergeCell ref="G45:G46"/>
    <mergeCell ref="K45:K46"/>
    <mergeCell ref="G30:G33"/>
    <mergeCell ref="G34:G42"/>
    <mergeCell ref="K34:K42"/>
    <mergeCell ref="L34:L42"/>
    <mergeCell ref="G43:G44"/>
    <mergeCell ref="K43:K44"/>
    <mergeCell ref="L43:L44"/>
  </mergeCells>
  <dataValidations count="1">
    <dataValidation type="list" allowBlank="1" showInputMessage="1" showErrorMessage="1" sqref="D86:D89 D99:D106 D110:D137">
      <formula1>$A$1:$A$4</formula1>
    </dataValidation>
  </dataValidations>
  <pageMargins left="0.7" right="0.7" top="0.75" bottom="0.75" header="0.3" footer="0.3"/>
  <pageSetup orientation="portrait" r:id="rId1"/>
  <drawing r:id="rId2"/>
  <legacyDrawing r:id="rId3"/>
  <extLst>
    <ext xmlns:x14="http://schemas.microsoft.com/office/spreadsheetml/2009/9/main" uri="{CCE6A557-97BC-4b89-ADB6-D9C93CAAB3DF}">
      <x14:dataValidations xmlns:xm="http://schemas.microsoft.com/office/excel/2006/main" count="6">
        <x14:dataValidation type="list" allowBlank="1" showInputMessage="1" showErrorMessage="1">
          <x14:formula1>
            <xm:f>'C:\Users\Soporte\Downloads\[Instrumento de Planeación 2018-CapturaSGR (1).xlsx]listas'!#REF!</xm:f>
          </x14:formula1>
          <xm:sqref>B62:B65 B253:C255</xm:sqref>
        </x14:dataValidation>
        <x14:dataValidation type="list" allowBlank="1" showInputMessage="1" showErrorMessage="1">
          <x14:formula1>
            <xm:f>'C:\Users\Soporte\Downloads\[Instrumento de Planeación 2018-Captura.xlsx]listas'!#REF!</xm:f>
          </x14:formula1>
          <xm:sqref>D62:D65 F6:F9 D253:D255</xm:sqref>
        </x14:dataValidation>
        <x14:dataValidation type="list" allowBlank="1" showInputMessage="1" showErrorMessage="1">
          <x14:formula1>
            <xm:f>'C:\Users\Nicolas Casallas\Downloads\[Plan de Acción Institucional 2019 Final (2).xlsx]listas'!#REF!</xm:f>
          </x14:formula1>
          <xm:sqref>F10:F42 F47:F49 B57:F61 F190:F252 C250:C252 B246:B252 B6:E49 F62:F185 B173:C174 B175:B234 C175:C177 D173:E177 B66:E85 B138:E172 C178:E185 C190:E234</xm:sqref>
        </x14:dataValidation>
        <x14:dataValidation type="list" allowBlank="1" showInputMessage="1" showErrorMessage="1">
          <x14:formula1>
            <xm:f>'C:\Users\eortiz\Documents\Andrés Ortiz\PLAN DE ACCION\2019\Dependencias\[Instrumento de Planeación 2019 -Captura (mejora continua).xlsx]listas'!#REF!</xm:f>
          </x14:formula1>
          <xm:sqref>F43:F46</xm:sqref>
        </x14:dataValidation>
        <x14:dataValidation type="list" allowBlank="1" showInputMessage="1" showErrorMessage="1">
          <x14:formula1>
            <xm:f>'C:\Users\eortiz\Documents\Andrés Ortiz\PLAN DE ACCION\2019\Dependencias\[Plan de Accion 2019 Riesgos ok.xlsx]listas'!#REF!</xm:f>
          </x14:formula1>
          <xm:sqref>B86:C97 E86:E97 D86:D98</xm:sqref>
        </x14:dataValidation>
        <x14:dataValidation type="list" allowBlank="1" showInputMessage="1" showErrorMessage="1">
          <x14:formula1>
            <xm:f>'C:\Users\eortiz\Documents\Andrés Ortiz\PLAN DE ACCION\2019\Dependencias\[Instrumento de Planeación 2019 - Subdirección de Gestión Humana ok.xlsx]listas'!#REF!</xm:f>
          </x14:formula1>
          <xm:sqref>B235:E245 C246:E249 D250:E252</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Q456"/>
  <sheetViews>
    <sheetView showGridLines="0" zoomScaleNormal="100" workbookViewId="0">
      <selection activeCell="E22" sqref="E22"/>
    </sheetView>
  </sheetViews>
  <sheetFormatPr baseColWidth="10" defaultRowHeight="15" x14ac:dyDescent="0.25"/>
  <cols>
    <col min="1" max="1" width="47.125" customWidth="1"/>
    <col min="2" max="2" width="18.375" customWidth="1"/>
    <col min="3" max="3" width="11.75" customWidth="1"/>
    <col min="4" max="4" width="12.125" customWidth="1"/>
    <col min="5" max="5" width="12.875" customWidth="1"/>
    <col min="6" max="6" width="38.75" customWidth="1"/>
    <col min="7" max="7" width="23.125" customWidth="1"/>
    <col min="8" max="8" width="44.375" customWidth="1"/>
    <col min="9" max="9" width="23.125" bestFit="1" customWidth="1"/>
  </cols>
  <sheetData>
    <row r="1" spans="1:5" x14ac:dyDescent="0.25">
      <c r="A1" s="286" t="s">
        <v>621</v>
      </c>
    </row>
    <row r="3" spans="1:5" ht="30" x14ac:dyDescent="0.25">
      <c r="A3" s="294" t="s">
        <v>613</v>
      </c>
      <c r="B3" s="323" t="s">
        <v>614</v>
      </c>
    </row>
    <row r="4" spans="1:5" x14ac:dyDescent="0.25">
      <c r="A4" s="295" t="s">
        <v>24</v>
      </c>
      <c r="B4" s="322">
        <v>1</v>
      </c>
      <c r="D4" s="277"/>
      <c r="E4" s="278"/>
    </row>
    <row r="5" spans="1:5" x14ac:dyDescent="0.25">
      <c r="A5" s="295" t="s">
        <v>53</v>
      </c>
      <c r="B5" s="322">
        <v>0.9</v>
      </c>
      <c r="D5" s="277"/>
      <c r="E5" s="278"/>
    </row>
    <row r="6" spans="1:5" x14ac:dyDescent="0.25">
      <c r="A6" s="295" t="s">
        <v>59</v>
      </c>
      <c r="B6" s="322">
        <v>0.8214285714285714</v>
      </c>
      <c r="D6" s="277"/>
      <c r="E6" s="278"/>
    </row>
    <row r="7" spans="1:5" x14ac:dyDescent="0.25">
      <c r="A7" s="295" t="s">
        <v>115</v>
      </c>
      <c r="B7" s="322">
        <v>0.875</v>
      </c>
      <c r="D7" s="277"/>
      <c r="E7" s="278"/>
    </row>
    <row r="8" spans="1:5" x14ac:dyDescent="0.25">
      <c r="A8" s="295" t="s">
        <v>131</v>
      </c>
      <c r="B8" s="322">
        <v>0.86312500000000014</v>
      </c>
      <c r="D8" s="277"/>
      <c r="E8" s="278"/>
    </row>
    <row r="9" spans="1:5" x14ac:dyDescent="0.25">
      <c r="A9" s="295" t="s">
        <v>176</v>
      </c>
      <c r="B9" s="322">
        <v>0.56615384615384623</v>
      </c>
      <c r="D9" s="277"/>
      <c r="E9" s="278"/>
    </row>
    <row r="10" spans="1:5" x14ac:dyDescent="0.25">
      <c r="A10" s="295" t="s">
        <v>183</v>
      </c>
      <c r="B10" s="322">
        <v>0.79999999999999993</v>
      </c>
      <c r="D10" s="277"/>
      <c r="E10" s="278"/>
    </row>
    <row r="11" spans="1:5" x14ac:dyDescent="0.25">
      <c r="A11" s="295" t="s">
        <v>186</v>
      </c>
      <c r="B11" s="322">
        <v>0.56291666666666662</v>
      </c>
      <c r="D11" s="277"/>
      <c r="E11" s="278"/>
    </row>
    <row r="12" spans="1:5" x14ac:dyDescent="0.25">
      <c r="A12" s="295" t="s">
        <v>271</v>
      </c>
      <c r="B12" s="322">
        <v>0.76000000000000012</v>
      </c>
      <c r="D12" s="277"/>
      <c r="E12" s="278"/>
    </row>
    <row r="13" spans="1:5" s="285" customFormat="1" ht="47.25" customHeight="1" x14ac:dyDescent="0.25">
      <c r="A13" s="284" t="s">
        <v>645</v>
      </c>
      <c r="B13" s="283">
        <f>AVERAGE(B4:B12)</f>
        <v>0.79429156491656494</v>
      </c>
      <c r="D13" s="277"/>
      <c r="E13" s="278"/>
    </row>
    <row r="14" spans="1:5" x14ac:dyDescent="0.25">
      <c r="D14" s="277"/>
      <c r="E14" s="278"/>
    </row>
    <row r="15" spans="1:5" x14ac:dyDescent="0.25">
      <c r="D15" s="277"/>
      <c r="E15" s="278"/>
    </row>
    <row r="16" spans="1:5" x14ac:dyDescent="0.25">
      <c r="D16" s="277"/>
      <c r="E16" s="278"/>
    </row>
    <row r="17" spans="1:17" ht="45" x14ac:dyDescent="0.25">
      <c r="A17" s="293" t="s">
        <v>613</v>
      </c>
      <c r="B17" s="323" t="s">
        <v>619</v>
      </c>
      <c r="D17" s="277"/>
      <c r="E17" s="278"/>
    </row>
    <row r="18" spans="1:17" x14ac:dyDescent="0.25">
      <c r="A18" s="295" t="s">
        <v>24</v>
      </c>
      <c r="B18" s="310">
        <v>0.5</v>
      </c>
      <c r="D18" s="277"/>
      <c r="E18" s="278"/>
    </row>
    <row r="19" spans="1:17" x14ac:dyDescent="0.25">
      <c r="A19" s="295" t="s">
        <v>53</v>
      </c>
      <c r="B19" s="310">
        <v>0.48250000000000004</v>
      </c>
      <c r="D19" s="277"/>
      <c r="E19" s="278"/>
    </row>
    <row r="20" spans="1:17" x14ac:dyDescent="0.25">
      <c r="A20" s="295" t="s">
        <v>59</v>
      </c>
      <c r="B20" s="310">
        <v>0.71465000000000001</v>
      </c>
    </row>
    <row r="21" spans="1:17" x14ac:dyDescent="0.25">
      <c r="A21" s="295" t="s">
        <v>115</v>
      </c>
      <c r="B21" s="310">
        <v>0.68625000000000003</v>
      </c>
    </row>
    <row r="22" spans="1:17" x14ac:dyDescent="0.25">
      <c r="A22" s="295" t="s">
        <v>131</v>
      </c>
      <c r="B22" s="310">
        <v>0.47734375000000012</v>
      </c>
    </row>
    <row r="23" spans="1:17" x14ac:dyDescent="0.25">
      <c r="A23" s="295" t="s">
        <v>176</v>
      </c>
      <c r="B23" s="310">
        <v>0.45800000000000007</v>
      </c>
    </row>
    <row r="24" spans="1:17" x14ac:dyDescent="0.25">
      <c r="A24" s="295" t="s">
        <v>183</v>
      </c>
      <c r="B24" s="310">
        <v>0.68166000000000004</v>
      </c>
    </row>
    <row r="25" spans="1:17" x14ac:dyDescent="0.25">
      <c r="A25" s="295" t="s">
        <v>186</v>
      </c>
      <c r="B25" s="310">
        <v>0.51562499999999989</v>
      </c>
    </row>
    <row r="26" spans="1:17" x14ac:dyDescent="0.25">
      <c r="A26" s="295" t="s">
        <v>271</v>
      </c>
      <c r="B26" s="310">
        <v>0.42</v>
      </c>
    </row>
    <row r="27" spans="1:17" s="285" customFormat="1" ht="39" customHeight="1" x14ac:dyDescent="0.25">
      <c r="A27" s="284" t="s">
        <v>620</v>
      </c>
      <c r="B27" s="283">
        <f>AVERAGE(B18:B26)</f>
        <v>0.54844763888888892</v>
      </c>
      <c r="D27"/>
      <c r="E27"/>
    </row>
    <row r="28" spans="1:17" s="570" customFormat="1" x14ac:dyDescent="0.25">
      <c r="Q28" s="278"/>
    </row>
    <row r="29" spans="1:17" s="285" customFormat="1" ht="15.75" customHeight="1" x14ac:dyDescent="0.25">
      <c r="A29" s="284"/>
      <c r="B29" s="571"/>
      <c r="F29"/>
      <c r="G29"/>
      <c r="H29"/>
      <c r="I29"/>
    </row>
    <row r="30" spans="1:17" x14ac:dyDescent="0.25">
      <c r="A30" s="294" t="s">
        <v>659</v>
      </c>
      <c r="B30" s="290" t="s">
        <v>660</v>
      </c>
    </row>
    <row r="31" spans="1:17" x14ac:dyDescent="0.25">
      <c r="A31" s="290" t="s">
        <v>622</v>
      </c>
      <c r="B31" s="296">
        <v>61</v>
      </c>
      <c r="C31" s="317"/>
    </row>
    <row r="32" spans="1:17" x14ac:dyDescent="0.25">
      <c r="A32" s="290" t="s">
        <v>623</v>
      </c>
      <c r="B32" s="296">
        <v>9</v>
      </c>
      <c r="C32" s="317"/>
    </row>
    <row r="33" spans="1:5" x14ac:dyDescent="0.25">
      <c r="A33" s="290" t="s">
        <v>1317</v>
      </c>
      <c r="B33" s="296">
        <v>2</v>
      </c>
    </row>
    <row r="34" spans="1:5" x14ac:dyDescent="0.25">
      <c r="A34" s="290" t="s">
        <v>625</v>
      </c>
      <c r="B34" s="296">
        <v>72</v>
      </c>
    </row>
    <row r="38" spans="1:5" x14ac:dyDescent="0.25">
      <c r="A38" s="276" t="s">
        <v>624</v>
      </c>
      <c r="B38" s="276" t="s">
        <v>626</v>
      </c>
    </row>
    <row r="39" spans="1:5" x14ac:dyDescent="0.25">
      <c r="A39" s="294" t="s">
        <v>637</v>
      </c>
      <c r="B39" s="290" t="s">
        <v>622</v>
      </c>
      <c r="C39" s="290" t="s">
        <v>623</v>
      </c>
      <c r="D39" s="290" t="s">
        <v>1317</v>
      </c>
      <c r="E39" s="290" t="s">
        <v>625</v>
      </c>
    </row>
    <row r="40" spans="1:5" x14ac:dyDescent="0.25">
      <c r="A40" s="295" t="s">
        <v>24</v>
      </c>
      <c r="B40" s="296">
        <v>6</v>
      </c>
      <c r="C40" s="296"/>
      <c r="D40" s="296"/>
      <c r="E40" s="296">
        <v>6</v>
      </c>
    </row>
    <row r="41" spans="1:5" x14ac:dyDescent="0.25">
      <c r="A41" s="295" t="s">
        <v>53</v>
      </c>
      <c r="B41" s="296">
        <v>1</v>
      </c>
      <c r="C41" s="296"/>
      <c r="D41" s="296"/>
      <c r="E41" s="296">
        <v>1</v>
      </c>
    </row>
    <row r="42" spans="1:5" x14ac:dyDescent="0.25">
      <c r="A42" s="295" t="s">
        <v>59</v>
      </c>
      <c r="B42" s="296">
        <v>14</v>
      </c>
      <c r="C42" s="296"/>
      <c r="D42" s="296">
        <v>2</v>
      </c>
      <c r="E42" s="296">
        <v>16</v>
      </c>
    </row>
    <row r="43" spans="1:5" x14ac:dyDescent="0.25">
      <c r="A43" s="295" t="s">
        <v>115</v>
      </c>
      <c r="B43" s="296">
        <v>4</v>
      </c>
      <c r="C43" s="296"/>
      <c r="D43" s="296"/>
      <c r="E43" s="296">
        <v>4</v>
      </c>
    </row>
    <row r="44" spans="1:5" x14ac:dyDescent="0.25">
      <c r="A44" s="295" t="s">
        <v>131</v>
      </c>
      <c r="B44" s="296">
        <v>15</v>
      </c>
      <c r="C44" s="296">
        <v>1</v>
      </c>
      <c r="D44" s="296"/>
      <c r="E44" s="296">
        <v>16</v>
      </c>
    </row>
    <row r="45" spans="1:5" x14ac:dyDescent="0.25">
      <c r="A45" s="295" t="s">
        <v>176</v>
      </c>
      <c r="B45" s="296">
        <v>3</v>
      </c>
      <c r="C45" s="296">
        <v>2</v>
      </c>
      <c r="D45" s="296"/>
      <c r="E45" s="296">
        <v>5</v>
      </c>
    </row>
    <row r="46" spans="1:5" x14ac:dyDescent="0.25">
      <c r="A46" s="295" t="s">
        <v>183</v>
      </c>
      <c r="B46" s="296">
        <v>3</v>
      </c>
      <c r="C46" s="296"/>
      <c r="D46" s="296"/>
      <c r="E46" s="296">
        <v>3</v>
      </c>
    </row>
    <row r="47" spans="1:5" x14ac:dyDescent="0.25">
      <c r="A47" s="295" t="s">
        <v>186</v>
      </c>
      <c r="B47" s="296">
        <v>11</v>
      </c>
      <c r="C47" s="296">
        <v>5</v>
      </c>
      <c r="D47" s="296"/>
      <c r="E47" s="296">
        <v>16</v>
      </c>
    </row>
    <row r="48" spans="1:5" x14ac:dyDescent="0.25">
      <c r="A48" s="295" t="s">
        <v>271</v>
      </c>
      <c r="B48" s="296">
        <v>4</v>
      </c>
      <c r="C48" s="296">
        <v>1</v>
      </c>
      <c r="D48" s="296"/>
      <c r="E48" s="296">
        <v>5</v>
      </c>
    </row>
    <row r="49" spans="1:10" x14ac:dyDescent="0.25">
      <c r="A49" s="290" t="s">
        <v>625</v>
      </c>
      <c r="B49" s="296">
        <v>61</v>
      </c>
      <c r="C49" s="296">
        <v>9</v>
      </c>
      <c r="D49" s="296">
        <v>2</v>
      </c>
      <c r="E49" s="296">
        <v>72</v>
      </c>
    </row>
    <row r="53" spans="1:10" x14ac:dyDescent="0.25">
      <c r="D53" t="s">
        <v>1313</v>
      </c>
    </row>
    <row r="54" spans="1:10" ht="45" x14ac:dyDescent="0.25">
      <c r="A54" s="293" t="s">
        <v>637</v>
      </c>
      <c r="B54" s="329" t="s">
        <v>661</v>
      </c>
      <c r="C54" s="324" t="s">
        <v>657</v>
      </c>
      <c r="D54" s="330" t="s">
        <v>658</v>
      </c>
    </row>
    <row r="55" spans="1:10" x14ac:dyDescent="0.25">
      <c r="A55" s="552" t="s">
        <v>24</v>
      </c>
      <c r="B55" s="555">
        <v>1</v>
      </c>
      <c r="C55" s="556">
        <v>1</v>
      </c>
      <c r="D55" s="557">
        <v>1</v>
      </c>
      <c r="I55" s="345"/>
      <c r="J55" s="345"/>
    </row>
    <row r="56" spans="1:10" x14ac:dyDescent="0.25">
      <c r="A56" s="553" t="s">
        <v>53</v>
      </c>
      <c r="B56" s="558">
        <v>1</v>
      </c>
      <c r="C56" s="559">
        <v>0.9</v>
      </c>
      <c r="D56" s="560">
        <v>0.9</v>
      </c>
      <c r="I56" s="345"/>
      <c r="J56" s="345"/>
    </row>
    <row r="57" spans="1:10" x14ac:dyDescent="0.25">
      <c r="A57" s="553" t="s">
        <v>59</v>
      </c>
      <c r="B57" s="558">
        <v>0.875</v>
      </c>
      <c r="C57" s="559">
        <v>0.8214285714285714</v>
      </c>
      <c r="D57" s="560">
        <v>0.93877551020408156</v>
      </c>
      <c r="I57" s="345"/>
      <c r="J57" s="345"/>
    </row>
    <row r="58" spans="1:10" x14ac:dyDescent="0.25">
      <c r="A58" s="553" t="s">
        <v>115</v>
      </c>
      <c r="B58" s="558">
        <v>1</v>
      </c>
      <c r="C58" s="559">
        <v>0.875</v>
      </c>
      <c r="D58" s="560">
        <v>0.875</v>
      </c>
      <c r="I58" s="345"/>
      <c r="J58" s="345"/>
    </row>
    <row r="59" spans="1:10" x14ac:dyDescent="0.25">
      <c r="A59" s="553" t="s">
        <v>131</v>
      </c>
      <c r="B59" s="558">
        <v>0.9375</v>
      </c>
      <c r="C59" s="559">
        <v>0.86312500000000014</v>
      </c>
      <c r="D59" s="560">
        <v>0.92066666666666686</v>
      </c>
      <c r="I59" s="345"/>
      <c r="J59" s="345"/>
    </row>
    <row r="60" spans="1:10" x14ac:dyDescent="0.25">
      <c r="A60" s="553" t="s">
        <v>176</v>
      </c>
      <c r="B60" s="558">
        <v>1</v>
      </c>
      <c r="C60" s="559">
        <v>0.56615384615384623</v>
      </c>
      <c r="D60" s="560">
        <v>0.56615384615384623</v>
      </c>
      <c r="I60" s="345"/>
      <c r="J60" s="345"/>
    </row>
    <row r="61" spans="1:10" x14ac:dyDescent="0.25">
      <c r="A61" s="553" t="s">
        <v>183</v>
      </c>
      <c r="B61" s="558">
        <v>1</v>
      </c>
      <c r="C61" s="559">
        <v>0.79999999999999993</v>
      </c>
      <c r="D61" s="560">
        <v>0.79999999999999993</v>
      </c>
      <c r="I61" s="345"/>
      <c r="J61" s="345"/>
    </row>
    <row r="62" spans="1:10" x14ac:dyDescent="0.25">
      <c r="A62" s="553" t="s">
        <v>186</v>
      </c>
      <c r="B62" s="558">
        <v>0.9375</v>
      </c>
      <c r="C62" s="559">
        <v>0.56291666666666662</v>
      </c>
      <c r="D62" s="560">
        <v>0.60044444444444445</v>
      </c>
      <c r="I62" s="345"/>
      <c r="J62" s="344"/>
    </row>
    <row r="63" spans="1:10" x14ac:dyDescent="0.25">
      <c r="A63" s="554" t="s">
        <v>271</v>
      </c>
      <c r="B63" s="561">
        <v>1</v>
      </c>
      <c r="C63" s="562">
        <v>0.76000000000000012</v>
      </c>
      <c r="D63" s="563">
        <v>0.76000000000000012</v>
      </c>
      <c r="I63" s="345"/>
      <c r="J63" s="344"/>
    </row>
    <row r="64" spans="1:10" ht="54" customHeight="1" x14ac:dyDescent="0.25">
      <c r="A64" s="284" t="s">
        <v>646</v>
      </c>
      <c r="B64" s="328">
        <f>AVERAGE(D55:D63)</f>
        <v>0.81789338527433764</v>
      </c>
    </row>
    <row r="65" spans="1:5" x14ac:dyDescent="0.25">
      <c r="B65" s="282"/>
      <c r="C65" s="282"/>
    </row>
    <row r="67" spans="1:5" x14ac:dyDescent="0.25">
      <c r="A67" s="297" t="s">
        <v>637</v>
      </c>
      <c r="B67" s="300" t="s">
        <v>640</v>
      </c>
    </row>
    <row r="68" spans="1:5" ht="61.5" customHeight="1" x14ac:dyDescent="0.25">
      <c r="A68" s="298" t="s">
        <v>391</v>
      </c>
      <c r="B68" s="301">
        <v>8.927701465201468E-2</v>
      </c>
    </row>
    <row r="69" spans="1:5" ht="61.5" customHeight="1" x14ac:dyDescent="0.25">
      <c r="A69" s="299" t="s">
        <v>388</v>
      </c>
      <c r="B69" s="302">
        <v>0.11496938775510206</v>
      </c>
    </row>
    <row r="71" spans="1:5" ht="15.75" thickBot="1" x14ac:dyDescent="0.3"/>
    <row r="72" spans="1:5" ht="15.75" thickBot="1" x14ac:dyDescent="0.3">
      <c r="A72" s="306" t="s">
        <v>8</v>
      </c>
      <c r="B72" s="307" t="s">
        <v>401</v>
      </c>
      <c r="C72" s="304" t="s">
        <v>662</v>
      </c>
      <c r="D72" s="304" t="s">
        <v>663</v>
      </c>
      <c r="E72" s="608" t="s">
        <v>894</v>
      </c>
    </row>
    <row r="73" spans="1:5" ht="45.75" thickBot="1" x14ac:dyDescent="0.3">
      <c r="A73" s="305" t="s">
        <v>365</v>
      </c>
      <c r="B73" s="304" t="s">
        <v>639</v>
      </c>
      <c r="C73" s="567">
        <v>2</v>
      </c>
      <c r="D73" s="567">
        <v>2</v>
      </c>
      <c r="E73" s="577">
        <f>+GETPIVOTDATA("AVANCE 2° TRI",$A$72,"Nombre del producto"," Desarrollo académico de socialización y prevención disciplinaria a través del proceso de inducción y reinducción Coordinado por la OCDI","Tipo de resultado","EXCELENTE")/GETPIVOTDATA("META 2° TRIM",$A$72,"Nombre del producto"," Desarrollo académico de socialización y prevención disciplinaria a través del proceso de inducción y reinducción Coordinado por la OCDI","Tipo de resultado","EXCELENTE")</f>
        <v>1</v>
      </c>
    </row>
    <row r="74" spans="1:5" ht="45.75" thickBot="1" x14ac:dyDescent="0.3">
      <c r="A74" s="305" t="s">
        <v>250</v>
      </c>
      <c r="B74" s="304" t="s">
        <v>638</v>
      </c>
      <c r="C74" s="567">
        <v>60</v>
      </c>
      <c r="D74" s="567">
        <v>0</v>
      </c>
      <c r="E74" s="577">
        <f>+GETPIVOTDATA("AVANCE 2° TRI",$A$72,"Nombre del producto","Aprobación de Estudios, Diseños y Estudios Previos para la adecuación y ampliación de la Estación de Bomberos de Marichuela - B10.","Tipo de resultado","MALO")/GETPIVOTDATA("META 2° TRIM",$A$72,"Nombre del producto","Aprobación de Estudios, Diseños y Estudios Previos para la adecuación y ampliación de la Estación de Bomberos de Marichuela - B10.","Tipo de resultado","MALO")</f>
        <v>0</v>
      </c>
    </row>
    <row r="75" spans="1:5" ht="45.75" thickBot="1" x14ac:dyDescent="0.3">
      <c r="A75" s="305" t="s">
        <v>225</v>
      </c>
      <c r="B75" s="304" t="s">
        <v>639</v>
      </c>
      <c r="C75" s="567">
        <v>2</v>
      </c>
      <c r="D75" s="567">
        <v>2</v>
      </c>
      <c r="E75" s="577">
        <f>+GETPIVOTDATA("AVANCE 2° TRI",$A$72,"Nombre del producto","Capacitar en  el marco normativo contable para entidades de Gobierno (NMNCEG) aplicables a la UAE Cuerpo Oficial de Bomberos.","Tipo de resultado","EXCELENTE")/GETPIVOTDATA("META 2° TRIM",$A$72,"Nombre del producto","Capacitar en  el marco normativo contable para entidades de Gobierno (NMNCEG) aplicables a la UAE Cuerpo Oficial de Bomberos.","Tipo de resultado","EXCELENTE")</f>
        <v>1</v>
      </c>
    </row>
    <row r="76" spans="1:5" ht="30.75" thickBot="1" x14ac:dyDescent="0.3">
      <c r="A76" s="305" t="s">
        <v>363</v>
      </c>
      <c r="B76" s="304" t="s">
        <v>639</v>
      </c>
      <c r="C76" s="303">
        <v>0.1</v>
      </c>
      <c r="D76" s="303">
        <v>0.1</v>
      </c>
      <c r="E76" s="577">
        <f>+GETPIVOTDATA("AVANCE 2° TRI",$A$72,"Nombre del producto","Dar cumplimiento a la Política de Cero Papel en la Entidad, de conformidad con la Resolución 730 de 2013.","Tipo de resultado","EXCELENTE")/GETPIVOTDATA("META 2° TRIM",$A$72,"Nombre del producto","Dar cumplimiento a la Política de Cero Papel en la Entidad, de conformidad con la Resolución 730 de 2013.","Tipo de resultado","EXCELENTE")</f>
        <v>1</v>
      </c>
    </row>
    <row r="77" spans="1:5" ht="45.75" thickBot="1" x14ac:dyDescent="0.3">
      <c r="A77" s="305" t="s">
        <v>369</v>
      </c>
      <c r="B77" s="304" t="s">
        <v>639</v>
      </c>
      <c r="C77" s="567">
        <v>50</v>
      </c>
      <c r="D77" s="567">
        <v>50</v>
      </c>
      <c r="E77" s="577">
        <f>+GETPIVOTDATA("AVANCE 2° TRI",$A$72,"Nombre del producto","Desarrollar un programa que garantice el 100% del mantenimiento de la infraestructura física de las Estaciones de Bomberos y el Edificio Comando","Tipo de resultado","EXCELENTE")/GETPIVOTDATA("META 2° TRIM",$A$72,"Nombre del producto","Desarrollar un programa que garantice el 100% del mantenimiento de la infraestructura física de las Estaciones de Bomberos y el Edificio Comando","Tipo de resultado","EXCELENTE")</f>
        <v>1</v>
      </c>
    </row>
    <row r="78" spans="1:5" ht="30.75" thickBot="1" x14ac:dyDescent="0.3">
      <c r="A78" s="305" t="s">
        <v>266</v>
      </c>
      <c r="B78" s="304" t="s">
        <v>639</v>
      </c>
      <c r="C78" s="567">
        <v>40</v>
      </c>
      <c r="D78" s="567">
        <v>40</v>
      </c>
      <c r="E78" s="577">
        <f>+GETPIVOTDATA("AVANCE 2° TRI",$A$72,"Nombre del producto","Elaboración de los estudios y diseños para la adecuación de la Estación de Bomberos de Ferias - B7.","Tipo de resultado","EXCELENTE")/GETPIVOTDATA("META 2° TRIM",$A$72,"Nombre del producto","Elaboración de los estudios y diseños para la adecuación de la Estación de Bomberos de Ferias - B7.","Tipo de resultado","EXCELENTE")</f>
        <v>1</v>
      </c>
    </row>
    <row r="79" spans="1:5" ht="30.75" thickBot="1" x14ac:dyDescent="0.3">
      <c r="A79" s="305" t="s">
        <v>256</v>
      </c>
      <c r="B79" s="304" t="s">
        <v>638</v>
      </c>
      <c r="C79" s="567">
        <v>60</v>
      </c>
      <c r="D79" s="567">
        <v>10</v>
      </c>
      <c r="E79" s="577">
        <f>+GETPIVOTDATA("AVANCE 2° TRI",$A$72,"Nombre del producto","Gestionar la adquisición de un (1) predio para la implementación de una (1) estación de Bomberos","Tipo de resultado","MALO")/GETPIVOTDATA("META 2° TRIM",$A$72,"Nombre del producto","Gestionar la adquisición de un (1) predio para la implementación de una (1) estación de Bomberos","Tipo de resultado","MALO")</f>
        <v>0.16666666666666666</v>
      </c>
    </row>
    <row r="80" spans="1:5" ht="45.75" thickBot="1" x14ac:dyDescent="0.3">
      <c r="A80" s="305" t="s">
        <v>240</v>
      </c>
      <c r="B80" s="304" t="s">
        <v>638</v>
      </c>
      <c r="C80" s="567">
        <v>50</v>
      </c>
      <c r="D80" s="567">
        <v>0</v>
      </c>
      <c r="E80" s="577">
        <f>+GETPIVOTDATA("AVANCE 2° TRI",$A$72,"Nombre del producto","Gestionar la adquisición de un predio para la elaboración de estudios, diseños y construcción de una (1) Escuela de Formación Bomberil y una (1) estación de Bomberos.","Tipo de resultado","MALO")/GETPIVOTDATA("META 2° TRIM",$A$72,"Nombre del producto","Gestionar la adquisición de un predio para la elaboración de estudios, diseños y construcción de una (1) Escuela de Formación Bomberil y una (1) estación de Bomberos.","Tipo de resultado","MALO")</f>
        <v>0</v>
      </c>
    </row>
    <row r="81" spans="1:5" ht="45.75" thickBot="1" x14ac:dyDescent="0.3">
      <c r="A81" s="305" t="s">
        <v>307</v>
      </c>
      <c r="B81" s="304" t="s">
        <v>639</v>
      </c>
      <c r="C81" s="303">
        <v>0.5</v>
      </c>
      <c r="D81" s="303">
        <v>0.5</v>
      </c>
      <c r="E81" s="577">
        <f>+GETPIVOTDATA("AVANCE 2° TRI",$A$72,"Nombre del producto","Identificación de nuevos requerimientos en el Sistema de Información Misional - Sub-módulo Revisiones Técnicas y Auto revisiones","Tipo de resultado","EXCELENTE")/GETPIVOTDATA("META 2° TRIM",$A$72,"Nombre del producto","Identificación de nuevos requerimientos en el Sistema de Información Misional - Sub-módulo Revisiones Técnicas y Auto revisiones","Tipo de resultado","EXCELENTE")</f>
        <v>1</v>
      </c>
    </row>
    <row r="82" spans="1:5" ht="45.75" thickBot="1" x14ac:dyDescent="0.3">
      <c r="A82" s="305" t="s">
        <v>261</v>
      </c>
      <c r="B82" s="304" t="s">
        <v>638</v>
      </c>
      <c r="C82" s="567">
        <v>50</v>
      </c>
      <c r="D82" s="567">
        <v>0</v>
      </c>
      <c r="E82" s="577">
        <f>+GETPIVOTDATA("AVANCE 2° TRI",$A$72,"Nombre del producto","Implementación de (1) estación satélite forestal de bomberos sujeta al proyecto del sendero ambiental en los cerros orientales)","Tipo de resultado","MALO")/GETPIVOTDATA("META 2° TRIM",$A$72,"Nombre del producto","Implementación de (1) estación satélite forestal de bomberos sujeta al proyecto del sendero ambiental en los cerros orientales)","Tipo de resultado","MALO")</f>
        <v>0</v>
      </c>
    </row>
    <row r="83" spans="1:5" ht="15.75" thickBot="1" x14ac:dyDescent="0.3">
      <c r="A83" s="305" t="s">
        <v>25</v>
      </c>
      <c r="B83" s="304" t="s">
        <v>639</v>
      </c>
      <c r="C83" s="567">
        <v>6</v>
      </c>
      <c r="D83" s="567">
        <v>6</v>
      </c>
      <c r="E83" s="577">
        <f>+GETPIVOTDATA("AVANCE 2° TRI",$A$72,"Nombre del producto","Revista virtual: ""Bomberos Hoy el Magazzine"".","Tipo de resultado","EXCELENTE")/GETPIVOTDATA("META 2° TRIM",$A$72,"Nombre del producto","Revista virtual: ""Bomberos Hoy el Magazzine"".","Tipo de resultado","EXCELENTE")</f>
        <v>1</v>
      </c>
    </row>
    <row r="84" spans="1:5" ht="30.75" thickBot="1" x14ac:dyDescent="0.3">
      <c r="A84" s="305" t="s">
        <v>331</v>
      </c>
      <c r="B84" s="304" t="s">
        <v>639</v>
      </c>
      <c r="C84" s="567">
        <v>2</v>
      </c>
      <c r="D84" s="567">
        <v>2</v>
      </c>
      <c r="E84" s="577">
        <f>+GETPIVOTDATA("AVANCE 2° TRI",$A$72,"Nombre del producto","Sistematización del procedimiento de capacitación a brigadas contra incendio empresarial","Tipo de resultado","EXCELENTE")/GETPIVOTDATA("META 2° TRIM",$A$72,"Nombre del producto","Sistematización del procedimiento de capacitación a brigadas contra incendio empresarial","Tipo de resultado","EXCELENTE")</f>
        <v>1</v>
      </c>
    </row>
    <row r="85" spans="1:5" ht="45.75" thickBot="1" x14ac:dyDescent="0.3">
      <c r="A85" s="305" t="s">
        <v>211</v>
      </c>
      <c r="B85" s="304" t="s">
        <v>638</v>
      </c>
      <c r="C85" s="303">
        <v>1</v>
      </c>
      <c r="D85" s="303">
        <v>0.5</v>
      </c>
      <c r="E85" s="577">
        <f>+GETPIVOTDATA("AVANCE 2° TRI",$A$72,"Nombre del producto","Socializar a los funcionarios de la Línea 195, sobre la información de los trámites y servicios con los que cuenta la UAECOB.","Tipo de resultado","MALO")/GETPIVOTDATA("META 2° TRIM",$A$72,"Nombre del producto","Socializar a los funcionarios de la Línea 195, sobre la información de los trámites y servicios con los que cuenta la UAECOB.","Tipo de resultado","MALO")</f>
        <v>0.5</v>
      </c>
    </row>
    <row r="86" spans="1:5" ht="15.75" thickBot="1" x14ac:dyDescent="0.3">
      <c r="A86" s="305" t="s">
        <v>665</v>
      </c>
      <c r="B86" s="304" t="s">
        <v>639</v>
      </c>
      <c r="C86" s="567">
        <v>25</v>
      </c>
      <c r="D86" s="567">
        <v>25</v>
      </c>
      <c r="E86" s="577">
        <f>+GETPIVOTDATA("AVANCE 2° TRI",$A$72,"Nombre del producto","Noticiero ""Bomberos Hoy""","Tipo de resultado","EXCELENTE")/GETPIVOTDATA("META 2° TRIM",$A$72,"Nombre del producto","Noticiero ""Bomberos Hoy""","Tipo de resultado","EXCELENTE")</f>
        <v>1</v>
      </c>
    </row>
    <row r="87" spans="1:5" ht="15.75" thickBot="1" x14ac:dyDescent="0.3">
      <c r="A87" s="305" t="s">
        <v>668</v>
      </c>
      <c r="B87" s="304" t="s">
        <v>639</v>
      </c>
      <c r="C87" s="567">
        <v>25</v>
      </c>
      <c r="D87" s="567">
        <v>25</v>
      </c>
      <c r="E87" s="577">
        <f>+GETPIVOTDATA("AVANCE 2° TRI",$A$72,"Nombre del producto","Periódico virtual ""El Hidrante!","Tipo de resultado","EXCELENTE")/GETPIVOTDATA("META 2° TRIM",$A$72,"Nombre del producto","Periódico virtual ""El Hidrante!","Tipo de resultado","EXCELENTE")</f>
        <v>1</v>
      </c>
    </row>
    <row r="88" spans="1:5" ht="15.75" thickBot="1" x14ac:dyDescent="0.3">
      <c r="A88" s="305" t="s">
        <v>671</v>
      </c>
      <c r="B88" s="304" t="s">
        <v>639</v>
      </c>
      <c r="C88" s="567">
        <v>25</v>
      </c>
      <c r="D88" s="567">
        <v>25</v>
      </c>
      <c r="E88" s="577">
        <f>+GETPIVOTDATA("AVANCE 2° TRI",$A$72,"Nombre del producto","Reportaje: Bomberos en acción","Tipo de resultado","EXCELENTE")/GETPIVOTDATA("META 2° TRIM",$A$72,"Nombre del producto","Reportaje: Bomberos en acción","Tipo de resultado","EXCELENTE")</f>
        <v>1</v>
      </c>
    </row>
    <row r="89" spans="1:5" ht="15.75" thickBot="1" x14ac:dyDescent="0.3">
      <c r="A89" s="305" t="s">
        <v>674</v>
      </c>
      <c r="B89" s="304" t="s">
        <v>639</v>
      </c>
      <c r="C89" s="567">
        <v>25</v>
      </c>
      <c r="D89" s="567">
        <v>25</v>
      </c>
      <c r="E89" s="577">
        <f>+GETPIVOTDATA("AVANCE 2° TRI",$A$72,"Nombre del producto","La foto de la semana","Tipo de resultado","EXCELENTE")/GETPIVOTDATA("META 2° TRIM",$A$72,"Nombre del producto","La foto de la semana","Tipo de resultado","EXCELENTE")</f>
        <v>1</v>
      </c>
    </row>
    <row r="90" spans="1:5" ht="15.75" thickBot="1" x14ac:dyDescent="0.3">
      <c r="A90" s="305" t="s">
        <v>677</v>
      </c>
      <c r="B90" s="304" t="s">
        <v>639</v>
      </c>
      <c r="C90" s="567">
        <v>25</v>
      </c>
      <c r="D90" s="567">
        <v>25</v>
      </c>
      <c r="E90" s="577">
        <f>+GETPIVOTDATA("AVANCE 2° TRI",$A$72,"Nombre del producto","Crónica: Historias en Bomberos Bogotá","Tipo de resultado","EXCELENTE")/GETPIVOTDATA("META 2° TRIM",$A$72,"Nombre del producto","Crónica: Historias en Bomberos Bogotá","Tipo de resultado","EXCELENTE")</f>
        <v>1</v>
      </c>
    </row>
    <row r="91" spans="1:5" ht="15.75" thickBot="1" x14ac:dyDescent="0.3">
      <c r="A91" s="305" t="s">
        <v>683</v>
      </c>
      <c r="B91" s="304" t="s">
        <v>402</v>
      </c>
      <c r="C91" s="303">
        <v>0.5</v>
      </c>
      <c r="D91" s="303">
        <v>0.45</v>
      </c>
      <c r="E91" s="577">
        <f>+GETPIVOTDATA("AVANCE 2° TRI",$A$72,"Nombre del producto","Plan anual de auditoria vigencia 2019","Tipo de resultado","BUENO")/GETPIVOTDATA("META 2° TRIM",$A$72,"Nombre del producto","Plan anual de auditoria vigencia 2019","Tipo de resultado","BUENO")</f>
        <v>0.9</v>
      </c>
    </row>
    <row r="92" spans="1:5" ht="30.75" thickBot="1" x14ac:dyDescent="0.3">
      <c r="A92" s="305" t="s">
        <v>685</v>
      </c>
      <c r="B92" s="304" t="s">
        <v>639</v>
      </c>
      <c r="C92" s="303">
        <v>1</v>
      </c>
      <c r="D92" s="303">
        <v>1</v>
      </c>
      <c r="E92" s="577">
        <f>+GETPIVOTDATA("AVANCE 2° TRI",$A$72,"Nombre del producto","Plan de adecuación del Modelo Integrado de Planeación y Gestión - MIPG - y el Sistema Integrado de Gestión.","Tipo de resultado","EXCELENTE")/GETPIVOTDATA("META 2° TRIM",$A$72,"Nombre del producto","Plan de adecuación del Modelo Integrado de Planeación y Gestión - MIPG - y el Sistema Integrado de Gestión.","Tipo de resultado","EXCELENTE")</f>
        <v>1</v>
      </c>
    </row>
    <row r="93" spans="1:5" ht="15.75" thickBot="1" x14ac:dyDescent="0.3">
      <c r="A93" s="305" t="s">
        <v>688</v>
      </c>
      <c r="B93" s="304" t="s">
        <v>639</v>
      </c>
      <c r="C93" s="567">
        <v>12</v>
      </c>
      <c r="D93" s="567">
        <v>12</v>
      </c>
      <c r="E93" s="577">
        <f>+GETPIVOTDATA("AVANCE 2° TRI",$A$72,"Nombre del producto","Integracion de los procesos de SIG-MIPG","Tipo de resultado","EXCELENTE")/GETPIVOTDATA("META 2° TRIM",$A$72,"Nombre del producto","Integracion de los procesos de SIG-MIPG","Tipo de resultado","EXCELENTE")</f>
        <v>1</v>
      </c>
    </row>
    <row r="94" spans="1:5" ht="15.75" thickBot="1" x14ac:dyDescent="0.3">
      <c r="A94" s="305" t="s">
        <v>691</v>
      </c>
      <c r="B94" s="304" t="s">
        <v>638</v>
      </c>
      <c r="C94" s="567">
        <v>7</v>
      </c>
      <c r="D94" s="567">
        <v>1</v>
      </c>
      <c r="E94" s="577">
        <f>+GETPIVOTDATA("AVANCE 2° TRI",$A$72,"Nombre del producto","Diagramas de flujo de proceso","Tipo de resultado","MALO")/GETPIVOTDATA("META 2° TRIM",$A$72,"Nombre del producto","Diagramas de flujo de proceso","Tipo de resultado","MALO")</f>
        <v>0.14285714285714285</v>
      </c>
    </row>
    <row r="95" spans="1:5" ht="15.75" thickBot="1" x14ac:dyDescent="0.3">
      <c r="A95" s="305" t="s">
        <v>695</v>
      </c>
      <c r="B95" s="304" t="s">
        <v>639</v>
      </c>
      <c r="C95" s="303">
        <v>0.75</v>
      </c>
      <c r="D95" s="303">
        <v>0.75</v>
      </c>
      <c r="E95" s="577">
        <f>+GETPIVOTDATA("AVANCE 2° TRI",$A$72,"Nombre del producto","Ventanilla única de atención ciudadano. ","Tipo de resultado","EXCELENTE")/GETPIVOTDATA("META 2° TRIM",$A$72,"Nombre del producto","Ventanilla única de atención ciudadano. ","Tipo de resultado","EXCELENTE")</f>
        <v>1</v>
      </c>
    </row>
    <row r="96" spans="1:5" ht="30.75" thickBot="1" x14ac:dyDescent="0.3">
      <c r="A96" s="305" t="s">
        <v>696</v>
      </c>
      <c r="B96" s="304" t="s">
        <v>639</v>
      </c>
      <c r="C96" s="303">
        <v>0.5</v>
      </c>
      <c r="D96" s="303">
        <v>0.5</v>
      </c>
      <c r="E96" s="577">
        <f>+GETPIVOTDATA("AVANCE 2° TRI",$A$72,"Nombre del producto","Diseño, desarrollo e implementación de la nueva intranet para la UAECOB","Tipo de resultado","EXCELENTE")/GETPIVOTDATA("META 2° TRIM",$A$72,"Nombre del producto","Diseño, desarrollo e implementación de la nueva intranet para la UAECOB","Tipo de resultado","EXCELENTE")</f>
        <v>1</v>
      </c>
    </row>
    <row r="97" spans="1:5" ht="30.75" thickBot="1" x14ac:dyDescent="0.3">
      <c r="A97" s="305" t="s">
        <v>698</v>
      </c>
      <c r="B97" s="304" t="s">
        <v>639</v>
      </c>
      <c r="C97" s="303">
        <v>0.5</v>
      </c>
      <c r="D97" s="303">
        <v>0.5</v>
      </c>
      <c r="E97" s="577">
        <f>+GETPIVOTDATA("AVANCE 2° TRI",$A$72,"Nombre del producto","Transición de la Estrategia de Gobierno en linea a la implementacion de la Política de Gobierno Digital ","Tipo de resultado","EXCELENTE")/GETPIVOTDATA("META 2° TRIM",$A$72,"Nombre del producto","Transición de la Estrategia de Gobierno en linea a la implementacion de la Política de Gobierno Digital ","Tipo de resultado","EXCELENTE")</f>
        <v>1</v>
      </c>
    </row>
    <row r="98" spans="1:5" ht="30.75" thickBot="1" x14ac:dyDescent="0.3">
      <c r="A98" s="305" t="s">
        <v>700</v>
      </c>
      <c r="B98" s="304" t="s">
        <v>639</v>
      </c>
      <c r="C98" s="303">
        <v>1</v>
      </c>
      <c r="D98" s="303">
        <v>1</v>
      </c>
      <c r="E98" s="577">
        <f>+GETPIVOTDATA("AVANCE 2° TRI",$A$72,"Nombre del producto","Aplicación móvil para el sistema de información Misional Implementada","Tipo de resultado","EXCELENTE")/GETPIVOTDATA("META 2° TRIM",$A$72,"Nombre del producto","Aplicación móvil para el sistema de información Misional Implementada","Tipo de resultado","EXCELENTE")</f>
        <v>1</v>
      </c>
    </row>
    <row r="99" spans="1:5" ht="30.75" thickBot="1" x14ac:dyDescent="0.3">
      <c r="A99" s="305" t="s">
        <v>701</v>
      </c>
      <c r="B99" s="304" t="s">
        <v>1317</v>
      </c>
      <c r="C99" s="303"/>
      <c r="D99" s="303"/>
      <c r="E99" s="577"/>
    </row>
    <row r="100" spans="1:5" ht="30.75" thickBot="1" x14ac:dyDescent="0.3">
      <c r="A100" s="305" t="s">
        <v>702</v>
      </c>
      <c r="B100" s="304" t="s">
        <v>1317</v>
      </c>
      <c r="C100" s="303"/>
      <c r="D100" s="303"/>
      <c r="E100" s="577"/>
    </row>
    <row r="101" spans="1:5" ht="45.75" thickBot="1" x14ac:dyDescent="0.3">
      <c r="A101" s="305" t="s">
        <v>703</v>
      </c>
      <c r="B101" s="304" t="s">
        <v>639</v>
      </c>
      <c r="C101" s="303">
        <v>0.5</v>
      </c>
      <c r="D101" s="303">
        <v>0.5</v>
      </c>
      <c r="E101" s="577">
        <f>+GETPIVOTDATA("AVANCE 2° TRI",$A$72,"Nombre del producto","Levantamiento de inventario de activos de Información de Software, hardware y servicios, cuadro de caracterización documental actualizados","Tipo de resultado","EXCELENTE")/GETPIVOTDATA("META 2° TRIM",$A$72,"Nombre del producto","Levantamiento de inventario de activos de Información de Software, hardware y servicios, cuadro de caracterización documental actualizados","Tipo de resultado","EXCELENTE")</f>
        <v>1</v>
      </c>
    </row>
    <row r="102" spans="1:5" ht="30.75" thickBot="1" x14ac:dyDescent="0.3">
      <c r="A102" s="305" t="s">
        <v>704</v>
      </c>
      <c r="B102" s="304" t="s">
        <v>639</v>
      </c>
      <c r="C102" s="303">
        <v>0.5</v>
      </c>
      <c r="D102" s="303">
        <v>0.5</v>
      </c>
      <c r="E102" s="577">
        <f>+GETPIVOTDATA("AVANCE 2° TRI",$A$72,"Nombre del producto","Diseño, desarrollo e implementación del nuevo Sistema de Información Misional para la UAECOB","Tipo de resultado","EXCELENTE")/GETPIVOTDATA("META 2° TRIM",$A$72,"Nombre del producto","Diseño, desarrollo e implementación del nuevo Sistema de Información Misional para la UAECOB","Tipo de resultado","EXCELENTE")</f>
        <v>1</v>
      </c>
    </row>
    <row r="103" spans="1:5" ht="15.75" thickBot="1" x14ac:dyDescent="0.3">
      <c r="A103" s="305" t="s">
        <v>706</v>
      </c>
      <c r="B103" s="304" t="s">
        <v>639</v>
      </c>
      <c r="C103" s="303">
        <v>1</v>
      </c>
      <c r="D103" s="303">
        <v>1</v>
      </c>
      <c r="E103" s="577">
        <f>+GETPIVOTDATA("AVANCE 2° TRI",$A$72,"Nombre del producto","Guía de Buenas Prácticas UAECOB 2019","Tipo de resultado","EXCELENTE")/GETPIVOTDATA("META 2° TRIM",$A$72,"Nombre del producto","Guía de Buenas Prácticas UAECOB 2019","Tipo de resultado","EXCELENTE")</f>
        <v>1</v>
      </c>
    </row>
    <row r="104" spans="1:5" ht="15.75" thickBot="1" x14ac:dyDescent="0.3">
      <c r="A104" s="305" t="s">
        <v>709</v>
      </c>
      <c r="B104" s="304" t="s">
        <v>639</v>
      </c>
      <c r="C104" s="303">
        <v>1</v>
      </c>
      <c r="D104" s="303">
        <v>1</v>
      </c>
      <c r="E104" s="577">
        <f>+GETPIVOTDATA("AVANCE 2° TRI",$A$72,"Nombre del producto","Portafolio de Servicios UAECOB 2019","Tipo de resultado","EXCELENTE")/GETPIVOTDATA("META 2° TRIM",$A$72,"Nombre del producto","Portafolio de Servicios UAECOB 2019","Tipo de resultado","EXCELENTE")</f>
        <v>1</v>
      </c>
    </row>
    <row r="105" spans="1:5" ht="15.75" thickBot="1" x14ac:dyDescent="0.3">
      <c r="A105" s="305" t="s">
        <v>711</v>
      </c>
      <c r="B105" s="304" t="s">
        <v>639</v>
      </c>
      <c r="C105" s="567">
        <v>2</v>
      </c>
      <c r="D105" s="567">
        <v>2</v>
      </c>
      <c r="E105" s="577">
        <f>+GETPIVOTDATA("AVANCE 2° TRI",$A$72,"Nombre del producto","Jornadas de articulación con la Academia","Tipo de resultado","EXCELENTE")/GETPIVOTDATA("META 2° TRIM",$A$72,"Nombre del producto","Jornadas de articulación con la Academia","Tipo de resultado","EXCELENTE")</f>
        <v>1</v>
      </c>
    </row>
    <row r="106" spans="1:5" ht="30.75" thickBot="1" x14ac:dyDescent="0.3">
      <c r="A106" s="305" t="s">
        <v>714</v>
      </c>
      <c r="B106" s="304" t="s">
        <v>639</v>
      </c>
      <c r="C106" s="303">
        <v>0.85</v>
      </c>
      <c r="D106" s="303">
        <v>0.85</v>
      </c>
      <c r="E106" s="577">
        <f>+GETPIVOTDATA("AVANCE 2° TRI",$A$72,"Nombre del producto","Modelo de caracterización del relacionamiento de la UAECOB con sus grupos de interés","Tipo de resultado","EXCELENTE")/GETPIVOTDATA("META 2° TRIM",$A$72,"Nombre del producto","Modelo de caracterización del relacionamiento de la UAECOB con sus grupos de interés","Tipo de resultado","EXCELENTE")</f>
        <v>1</v>
      </c>
    </row>
    <row r="107" spans="1:5" ht="30.75" thickBot="1" x14ac:dyDescent="0.3">
      <c r="A107" s="305" t="s">
        <v>716</v>
      </c>
      <c r="B107" s="304" t="s">
        <v>639</v>
      </c>
      <c r="C107" s="303">
        <v>0.5</v>
      </c>
      <c r="D107" s="303">
        <v>0.5</v>
      </c>
      <c r="E107" s="577">
        <f>+GETPIVOTDATA("AVANCE 2° TRI",$A$72,"Nombre del producto","Seguimiento y control de los Planes e Indicadores que Gestiona la Entidad","Tipo de resultado","EXCELENTE")/GETPIVOTDATA("META 2° TRIM",$A$72,"Nombre del producto","Seguimiento y control de los Planes e Indicadores que Gestiona la Entidad","Tipo de resultado","EXCELENTE")</f>
        <v>1</v>
      </c>
    </row>
    <row r="108" spans="1:5" ht="15.75" thickBot="1" x14ac:dyDescent="0.3">
      <c r="A108" s="305" t="s">
        <v>721</v>
      </c>
      <c r="B108" s="304" t="s">
        <v>639</v>
      </c>
      <c r="C108" s="303">
        <v>0.5</v>
      </c>
      <c r="D108" s="303">
        <v>0.5</v>
      </c>
      <c r="E108" s="577">
        <f>+GETPIVOTDATA("AVANCE 2° TRI",$A$72,"Nombre del producto","Construcción de bases de datos de contratos","Tipo de resultado","EXCELENTE")/GETPIVOTDATA("META 2° TRIM",$A$72,"Nombre del producto","Construcción de bases de datos de contratos","Tipo de resultado","EXCELENTE")</f>
        <v>1</v>
      </c>
    </row>
    <row r="109" spans="1:5" ht="30.75" thickBot="1" x14ac:dyDescent="0.3">
      <c r="A109" s="305" t="s">
        <v>723</v>
      </c>
      <c r="B109" s="304" t="s">
        <v>639</v>
      </c>
      <c r="C109" s="303">
        <v>0.8</v>
      </c>
      <c r="D109" s="303">
        <v>0.8</v>
      </c>
      <c r="E109" s="577">
        <f>+GETPIVOTDATA("AVANCE 2° TRI",$A$72,"Nombre del producto","Creación de matriz de control y seguimiento de aprobación garantías","Tipo de resultado","EXCELENTE")/GETPIVOTDATA("META 2° TRIM",$A$72,"Nombre del producto","Creación de matriz de control y seguimiento de aprobación garantías","Tipo de resultado","EXCELENTE")</f>
        <v>1</v>
      </c>
    </row>
    <row r="110" spans="1:5" ht="15.75" thickBot="1" x14ac:dyDescent="0.3">
      <c r="A110" s="305" t="s">
        <v>725</v>
      </c>
      <c r="B110" s="304" t="s">
        <v>639</v>
      </c>
      <c r="C110" s="303">
        <v>0.5</v>
      </c>
      <c r="D110" s="303">
        <v>0.5</v>
      </c>
      <c r="E110" s="577">
        <f>+GETPIVOTDATA("AVANCE 2° TRI",$A$72,"Nombre del producto","Revisión de formatos y procedimientos de contratación ","Tipo de resultado","EXCELENTE")/GETPIVOTDATA("META 2° TRIM",$A$72,"Nombre del producto","Revisión de formatos y procedimientos de contratación ","Tipo de resultado","EXCELENTE")</f>
        <v>1</v>
      </c>
    </row>
    <row r="111" spans="1:5" ht="30.75" thickBot="1" x14ac:dyDescent="0.3">
      <c r="A111" s="305" t="s">
        <v>727</v>
      </c>
      <c r="B111" s="304" t="s">
        <v>638</v>
      </c>
      <c r="C111" s="303">
        <v>0.7</v>
      </c>
      <c r="D111" s="303">
        <v>0.35</v>
      </c>
      <c r="E111" s="577">
        <f>+GETPIVOTDATA("AVANCE 2° TRI",$A$72,"Nombre del producto","Creación de protocolo para la puesta en marcha de medios alternativos de solución de conflictos","Tipo de resultado","MALO")/GETPIVOTDATA("META 2° TRIM",$A$72,"Nombre del producto","Creación de protocolo para la puesta en marcha de medios alternativos de solución de conflictos","Tipo de resultado","MALO")</f>
        <v>0.5</v>
      </c>
    </row>
    <row r="112" spans="1:5" ht="45.75" thickBot="1" x14ac:dyDescent="0.3">
      <c r="A112" s="305" t="s">
        <v>735</v>
      </c>
      <c r="B112" s="304" t="s">
        <v>639</v>
      </c>
      <c r="C112" s="303">
        <v>0.5</v>
      </c>
      <c r="D112" s="303">
        <v>0.5</v>
      </c>
      <c r="E112" s="577">
        <f>+GETPIVOTDATA("AVANCE 2° TRI",$A$72,"Nombre del producto","Documento diagnostico frente a escenarios de aglomeraciones de público permanentes (Teatros y Cinemas)","Tipo de resultado","EXCELENTE")/GETPIVOTDATA("META 2° TRIM",$A$72,"Nombre del producto","Documento diagnostico frente a escenarios de aglomeraciones de público permanentes (Teatros y Cinemas)","Tipo de resultado","EXCELENTE")</f>
        <v>1</v>
      </c>
    </row>
    <row r="113" spans="1:5" ht="30.75" thickBot="1" x14ac:dyDescent="0.3">
      <c r="A113" s="305" t="s">
        <v>739</v>
      </c>
      <c r="B113" s="304" t="s">
        <v>639</v>
      </c>
      <c r="C113" s="303">
        <v>0.5</v>
      </c>
      <c r="D113" s="303">
        <v>0.5</v>
      </c>
      <c r="E113" s="577">
        <f>+GETPIVOTDATA("AVANCE 2° TRI",$A$72,"Nombre del producto","Proyecto virtualización capacitación normativa aplicada a revisiones técnicas","Tipo de resultado","EXCELENTE")/GETPIVOTDATA("META 2° TRIM",$A$72,"Nombre del producto","Proyecto virtualización capacitación normativa aplicada a revisiones técnicas","Tipo de resultado","EXCELENTE")</f>
        <v>1</v>
      </c>
    </row>
    <row r="114" spans="1:5" ht="15.75" thickBot="1" x14ac:dyDescent="0.3">
      <c r="A114" s="305" t="s">
        <v>741</v>
      </c>
      <c r="B114" s="304" t="s">
        <v>638</v>
      </c>
      <c r="C114" s="303">
        <v>0.5</v>
      </c>
      <c r="D114" s="303">
        <v>0.2</v>
      </c>
      <c r="E114" s="577">
        <f>+GETPIVOTDATA("AVANCE 2° TRI",$A$72,"Nombre del producto","Guía de riesgos comunes y asociados a incendios","Tipo de resultado","MALO")/GETPIVOTDATA("META 2° TRIM",$A$72,"Nombre del producto","Guía de riesgos comunes y asociados a incendios","Tipo de resultado","MALO")</f>
        <v>0.4</v>
      </c>
    </row>
    <row r="115" spans="1:5" ht="15.75" thickBot="1" x14ac:dyDescent="0.3">
      <c r="A115" s="305" t="s">
        <v>746</v>
      </c>
      <c r="B115" s="304" t="s">
        <v>639</v>
      </c>
      <c r="C115" s="303">
        <v>0.5</v>
      </c>
      <c r="D115" s="303">
        <v>0.5</v>
      </c>
      <c r="E115" s="577">
        <f>+GETPIVOTDATA("AVANCE 2° TRI",$A$72,"Nombre del producto","Actualización de Módulos de Capacitación Comunitaria","Tipo de resultado","EXCELENTE")/GETPIVOTDATA("META 2° TRIM",$A$72,"Nombre del producto","Actualización de Módulos de Capacitación Comunitaria","Tipo de resultado","EXCELENTE")</f>
        <v>1</v>
      </c>
    </row>
    <row r="116" spans="1:5" ht="30.75" thickBot="1" x14ac:dyDescent="0.3">
      <c r="A116" s="305" t="s">
        <v>748</v>
      </c>
      <c r="B116" s="304" t="s">
        <v>402</v>
      </c>
      <c r="C116" s="303">
        <v>0.5</v>
      </c>
      <c r="D116" s="303">
        <v>0.42499999999999999</v>
      </c>
      <c r="E116" s="577">
        <f>+GETPIVOTDATA("AVANCE 2° TRI",$A$72,"Nombre del producto","Proyecto de virtualización de capacitación a brigadas contra incendio empresarial","Tipo de resultado","BUENO")/GETPIVOTDATA("META 2° TRIM",$A$72,"Nombre del producto","Proyecto de virtualización de capacitación a brigadas contra incendio empresarial","Tipo de resultado","BUENO")</f>
        <v>0.85</v>
      </c>
    </row>
    <row r="117" spans="1:5" ht="60.75" thickBot="1" x14ac:dyDescent="0.3">
      <c r="A117" s="305" t="s">
        <v>750</v>
      </c>
      <c r="B117" s="304" t="s">
        <v>639</v>
      </c>
      <c r="C117" s="303">
        <v>0.5</v>
      </c>
      <c r="D117" s="303">
        <v>0.5</v>
      </c>
      <c r="E117" s="577">
        <f>+GETPIVOTDATA("AVANCE 2° TRI",$A$72,"Nombre del producto","Actualizar la estrategia ""campañas de reducción del riesgo relacionadas con la prevención y mitigación de riesgos de incendio, matpel y otras  emergencias competencia de la UAECOB"" - IMER","Tipo de resultado","EXCELENTE")/GETPIVOTDATA("META 2° TRIM",$A$72,"Nombre del producto","Actualizar la estrategia ""campañas de reducción del riesgo relacionadas con la prevención y mitigación de riesgos de incendio, matpel y otras  emergencias competencia de la UAECOB"" - IMER","Tipo de resultado","EXCELENTE")</f>
        <v>1</v>
      </c>
    </row>
    <row r="118" spans="1:5" ht="30.75" thickBot="1" x14ac:dyDescent="0.3">
      <c r="A118" s="305" t="s">
        <v>752</v>
      </c>
      <c r="B118" s="304" t="s">
        <v>639</v>
      </c>
      <c r="C118" s="303">
        <v>0.5</v>
      </c>
      <c r="D118" s="303">
        <v>0.5</v>
      </c>
      <c r="E118" s="577">
        <f>+GETPIVOTDATA("AVANCE 2° TRI",$A$72,"Nombre del producto","Desarrollar jornadas de capacitación en las estaciones en pedagogía para las actividades del Club Bomberitos ","Tipo de resultado","EXCELENTE")/GETPIVOTDATA("META 2° TRIM",$A$72,"Nombre del producto","Desarrollar jornadas de capacitación en las estaciones en pedagogía para las actividades del Club Bomberitos ","Tipo de resultado","EXCELENTE")</f>
        <v>1</v>
      </c>
    </row>
    <row r="119" spans="1:5" ht="45.75" thickBot="1" x14ac:dyDescent="0.3">
      <c r="A119" s="305" t="s">
        <v>754</v>
      </c>
      <c r="B119" s="304" t="s">
        <v>1327</v>
      </c>
      <c r="C119" s="303"/>
      <c r="D119" s="303"/>
      <c r="E119" s="577"/>
    </row>
    <row r="120" spans="1:5" ht="30.75" thickBot="1" x14ac:dyDescent="0.3">
      <c r="A120" s="305" t="s">
        <v>756</v>
      </c>
      <c r="B120" s="304" t="s">
        <v>639</v>
      </c>
      <c r="C120" s="303">
        <v>0.5</v>
      </c>
      <c r="D120" s="303">
        <v>0.5</v>
      </c>
      <c r="E120" s="577">
        <f>+GETPIVOTDATA("AVANCE 2° TRI",$A$72,"Nombre del producto","Implementación proyecto de prevención y autoprotección  comunitaria ante incendios forestales (fase 2).","Tipo de resultado","EXCELENTE")/GETPIVOTDATA("META 2° TRIM",$A$72,"Nombre del producto","Implementación proyecto de prevención y autoprotección  comunitaria ante incendios forestales (fase 2).","Tipo de resultado","EXCELENTE")</f>
        <v>1</v>
      </c>
    </row>
    <row r="121" spans="1:5" ht="30.75" thickBot="1" x14ac:dyDescent="0.3">
      <c r="A121" s="305" t="s">
        <v>758</v>
      </c>
      <c r="B121" s="304" t="s">
        <v>639</v>
      </c>
      <c r="C121" s="303">
        <v>0.4</v>
      </c>
      <c r="D121" s="303">
        <v>0.4</v>
      </c>
      <c r="E121" s="577">
        <f>+GETPIVOTDATA("AVANCE 2° TRI",$A$72,"Nombre del producto","Actualizar, publicar y seguimiento a la estrategia de cambio climático de la UAECOB","Tipo de resultado","EXCELENTE")/GETPIVOTDATA("META 2° TRIM",$A$72,"Nombre del producto","Actualizar, publicar y seguimiento a la estrategia de cambio climático de la UAECOB","Tipo de resultado","EXCELENTE")</f>
        <v>1</v>
      </c>
    </row>
    <row r="122" spans="1:5" ht="30.75" thickBot="1" x14ac:dyDescent="0.3">
      <c r="A122" s="305" t="s">
        <v>760</v>
      </c>
      <c r="B122" s="304" t="s">
        <v>1309</v>
      </c>
      <c r="C122" s="303">
        <v>0.5</v>
      </c>
      <c r="D122" s="303">
        <v>0.4</v>
      </c>
      <c r="E122" s="577">
        <f>+GETPIVOTDATA("AVANCE 2° TRI",$A$72,"Nombre del producto","cartografía social en localidad de puente Aranda para materiales peligrosos","Tipo de resultado","REGULAR")/GETPIVOTDATA("META 2° TRIM",$A$72,"Nombre del producto","cartografía social en localidad de puente Aranda para materiales peligrosos","Tipo de resultado","REGULAR")</f>
        <v>0.8</v>
      </c>
    </row>
    <row r="123" spans="1:5" ht="30.75" thickBot="1" x14ac:dyDescent="0.3">
      <c r="A123" s="305" t="s">
        <v>762</v>
      </c>
      <c r="B123" s="304" t="s">
        <v>639</v>
      </c>
      <c r="C123" s="303">
        <v>0.5</v>
      </c>
      <c r="D123" s="303">
        <v>0.48</v>
      </c>
      <c r="E123" s="577">
        <f>+GETPIVOTDATA("AVANCE 2° TRI",$A$72,"Nombre del producto","Divulgación de una campaña de gestión del riesgo en las 20 localidades ","Tipo de resultado","EXCELENTE")/GETPIVOTDATA("META 2° TRIM",$A$72,"Nombre del producto","Divulgación de una campaña de gestión del riesgo en las 20 localidades ","Tipo de resultado","EXCELENTE")</f>
        <v>0.96</v>
      </c>
    </row>
    <row r="124" spans="1:5" ht="30.75" thickBot="1" x14ac:dyDescent="0.3">
      <c r="A124" s="305" t="s">
        <v>764</v>
      </c>
      <c r="B124" s="304" t="s">
        <v>1309</v>
      </c>
      <c r="C124" s="303">
        <v>0.4</v>
      </c>
      <c r="D124" s="303">
        <v>0.32</v>
      </c>
      <c r="E124" s="577">
        <f>+GETPIVOTDATA("AVANCE 2° TRI",$A$72,"Nombre del producto","Diseñar y Gestionar una estrategia para la gestión del riesgo por incendios forestales en la localidad de Sumapaz","Tipo de resultado","REGULAR")/GETPIVOTDATA("META 2° TRIM",$A$72,"Nombre del producto","Diseñar y Gestionar una estrategia para la gestión del riesgo por incendios forestales en la localidad de Sumapaz","Tipo de resultado","REGULAR")</f>
        <v>0.79999999999999993</v>
      </c>
    </row>
    <row r="125" spans="1:5" ht="30.75" thickBot="1" x14ac:dyDescent="0.3">
      <c r="A125" s="305" t="s">
        <v>766</v>
      </c>
      <c r="B125" s="304" t="s">
        <v>639</v>
      </c>
      <c r="C125" s="303">
        <v>0.5</v>
      </c>
      <c r="D125" s="303">
        <v>0.5</v>
      </c>
      <c r="E125" s="577">
        <f>+GETPIVOTDATA("AVANCE 2° TRI",$A$72,"Nombre del producto","Insumo para Campaña de Prevención por incendios en el hogar ","Tipo de resultado","EXCELENTE")/GETPIVOTDATA("META 2° TRIM",$A$72,"Nombre del producto","Insumo para Campaña de Prevención por incendios en el hogar ","Tipo de resultado","EXCELENTE")</f>
        <v>1</v>
      </c>
    </row>
    <row r="126" spans="1:5" ht="30.75" thickBot="1" x14ac:dyDescent="0.3">
      <c r="A126" s="305" t="s">
        <v>773</v>
      </c>
      <c r="B126" s="304" t="s">
        <v>639</v>
      </c>
      <c r="C126" s="303">
        <v>1</v>
      </c>
      <c r="D126" s="303">
        <v>1</v>
      </c>
      <c r="E126" s="577">
        <f>+GETPIVOTDATA("AVANCE 2° TRI",$A$72,"Nombre del producto","Curso Bomberitos 
""Nicolas Quevedo Rizo""","Tipo de resultado","EXCELENTE")/GETPIVOTDATA("META 2° TRIM",$A$72,"Nombre del producto","Curso Bomberitos 
""Nicolas Quevedo Rizo""","Tipo de resultado","EXCELENTE")</f>
        <v>1</v>
      </c>
    </row>
    <row r="127" spans="1:5" ht="15.75" thickBot="1" x14ac:dyDescent="0.3">
      <c r="A127" s="305" t="s">
        <v>776</v>
      </c>
      <c r="B127" s="304" t="s">
        <v>638</v>
      </c>
      <c r="C127" s="303">
        <v>0.75</v>
      </c>
      <c r="D127" s="303">
        <v>0</v>
      </c>
      <c r="E127" s="577">
        <f>+GETPIVOTDATA("AVANCE 2° TRI",$A$72,"Nombre del producto","Actualización del árbol de servicios","Tipo de resultado","MALO")/GETPIVOTDATA("META 2° TRIM",$A$72,"Nombre del producto","Actualización del árbol de servicios","Tipo de resultado","MALO")</f>
        <v>0</v>
      </c>
    </row>
    <row r="128" spans="1:5" ht="30.75" thickBot="1" x14ac:dyDescent="0.3">
      <c r="A128" s="305" t="s">
        <v>779</v>
      </c>
      <c r="B128" s="304" t="s">
        <v>639</v>
      </c>
      <c r="C128" s="567">
        <v>2</v>
      </c>
      <c r="D128" s="567">
        <v>2</v>
      </c>
      <c r="E128" s="577">
        <f>+GETPIVOTDATA("AVANCE 2° TRI",$A$72,"Nombre del producto","Información  estadística de las emergencias atendidas por la UAECOB.","Tipo de resultado","EXCELENTE")/GETPIVOTDATA("META 2° TRIM",$A$72,"Nombre del producto","Información  estadística de las emergencias atendidas por la UAECOB.","Tipo de resultado","EXCELENTE")</f>
        <v>1</v>
      </c>
    </row>
    <row r="129" spans="1:5" ht="15.75" thickBot="1" x14ac:dyDescent="0.3">
      <c r="A129" s="305" t="s">
        <v>783</v>
      </c>
      <c r="B129" s="304" t="s">
        <v>638</v>
      </c>
      <c r="C129" s="303">
        <v>1</v>
      </c>
      <c r="D129" s="303">
        <v>0</v>
      </c>
      <c r="E129" s="577">
        <f>+GETPIVOTDATA("AVANCE 2° TRI",$A$72,"Nombre del producto","Simulacro de comunicaciones en emergencias","Tipo de resultado","MALO")/GETPIVOTDATA("META 2° TRIM",$A$72,"Nombre del producto","Simulacro de comunicaciones en emergencias","Tipo de resultado","MALO")</f>
        <v>0</v>
      </c>
    </row>
    <row r="130" spans="1:5" ht="15.75" thickBot="1" x14ac:dyDescent="0.3">
      <c r="A130" s="305" t="s">
        <v>785</v>
      </c>
      <c r="B130" s="304" t="s">
        <v>402</v>
      </c>
      <c r="C130" s="303">
        <v>0.65</v>
      </c>
      <c r="D130" s="303">
        <v>0.54</v>
      </c>
      <c r="E130" s="577">
        <f>+GETPIVOTDATA("AVANCE 2° TRI",$A$72,"Nombre del producto","Revisión de hidrantes en Bogotá","Tipo de resultado","BUENO")/GETPIVOTDATA("META 2° TRIM",$A$72,"Nombre del producto","Revisión de hidrantes en Bogotá","Tipo de resultado","BUENO")</f>
        <v>0.83076923076923082</v>
      </c>
    </row>
    <row r="131" spans="1:5" ht="30.75" thickBot="1" x14ac:dyDescent="0.3">
      <c r="A131" s="305" t="s">
        <v>788</v>
      </c>
      <c r="B131" s="304" t="s">
        <v>639</v>
      </c>
      <c r="C131" s="567">
        <v>100</v>
      </c>
      <c r="D131" s="567">
        <v>100</v>
      </c>
      <c r="E131" s="577">
        <f>+GETPIVOTDATA("AVANCE 2° TRI",$A$72,"Nombre del producto","Plan para el Fortalecimiento de la Gestión Integral de los Servicios Logísticos","Tipo de resultado","EXCELENTE")/GETPIVOTDATA("META 2° TRIM",$A$72,"Nombre del producto","Plan para el Fortalecimiento de la Gestión Integral de los Servicios Logísticos","Tipo de resultado","EXCELENTE")</f>
        <v>1</v>
      </c>
    </row>
    <row r="132" spans="1:5" ht="60.75" thickBot="1" x14ac:dyDescent="0.3">
      <c r="A132" s="305" t="s">
        <v>791</v>
      </c>
      <c r="B132" s="304" t="s">
        <v>1309</v>
      </c>
      <c r="C132" s="567">
        <v>30</v>
      </c>
      <c r="D132" s="567">
        <v>24</v>
      </c>
      <c r="E132" s="577">
        <f>+GETPIVOTDATA("AVANCE 2° TRI",$A$72,"Nombre del producto","
Plan de Mantenimiento Preventivo y Correctivo de Parque Automotor 
","Tipo de resultado","REGULAR")/GETPIVOTDATA("META 2° TRIM",$A$72,"Nombre del producto","
Plan de Mantenimiento Preventivo y Correctivo de Parque Automotor 
","Tipo de resultado","REGULAR")</f>
        <v>0.8</v>
      </c>
    </row>
    <row r="133" spans="1:5" ht="90.75" thickBot="1" x14ac:dyDescent="0.3">
      <c r="A133" s="305" t="s">
        <v>793</v>
      </c>
      <c r="B133" s="304" t="s">
        <v>638</v>
      </c>
      <c r="C133" s="567">
        <v>30</v>
      </c>
      <c r="D133" s="567">
        <v>12</v>
      </c>
      <c r="E133" s="577">
        <f>+GETPIVOTDATA("AVANCE 2° TRI",$A$72,"Nombre del producto","
Plan de Mantenimiento Preventivo y Correctivo de  Equipo Menor
","Tipo de resultado","MALO")/GETPIVOTDATA("META 2° TRIM",$A$72,"Nombre del producto","
Plan de Mantenimiento Preventivo y Correctivo de  Equipo Menor
","Tipo de resultado","MALO")</f>
        <v>0.4</v>
      </c>
    </row>
    <row r="134" spans="1:5" ht="15.75" thickBot="1" x14ac:dyDescent="0.3">
      <c r="A134" s="305" t="s">
        <v>795</v>
      </c>
      <c r="B134" s="304" t="s">
        <v>638</v>
      </c>
      <c r="C134" s="567">
        <v>50</v>
      </c>
      <c r="D134" s="567">
        <v>0</v>
      </c>
      <c r="E134" s="577">
        <f>+GETPIVOTDATA("AVANCE 2° TRI",$A$72,"Nombre del producto","Diagnostico Integral de Archivos","Tipo de resultado","MALO")/GETPIVOTDATA("META 2° TRIM",$A$72,"Nombre del producto","Diagnostico Integral de Archivos","Tipo de resultado","MALO")</f>
        <v>0</v>
      </c>
    </row>
    <row r="135" spans="1:5" ht="15.75" thickBot="1" x14ac:dyDescent="0.3">
      <c r="A135" s="305" t="s">
        <v>799</v>
      </c>
      <c r="B135" s="304" t="s">
        <v>639</v>
      </c>
      <c r="C135" s="567">
        <v>17</v>
      </c>
      <c r="D135" s="567">
        <v>17</v>
      </c>
      <c r="E135" s="577">
        <f>+GETPIVOTDATA("AVANCE 2° TRI",$A$72,"Nombre del producto","Realizar Seguimiento a la implementación del PIGA","Tipo de resultado","EXCELENTE")/GETPIVOTDATA("META 2° TRIM",$A$72,"Nombre del producto","Realizar Seguimiento a la implementación del PIGA","Tipo de resultado","EXCELENTE")</f>
        <v>1</v>
      </c>
    </row>
    <row r="136" spans="1:5" ht="75.75" thickBot="1" x14ac:dyDescent="0.3">
      <c r="A136" s="305" t="s">
        <v>802</v>
      </c>
      <c r="B136" s="304" t="s">
        <v>639</v>
      </c>
      <c r="C136" s="567">
        <v>2</v>
      </c>
      <c r="D136" s="567">
        <v>2</v>
      </c>
      <c r="E136" s="577">
        <v>1</v>
      </c>
    </row>
    <row r="137" spans="1:5" ht="15.75" thickBot="1" x14ac:dyDescent="0.3">
      <c r="A137" s="305" t="s">
        <v>807</v>
      </c>
      <c r="B137" s="304" t="s">
        <v>1327</v>
      </c>
      <c r="C137" s="303"/>
      <c r="D137" s="303"/>
      <c r="E137" s="577"/>
    </row>
    <row r="138" spans="1:5" ht="30.75" thickBot="1" x14ac:dyDescent="0.3">
      <c r="A138" s="305" t="s">
        <v>810</v>
      </c>
      <c r="B138" s="304" t="s">
        <v>402</v>
      </c>
      <c r="C138" s="567">
        <v>25</v>
      </c>
      <c r="D138" s="567">
        <v>21</v>
      </c>
      <c r="E138" s="577">
        <f>+GETPIVOTDATA("AVANCE 2° TRI",$A$72,"Nombre del producto","Cambio de la Cultura del Sistema Integrado de Gestión- MIPG","Tipo de resultado","BUENO")/GETPIVOTDATA("META 2° TRIM",$A$72,"Nombre del producto","Cambio de la Cultura del Sistema Integrado de Gestión- MIPG","Tipo de resultado","BUENO")</f>
        <v>0.84</v>
      </c>
    </row>
    <row r="139" spans="1:5" ht="15.75" thickBot="1" x14ac:dyDescent="0.3">
      <c r="A139" s="305" t="s">
        <v>812</v>
      </c>
      <c r="B139" s="304" t="s">
        <v>638</v>
      </c>
      <c r="C139" s="567">
        <v>34</v>
      </c>
      <c r="D139" s="567">
        <v>17</v>
      </c>
      <c r="E139" s="577">
        <f>+GETPIVOTDATA("AVANCE 2° TRI",$A$72,"Nombre del producto","Certificación ISO 9001-2015","Tipo de resultado","MALO")/GETPIVOTDATA("META 2° TRIM",$A$72,"Nombre del producto","Certificación ISO 9001-2015","Tipo de resultado","MALO")</f>
        <v>0.5</v>
      </c>
    </row>
    <row r="140" spans="1:5" ht="30.75" thickBot="1" x14ac:dyDescent="0.3">
      <c r="A140" s="305" t="s">
        <v>821</v>
      </c>
      <c r="B140" s="304" t="s">
        <v>639</v>
      </c>
      <c r="C140" s="303">
        <v>0.5</v>
      </c>
      <c r="D140" s="303">
        <v>0.5</v>
      </c>
      <c r="E140" s="577">
        <f>+GETPIVOTDATA("AVANCE 2° TRI",$A$72,"Nombre del producto","Implementar una Biblioteca virtual para la Unidad administrativa especial cuerpo oficial de bomberos Bogotá.","Tipo de resultado","EXCELENTE")/GETPIVOTDATA("META 2° TRIM",$A$72,"Nombre del producto","Implementar una Biblioteca virtual para la Unidad administrativa especial cuerpo oficial de bomberos Bogotá.","Tipo de resultado","EXCELENTE")</f>
        <v>1</v>
      </c>
    </row>
    <row r="141" spans="1:5" ht="45.75" thickBot="1" x14ac:dyDescent="0.3">
      <c r="A141" s="305" t="s">
        <v>824</v>
      </c>
      <c r="B141" s="304" t="s">
        <v>638</v>
      </c>
      <c r="C141" s="303">
        <v>0.5</v>
      </c>
      <c r="D141" s="303">
        <v>0</v>
      </c>
      <c r="E141" s="577">
        <f>+GETPIVOTDATA("AVANCE 2° TRI",$A$72,"Nombre del producto","Diseñar un programa de capacitación para ascenso de oficiales y suboficiales adaptado a la misionalidad de la entidad ","Tipo de resultado","MALO")/GETPIVOTDATA("META 2° TRIM",$A$72,"Nombre del producto","Diseñar un programa de capacitación para ascenso de oficiales y suboficiales adaptado a la misionalidad de la entidad ","Tipo de resultado","MALO")</f>
        <v>0</v>
      </c>
    </row>
    <row r="142" spans="1:5" ht="30.75" thickBot="1" x14ac:dyDescent="0.3">
      <c r="A142" s="305" t="s">
        <v>826</v>
      </c>
      <c r="B142" s="304" t="s">
        <v>639</v>
      </c>
      <c r="C142" s="303">
        <v>0.5</v>
      </c>
      <c r="D142" s="303">
        <v>0.5</v>
      </c>
      <c r="E142" s="577">
        <f>+GETPIVOTDATA("AVANCE 2° TRI",$A$72,"Nombre del producto","Realizar un programa de capacitación y reentrenamiento a mínimo dos grupos especializados durante dos jornadas ","Tipo de resultado","EXCELENTE")/GETPIVOTDATA("META 2° TRIM",$A$72,"Nombre del producto","Realizar un programa de capacitación y reentrenamiento a mínimo dos grupos especializados durante dos jornadas ","Tipo de resultado","EXCELENTE")</f>
        <v>1</v>
      </c>
    </row>
    <row r="143" spans="1:5" ht="30.75" thickBot="1" x14ac:dyDescent="0.3">
      <c r="A143" s="305" t="s">
        <v>829</v>
      </c>
      <c r="B143" s="304" t="s">
        <v>639</v>
      </c>
      <c r="C143" s="303">
        <v>0.5</v>
      </c>
      <c r="D143" s="303">
        <v>0.5</v>
      </c>
      <c r="E143" s="577">
        <f>+GETPIVOTDATA("AVANCE 2° TRI",$A$72,"Nombre del producto","Realizar seguimiento a la implementación del subsistema de Seguridad y Salud en el Trabajo","Tipo de resultado","EXCELENTE")/GETPIVOTDATA("META 2° TRIM",$A$72,"Nombre del producto","Realizar seguimiento a la implementación del subsistema de Seguridad y Salud en el Trabajo","Tipo de resultado","EXCELENTE")</f>
        <v>1</v>
      </c>
    </row>
    <row r="144" spans="1:5" ht="45.75" thickBot="1" x14ac:dyDescent="0.3">
      <c r="A144" s="305" t="s">
        <v>831</v>
      </c>
      <c r="B144" s="304" t="s">
        <v>1309</v>
      </c>
      <c r="C144" s="303">
        <v>0.5</v>
      </c>
      <c r="D144" s="303">
        <v>0.4</v>
      </c>
      <c r="E144" s="577">
        <f>+GETPIVOTDATA("AVANCE 2° TRI",$A$72,"Nombre del producto","Realizar las acciones necesarias para la Formalización de la Escuela de Formación Bomberil de la UAECOB ante las autoridades competentes","Tipo de resultado","REGULAR")/GETPIVOTDATA("META 2° TRIM",$A$72,"Nombre del producto","Realizar las acciones necesarias para la Formalización de la Escuela de Formación Bomberil de la UAECOB ante las autoridades competentes","Tipo de resultado","REGULAR")</f>
        <v>0.8</v>
      </c>
    </row>
    <row r="146" ht="15.75" thickBot="1" x14ac:dyDescent="0.3"/>
    <row r="147" ht="15.75" thickBot="1" x14ac:dyDescent="0.3"/>
    <row r="148" ht="15.75" thickBot="1" x14ac:dyDescent="0.3"/>
    <row r="149" ht="15.75" thickBot="1" x14ac:dyDescent="0.3"/>
    <row r="151" ht="15.75" thickBot="1" x14ac:dyDescent="0.3"/>
    <row r="152" ht="15.75" thickBot="1" x14ac:dyDescent="0.3"/>
    <row r="153" ht="15.75" thickBot="1" x14ac:dyDescent="0.3"/>
    <row r="154" ht="15.75" thickBot="1" x14ac:dyDescent="0.3"/>
    <row r="155" ht="15.75" thickBot="1" x14ac:dyDescent="0.3"/>
    <row r="156" ht="15.75" thickBot="1" x14ac:dyDescent="0.3"/>
    <row r="157" ht="15.75" thickBot="1" x14ac:dyDescent="0.3"/>
    <row r="158" ht="15.75" thickBot="1" x14ac:dyDescent="0.3"/>
    <row r="159" ht="15.75" thickBot="1" x14ac:dyDescent="0.3"/>
    <row r="160" ht="15.75" thickBot="1" x14ac:dyDescent="0.3"/>
    <row r="161" ht="15.75" thickBot="1" x14ac:dyDescent="0.3"/>
    <row r="162" ht="15.75" thickBot="1" x14ac:dyDescent="0.3"/>
    <row r="163" ht="15.75" thickBot="1" x14ac:dyDescent="0.3"/>
    <row r="164" ht="15.75" thickBot="1" x14ac:dyDescent="0.3"/>
    <row r="165" ht="15.75" thickBot="1" x14ac:dyDescent="0.3"/>
    <row r="166" ht="15.75" thickBot="1" x14ac:dyDescent="0.3"/>
    <row r="167" ht="15.75" thickBot="1" x14ac:dyDescent="0.3"/>
    <row r="168" ht="15.75" thickBot="1" x14ac:dyDescent="0.3"/>
    <row r="169" ht="15.75" thickBot="1" x14ac:dyDescent="0.3"/>
    <row r="170" ht="15.75" thickBot="1" x14ac:dyDescent="0.3"/>
    <row r="171" ht="15.75" thickBot="1" x14ac:dyDescent="0.3"/>
    <row r="172" ht="15.75" thickBot="1" x14ac:dyDescent="0.3"/>
    <row r="173" ht="15.75" thickBot="1" x14ac:dyDescent="0.3"/>
    <row r="174" ht="15.75" thickBot="1" x14ac:dyDescent="0.3"/>
    <row r="175" ht="15.75" thickBot="1" x14ac:dyDescent="0.3"/>
    <row r="176" ht="15.75" thickBot="1" x14ac:dyDescent="0.3"/>
    <row r="177" ht="15.75" thickBot="1" x14ac:dyDescent="0.3"/>
    <row r="178" ht="15.75" thickBot="1" x14ac:dyDescent="0.3"/>
    <row r="179" ht="15.75" thickBot="1" x14ac:dyDescent="0.3"/>
    <row r="180" ht="15.75" thickBot="1" x14ac:dyDescent="0.3"/>
    <row r="181" ht="15.75" thickBot="1" x14ac:dyDescent="0.3"/>
    <row r="182" ht="15.75" thickBot="1" x14ac:dyDescent="0.3"/>
    <row r="183" ht="15.75" thickBot="1" x14ac:dyDescent="0.3"/>
    <row r="184" ht="15.75" thickBot="1" x14ac:dyDescent="0.3"/>
    <row r="185" ht="15.75" thickBot="1" x14ac:dyDescent="0.3"/>
    <row r="186" ht="15.75" thickBot="1" x14ac:dyDescent="0.3"/>
    <row r="187" ht="15.75" thickBot="1" x14ac:dyDescent="0.3"/>
    <row r="188" ht="15.75" thickBot="1" x14ac:dyDescent="0.3"/>
    <row r="189" ht="15.75" thickBot="1" x14ac:dyDescent="0.3"/>
    <row r="190" ht="15.75" thickBot="1" x14ac:dyDescent="0.3"/>
    <row r="191" ht="15.75" thickBot="1" x14ac:dyDescent="0.3"/>
    <row r="192" ht="15.75" thickBot="1" x14ac:dyDescent="0.3"/>
    <row r="193" ht="15.75" thickBot="1" x14ac:dyDescent="0.3"/>
    <row r="194" ht="15.75" thickBot="1" x14ac:dyDescent="0.3"/>
    <row r="195" ht="15.75" thickBot="1" x14ac:dyDescent="0.3"/>
    <row r="196" ht="15.75" thickBot="1" x14ac:dyDescent="0.3"/>
    <row r="197" ht="15.75" thickBot="1" x14ac:dyDescent="0.3"/>
    <row r="198" ht="15.75" thickBot="1" x14ac:dyDescent="0.3"/>
    <row r="199" ht="15.75" thickBot="1" x14ac:dyDescent="0.3"/>
    <row r="200" ht="15.75" thickBot="1" x14ac:dyDescent="0.3"/>
    <row r="201" ht="15.75" thickBot="1" x14ac:dyDescent="0.3"/>
    <row r="202" ht="15.75" thickBot="1" x14ac:dyDescent="0.3"/>
    <row r="203" ht="15.75" thickBot="1" x14ac:dyDescent="0.3"/>
    <row r="204" ht="15.75" thickBot="1" x14ac:dyDescent="0.3"/>
    <row r="205" ht="15.75" thickBot="1" x14ac:dyDescent="0.3"/>
    <row r="206" ht="15.75" thickBot="1" x14ac:dyDescent="0.3"/>
    <row r="207" ht="15.75" thickBot="1" x14ac:dyDescent="0.3"/>
    <row r="208" ht="15.75" thickBot="1" x14ac:dyDescent="0.3"/>
    <row r="209" ht="15.75" thickBot="1" x14ac:dyDescent="0.3"/>
    <row r="210" ht="15.75" thickBot="1" x14ac:dyDescent="0.3"/>
    <row r="211" ht="15.75" thickBot="1" x14ac:dyDescent="0.3"/>
    <row r="212" ht="15.75" thickBot="1" x14ac:dyDescent="0.3"/>
    <row r="213" ht="15.75" thickBot="1" x14ac:dyDescent="0.3"/>
    <row r="214" ht="15.75" thickBot="1" x14ac:dyDescent="0.3"/>
    <row r="215" ht="15.75" thickBot="1" x14ac:dyDescent="0.3"/>
    <row r="216" ht="15.75" thickBot="1" x14ac:dyDescent="0.3"/>
    <row r="217" ht="15.75" thickBot="1" x14ac:dyDescent="0.3"/>
    <row r="218" ht="15.75" thickBot="1" x14ac:dyDescent="0.3"/>
    <row r="219" ht="15.75" thickBot="1" x14ac:dyDescent="0.3"/>
    <row r="220" ht="15.75" thickBot="1" x14ac:dyDescent="0.3"/>
    <row r="221" ht="15.75" thickBot="1" x14ac:dyDescent="0.3"/>
    <row r="222" ht="15.75" thickBot="1" x14ac:dyDescent="0.3"/>
    <row r="223" ht="15.75" thickBot="1" x14ac:dyDescent="0.3"/>
    <row r="421" ht="18.75" customHeight="1" x14ac:dyDescent="0.25"/>
    <row r="440" spans="2:4" ht="15" customHeight="1" x14ac:dyDescent="0.25">
      <c r="B440" s="286" t="s">
        <v>627</v>
      </c>
    </row>
    <row r="441" spans="2:4" ht="15" customHeight="1" x14ac:dyDescent="0.25">
      <c r="C441" s="82" t="s">
        <v>628</v>
      </c>
      <c r="D441" s="82" t="s">
        <v>629</v>
      </c>
    </row>
    <row r="442" spans="2:4" ht="15" customHeight="1" x14ac:dyDescent="0.25">
      <c r="C442" s="81">
        <v>0.1</v>
      </c>
      <c r="D442" s="82">
        <v>1</v>
      </c>
    </row>
    <row r="443" spans="2:4" ht="15" customHeight="1" x14ac:dyDescent="0.25">
      <c r="C443" s="81">
        <v>0.2</v>
      </c>
      <c r="D443" s="82">
        <v>1</v>
      </c>
    </row>
    <row r="444" spans="2:4" ht="15" customHeight="1" x14ac:dyDescent="0.25">
      <c r="C444" s="81">
        <v>0.3</v>
      </c>
      <c r="D444" s="82">
        <v>1</v>
      </c>
    </row>
    <row r="445" spans="2:4" ht="15" customHeight="1" x14ac:dyDescent="0.25">
      <c r="C445" s="81">
        <v>0.4</v>
      </c>
      <c r="D445" s="82">
        <v>1</v>
      </c>
    </row>
    <row r="446" spans="2:4" ht="15" customHeight="1" x14ac:dyDescent="0.25">
      <c r="C446" s="81">
        <v>0.5</v>
      </c>
      <c r="D446" s="82">
        <v>1</v>
      </c>
    </row>
    <row r="447" spans="2:4" ht="15" customHeight="1" x14ac:dyDescent="0.25">
      <c r="C447" s="81">
        <v>0.6</v>
      </c>
      <c r="D447" s="82">
        <v>1</v>
      </c>
    </row>
    <row r="448" spans="2:4" ht="15" customHeight="1" x14ac:dyDescent="0.25">
      <c r="C448" s="81">
        <v>0.7</v>
      </c>
      <c r="D448" s="82">
        <v>1</v>
      </c>
    </row>
    <row r="449" spans="2:7" ht="15" customHeight="1" x14ac:dyDescent="0.25">
      <c r="C449" s="81">
        <v>0.8</v>
      </c>
      <c r="D449" s="82">
        <v>1</v>
      </c>
    </row>
    <row r="450" spans="2:7" ht="15" customHeight="1" x14ac:dyDescent="0.25">
      <c r="C450" s="81">
        <v>0.9</v>
      </c>
      <c r="D450" s="82">
        <v>1</v>
      </c>
    </row>
    <row r="451" spans="2:7" ht="15" customHeight="1" x14ac:dyDescent="0.25">
      <c r="C451" s="81">
        <v>1</v>
      </c>
      <c r="D451" s="82">
        <f>SUM(D442:D450)</f>
        <v>9</v>
      </c>
    </row>
    <row r="452" spans="2:7" ht="15" customHeight="1" thickBot="1" x14ac:dyDescent="0.3">
      <c r="G452" t="s">
        <v>630</v>
      </c>
    </row>
    <row r="453" spans="2:7" ht="15.75" thickBot="1" x14ac:dyDescent="0.3">
      <c r="B453" s="287"/>
      <c r="C453" s="288" t="s">
        <v>631</v>
      </c>
      <c r="D453" s="289">
        <f>E456*PI()</f>
        <v>2.5694878505975454</v>
      </c>
    </row>
    <row r="454" spans="2:7" ht="15" customHeight="1" x14ac:dyDescent="0.25">
      <c r="B454" s="290" t="s">
        <v>632</v>
      </c>
      <c r="C454" s="291" t="s">
        <v>633</v>
      </c>
      <c r="D454" s="291" t="s">
        <v>634</v>
      </c>
    </row>
    <row r="455" spans="2:7" ht="15" customHeight="1" x14ac:dyDescent="0.25">
      <c r="B455" s="292" t="s">
        <v>635</v>
      </c>
      <c r="C455" s="292">
        <v>0</v>
      </c>
      <c r="D455" s="292">
        <v>0</v>
      </c>
    </row>
    <row r="456" spans="2:7" ht="15" customHeight="1" x14ac:dyDescent="0.25">
      <c r="B456" s="292" t="s">
        <v>636</v>
      </c>
      <c r="C456" s="292">
        <f>COS(D453)*-1</f>
        <v>0.84076329195770594</v>
      </c>
      <c r="D456" s="292">
        <f>SIN(D453)</f>
        <v>0.54140288777992429</v>
      </c>
      <c r="E456" s="282">
        <f>B64</f>
        <v>0.81789338527433764</v>
      </c>
    </row>
  </sheetData>
  <conditionalFormatting sqref="E73:E144">
    <cfRule type="iconSet" priority="1">
      <iconSet>
        <cfvo type="percent" val="0"/>
        <cfvo type="num" val="0.6" gte="0"/>
        <cfvo type="num" val="0.8" gte="0"/>
      </iconSet>
    </cfRule>
  </conditionalFormatting>
  <pageMargins left="0.7" right="0.7" top="0.75" bottom="0.75" header="0.3" footer="0.3"/>
  <pageSetup orientation="portrait" r:id="rId8"/>
  <drawing r:id="rId9"/>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pageSetUpPr fitToPage="1"/>
  </sheetPr>
  <dimension ref="A1:R23"/>
  <sheetViews>
    <sheetView showGridLines="0" topLeftCell="H1" zoomScaleNormal="100" workbookViewId="0">
      <selection activeCell="N7" sqref="N7"/>
    </sheetView>
  </sheetViews>
  <sheetFormatPr baseColWidth="10" defaultColWidth="11.375" defaultRowHeight="23.25" x14ac:dyDescent="0.25"/>
  <cols>
    <col min="1" max="1" width="36" style="85" customWidth="1"/>
    <col min="2" max="4" width="25.375" style="85" customWidth="1"/>
    <col min="5" max="5" width="36" style="85" customWidth="1"/>
    <col min="6" max="6" width="14.75" style="89" customWidth="1"/>
    <col min="7" max="7" width="30.625" style="85" customWidth="1"/>
    <col min="8" max="8" width="27.75" style="85" customWidth="1"/>
    <col min="9" max="10" width="21.625" style="85" customWidth="1"/>
    <col min="11" max="11" width="24.375" style="85" customWidth="1"/>
    <col min="12" max="12" width="22.875" style="85" customWidth="1"/>
    <col min="13" max="13" width="15" style="85" customWidth="1"/>
    <col min="14" max="14" width="64.625" style="85" customWidth="1"/>
    <col min="15" max="15" width="61.375" style="85" customWidth="1"/>
    <col min="16" max="16" width="30.375" style="85" customWidth="1"/>
    <col min="17" max="17" width="26.625" style="85" customWidth="1"/>
    <col min="18" max="18" width="29.625" style="85" customWidth="1"/>
    <col min="19" max="16384" width="11.375" style="85"/>
  </cols>
  <sheetData>
    <row r="1" spans="1:18" x14ac:dyDescent="0.25">
      <c r="A1" s="88"/>
      <c r="E1" s="88"/>
      <c r="F1" s="86"/>
      <c r="G1" s="87"/>
    </row>
    <row r="2" spans="1:18" x14ac:dyDescent="0.25">
      <c r="A2" s="88"/>
      <c r="E2" s="88"/>
      <c r="F2" s="86"/>
      <c r="G2" s="87"/>
    </row>
    <row r="3" spans="1:18" x14ac:dyDescent="0.25">
      <c r="A3" s="88"/>
      <c r="E3" s="88"/>
      <c r="F3" s="86"/>
      <c r="G3" s="87"/>
    </row>
    <row r="4" spans="1:18" x14ac:dyDescent="0.25">
      <c r="A4" s="88"/>
      <c r="B4" s="88"/>
      <c r="C4" s="88"/>
      <c r="E4" s="88"/>
      <c r="F4" s="86"/>
      <c r="G4" s="87"/>
    </row>
    <row r="5" spans="1:18" s="90" customFormat="1" ht="70.5" customHeight="1" x14ac:dyDescent="0.25">
      <c r="A5" s="100" t="s">
        <v>458</v>
      </c>
      <c r="B5" s="98" t="s">
        <v>410</v>
      </c>
      <c r="C5" s="99" t="s">
        <v>411</v>
      </c>
      <c r="D5" s="98" t="s">
        <v>412</v>
      </c>
      <c r="E5" s="99" t="s">
        <v>413</v>
      </c>
      <c r="F5" s="101" t="s">
        <v>414</v>
      </c>
      <c r="G5" s="102" t="s">
        <v>415</v>
      </c>
      <c r="H5" s="134" t="s">
        <v>416</v>
      </c>
      <c r="I5" s="135" t="s">
        <v>417</v>
      </c>
      <c r="J5" s="135" t="s">
        <v>418</v>
      </c>
      <c r="K5" s="135" t="s">
        <v>419</v>
      </c>
      <c r="L5" s="135" t="s">
        <v>420</v>
      </c>
      <c r="M5" s="136" t="s">
        <v>421</v>
      </c>
      <c r="N5" s="137" t="s">
        <v>407</v>
      </c>
      <c r="O5" s="137" t="s">
        <v>408</v>
      </c>
      <c r="P5" s="138" t="s">
        <v>422</v>
      </c>
      <c r="Q5" s="138" t="s">
        <v>423</v>
      </c>
      <c r="R5" s="139" t="s">
        <v>409</v>
      </c>
    </row>
    <row r="6" spans="1:18" s="91" customFormat="1" ht="111.75" customHeight="1" x14ac:dyDescent="0.25">
      <c r="A6" s="122">
        <v>1133</v>
      </c>
      <c r="B6" s="153" t="s">
        <v>459</v>
      </c>
      <c r="C6" s="153" t="s">
        <v>460</v>
      </c>
      <c r="D6" s="153" t="s">
        <v>461</v>
      </c>
      <c r="E6" s="151" t="s">
        <v>450</v>
      </c>
      <c r="F6" s="143">
        <v>2</v>
      </c>
      <c r="G6" s="103" t="s">
        <v>424</v>
      </c>
      <c r="H6" s="104" t="s">
        <v>425</v>
      </c>
      <c r="I6" s="105"/>
      <c r="J6" s="105"/>
      <c r="K6" s="106"/>
      <c r="L6" s="106"/>
      <c r="M6" s="107"/>
      <c r="N6" s="108"/>
      <c r="O6" s="108"/>
      <c r="P6" s="108"/>
      <c r="Q6" s="108"/>
      <c r="R6" s="108"/>
    </row>
    <row r="7" spans="1:18" s="91" customFormat="1" ht="111.75" customHeight="1" x14ac:dyDescent="0.25">
      <c r="A7" s="122">
        <v>1133</v>
      </c>
      <c r="B7" s="153" t="s">
        <v>459</v>
      </c>
      <c r="C7" s="153" t="s">
        <v>460</v>
      </c>
      <c r="D7" s="153" t="s">
        <v>461</v>
      </c>
      <c r="E7" s="151" t="s">
        <v>450</v>
      </c>
      <c r="F7" s="144">
        <v>3</v>
      </c>
      <c r="G7" s="109" t="s">
        <v>426</v>
      </c>
      <c r="H7" s="104" t="s">
        <v>427</v>
      </c>
      <c r="I7" s="105"/>
      <c r="J7" s="105"/>
      <c r="K7" s="106"/>
      <c r="L7" s="106"/>
      <c r="M7" s="107"/>
      <c r="N7" s="110"/>
      <c r="O7" s="108"/>
      <c r="P7" s="111"/>
      <c r="Q7" s="111"/>
      <c r="R7" s="111"/>
    </row>
    <row r="8" spans="1:18" s="92" customFormat="1" ht="111.75" customHeight="1" x14ac:dyDescent="0.25">
      <c r="A8" s="122">
        <v>1133</v>
      </c>
      <c r="B8" s="153" t="s">
        <v>459</v>
      </c>
      <c r="C8" s="153" t="s">
        <v>460</v>
      </c>
      <c r="D8" s="153" t="s">
        <v>461</v>
      </c>
      <c r="E8" s="151" t="s">
        <v>450</v>
      </c>
      <c r="F8" s="144">
        <v>4</v>
      </c>
      <c r="G8" s="109" t="s">
        <v>428</v>
      </c>
      <c r="H8" s="104" t="s">
        <v>429</v>
      </c>
      <c r="I8" s="105"/>
      <c r="J8" s="105"/>
      <c r="K8" s="106"/>
      <c r="L8" s="106"/>
      <c r="M8" s="107"/>
      <c r="N8" s="108"/>
      <c r="O8" s="108"/>
      <c r="P8" s="108"/>
      <c r="Q8" s="108"/>
      <c r="R8" s="108"/>
    </row>
    <row r="9" spans="1:18" s="91" customFormat="1" ht="111.75" customHeight="1" x14ac:dyDescent="0.25">
      <c r="A9" s="122">
        <v>1133</v>
      </c>
      <c r="B9" s="153" t="s">
        <v>459</v>
      </c>
      <c r="C9" s="153" t="s">
        <v>460</v>
      </c>
      <c r="D9" s="153" t="s">
        <v>461</v>
      </c>
      <c r="E9" s="151" t="s">
        <v>450</v>
      </c>
      <c r="F9" s="143">
        <v>5</v>
      </c>
      <c r="G9" s="103" t="s">
        <v>430</v>
      </c>
      <c r="H9" s="104" t="s">
        <v>431</v>
      </c>
      <c r="I9" s="105"/>
      <c r="J9" s="105"/>
      <c r="K9" s="106"/>
      <c r="L9" s="106"/>
      <c r="M9" s="107"/>
      <c r="N9" s="110"/>
      <c r="O9" s="108"/>
      <c r="P9" s="108"/>
      <c r="Q9" s="108"/>
      <c r="R9" s="108"/>
    </row>
    <row r="10" spans="1:18" s="91" customFormat="1" ht="111.75" customHeight="1" x14ac:dyDescent="0.25">
      <c r="A10" s="122">
        <v>1133</v>
      </c>
      <c r="B10" s="153" t="s">
        <v>459</v>
      </c>
      <c r="C10" s="153" t="s">
        <v>460</v>
      </c>
      <c r="D10" s="153" t="s">
        <v>461</v>
      </c>
      <c r="E10" s="151" t="s">
        <v>450</v>
      </c>
      <c r="F10" s="144">
        <v>6</v>
      </c>
      <c r="G10" s="109" t="s">
        <v>432</v>
      </c>
      <c r="H10" s="104" t="s">
        <v>433</v>
      </c>
      <c r="I10" s="105"/>
      <c r="J10" s="105"/>
      <c r="K10" s="106"/>
      <c r="L10" s="106"/>
      <c r="M10" s="107"/>
      <c r="N10" s="108"/>
      <c r="O10" s="108"/>
      <c r="P10" s="108"/>
      <c r="Q10" s="108"/>
      <c r="R10" s="108"/>
    </row>
    <row r="11" spans="1:18" s="91" customFormat="1" ht="111.75" customHeight="1" x14ac:dyDescent="0.25">
      <c r="A11" s="122">
        <v>1133</v>
      </c>
      <c r="B11" s="153" t="s">
        <v>459</v>
      </c>
      <c r="C11" s="153" t="s">
        <v>460</v>
      </c>
      <c r="D11" s="153" t="s">
        <v>461</v>
      </c>
      <c r="E11" s="151" t="s">
        <v>450</v>
      </c>
      <c r="F11" s="143">
        <v>7</v>
      </c>
      <c r="G11" s="103" t="s">
        <v>434</v>
      </c>
      <c r="H11" s="104" t="s">
        <v>435</v>
      </c>
      <c r="I11" s="105"/>
      <c r="J11" s="105"/>
      <c r="K11" s="106"/>
      <c r="L11" s="106"/>
      <c r="M11" s="107"/>
      <c r="N11" s="108"/>
      <c r="O11" s="108"/>
      <c r="P11" s="108"/>
      <c r="Q11" s="108"/>
      <c r="R11" s="108"/>
    </row>
    <row r="12" spans="1:18" s="91" customFormat="1" ht="75" x14ac:dyDescent="0.25">
      <c r="A12" s="122">
        <v>1133</v>
      </c>
      <c r="B12" s="153" t="s">
        <v>459</v>
      </c>
      <c r="C12" s="153" t="s">
        <v>460</v>
      </c>
      <c r="D12" s="153" t="s">
        <v>461</v>
      </c>
      <c r="E12" s="112" t="s">
        <v>451</v>
      </c>
      <c r="F12" s="145">
        <v>8</v>
      </c>
      <c r="G12" s="112" t="s">
        <v>436</v>
      </c>
      <c r="H12" s="104" t="s">
        <v>437</v>
      </c>
      <c r="I12" s="105"/>
      <c r="J12" s="105"/>
      <c r="K12" s="106"/>
      <c r="L12" s="106"/>
      <c r="M12" s="107"/>
      <c r="N12" s="108"/>
      <c r="O12" s="108"/>
      <c r="P12" s="108"/>
      <c r="Q12" s="108"/>
      <c r="R12" s="108"/>
    </row>
    <row r="13" spans="1:18" s="91" customFormat="1" ht="75" x14ac:dyDescent="0.25">
      <c r="A13" s="122">
        <v>1133</v>
      </c>
      <c r="B13" s="153" t="s">
        <v>459</v>
      </c>
      <c r="C13" s="153" t="s">
        <v>460</v>
      </c>
      <c r="D13" s="153" t="s">
        <v>461</v>
      </c>
      <c r="E13" s="113" t="s">
        <v>452</v>
      </c>
      <c r="F13" s="147">
        <v>3</v>
      </c>
      <c r="G13" s="113" t="s">
        <v>426</v>
      </c>
      <c r="H13" s="104" t="s">
        <v>427</v>
      </c>
      <c r="I13" s="105"/>
      <c r="J13" s="105"/>
      <c r="K13" s="106"/>
      <c r="L13" s="106"/>
      <c r="M13" s="107"/>
      <c r="N13" s="108"/>
      <c r="O13" s="114"/>
      <c r="P13" s="114"/>
      <c r="Q13" s="114"/>
      <c r="R13" s="114"/>
    </row>
    <row r="14" spans="1:18" s="91" customFormat="1" ht="75" x14ac:dyDescent="0.25">
      <c r="A14" s="122">
        <v>1133</v>
      </c>
      <c r="B14" s="153" t="s">
        <v>459</v>
      </c>
      <c r="C14" s="153" t="s">
        <v>460</v>
      </c>
      <c r="D14" s="153" t="s">
        <v>461</v>
      </c>
      <c r="E14" s="115" t="s">
        <v>453</v>
      </c>
      <c r="F14" s="148">
        <v>8</v>
      </c>
      <c r="G14" s="115" t="s">
        <v>436</v>
      </c>
      <c r="H14" s="104" t="s">
        <v>437</v>
      </c>
      <c r="I14" s="105"/>
      <c r="J14" s="105"/>
      <c r="K14" s="106"/>
      <c r="L14" s="106"/>
      <c r="M14" s="107"/>
      <c r="N14" s="116"/>
      <c r="O14" s="117"/>
      <c r="P14" s="117"/>
      <c r="Q14" s="117"/>
      <c r="R14" s="117"/>
    </row>
    <row r="15" spans="1:18" s="91" customFormat="1" ht="93.75" x14ac:dyDescent="0.25">
      <c r="A15" s="122">
        <v>1133</v>
      </c>
      <c r="B15" s="153" t="s">
        <v>459</v>
      </c>
      <c r="C15" s="153" t="s">
        <v>460</v>
      </c>
      <c r="D15" s="153" t="s">
        <v>461</v>
      </c>
      <c r="E15" s="118" t="s">
        <v>454</v>
      </c>
      <c r="F15" s="142">
        <v>1</v>
      </c>
      <c r="G15" s="118" t="s">
        <v>438</v>
      </c>
      <c r="H15" s="104" t="s">
        <v>425</v>
      </c>
      <c r="I15" s="105"/>
      <c r="J15" s="105"/>
      <c r="K15" s="106"/>
      <c r="L15" s="106"/>
      <c r="M15" s="107"/>
      <c r="N15" s="108"/>
      <c r="O15" s="117"/>
      <c r="P15" s="117"/>
      <c r="Q15" s="117"/>
      <c r="R15" s="117"/>
    </row>
    <row r="16" spans="1:18" s="91" customFormat="1" ht="106.5" customHeight="1" x14ac:dyDescent="0.25">
      <c r="A16" s="122">
        <v>1133</v>
      </c>
      <c r="B16" s="153" t="s">
        <v>459</v>
      </c>
      <c r="C16" s="153" t="s">
        <v>460</v>
      </c>
      <c r="D16" s="153" t="s">
        <v>461</v>
      </c>
      <c r="E16" s="155" t="s">
        <v>455</v>
      </c>
      <c r="F16" s="146">
        <v>1</v>
      </c>
      <c r="G16" s="119" t="s">
        <v>438</v>
      </c>
      <c r="H16" s="104" t="s">
        <v>425</v>
      </c>
      <c r="I16" s="105"/>
      <c r="J16" s="105"/>
      <c r="K16" s="106"/>
      <c r="L16" s="106"/>
      <c r="M16" s="107"/>
      <c r="N16" s="108"/>
      <c r="O16" s="116"/>
      <c r="P16" s="108"/>
      <c r="Q16" s="108"/>
      <c r="R16" s="108"/>
    </row>
    <row r="17" spans="1:18" s="91" customFormat="1" ht="90.75" customHeight="1" x14ac:dyDescent="0.25">
      <c r="A17" s="122">
        <v>1133</v>
      </c>
      <c r="B17" s="153" t="s">
        <v>459</v>
      </c>
      <c r="C17" s="153" t="s">
        <v>460</v>
      </c>
      <c r="D17" s="153" t="s">
        <v>461</v>
      </c>
      <c r="E17" s="155" t="s">
        <v>455</v>
      </c>
      <c r="F17" s="146">
        <v>3</v>
      </c>
      <c r="G17" s="119" t="s">
        <v>426</v>
      </c>
      <c r="H17" s="104" t="s">
        <v>427</v>
      </c>
      <c r="I17" s="105"/>
      <c r="J17" s="105"/>
      <c r="K17" s="106"/>
      <c r="L17" s="106"/>
      <c r="M17" s="107"/>
      <c r="N17" s="108"/>
      <c r="O17" s="116"/>
      <c r="P17" s="116"/>
      <c r="Q17" s="116"/>
      <c r="R17" s="116"/>
    </row>
    <row r="18" spans="1:18" s="93" customFormat="1" ht="15.75" customHeight="1" thickBot="1" x14ac:dyDescent="0.3">
      <c r="A18" s="120"/>
      <c r="B18" s="120"/>
      <c r="C18" s="120"/>
      <c r="D18" s="120"/>
      <c r="E18" s="120"/>
      <c r="F18" s="120"/>
      <c r="G18" s="120" t="s">
        <v>439</v>
      </c>
      <c r="H18" s="120"/>
      <c r="I18" s="120"/>
      <c r="J18" s="120"/>
      <c r="K18" s="121"/>
      <c r="L18" s="121"/>
      <c r="M18" s="120"/>
      <c r="N18" s="120"/>
      <c r="O18" s="120"/>
      <c r="P18" s="120"/>
      <c r="Q18" s="120"/>
      <c r="R18" s="120"/>
    </row>
    <row r="19" spans="1:18" s="91" customFormat="1" ht="168.75" x14ac:dyDescent="0.25">
      <c r="A19" s="149">
        <v>908</v>
      </c>
      <c r="B19" s="150" t="s">
        <v>441</v>
      </c>
      <c r="C19" s="150" t="s">
        <v>442</v>
      </c>
      <c r="D19" s="150" t="s">
        <v>462</v>
      </c>
      <c r="E19" s="157" t="s">
        <v>456</v>
      </c>
      <c r="F19" s="122">
        <v>2</v>
      </c>
      <c r="G19" s="158" t="s">
        <v>443</v>
      </c>
      <c r="H19" s="104" t="s">
        <v>444</v>
      </c>
      <c r="I19" s="105"/>
      <c r="J19" s="105"/>
      <c r="K19" s="106"/>
      <c r="L19" s="106"/>
      <c r="M19" s="107"/>
      <c r="N19" s="140"/>
      <c r="O19" s="140"/>
      <c r="P19" s="140"/>
      <c r="Q19" s="141"/>
      <c r="R19" s="123"/>
    </row>
    <row r="20" spans="1:18" s="94" customFormat="1" ht="19.5" thickBot="1" x14ac:dyDescent="0.3">
      <c r="A20" s="152"/>
      <c r="B20" s="124"/>
      <c r="C20" s="124"/>
      <c r="D20" s="124"/>
      <c r="E20" s="120"/>
      <c r="F20" s="120"/>
      <c r="G20" s="120"/>
      <c r="H20" s="125"/>
      <c r="I20" s="125"/>
      <c r="J20" s="125"/>
      <c r="K20" s="126"/>
      <c r="L20" s="126"/>
      <c r="M20" s="125"/>
      <c r="N20" s="120"/>
      <c r="O20" s="120"/>
      <c r="P20" s="120"/>
      <c r="Q20" s="120"/>
      <c r="R20" s="120"/>
    </row>
    <row r="21" spans="1:18" s="91" customFormat="1" ht="94.5" thickBot="1" x14ac:dyDescent="0.3">
      <c r="A21" s="127">
        <v>1135</v>
      </c>
      <c r="B21" s="154" t="s">
        <v>441</v>
      </c>
      <c r="C21" s="154" t="s">
        <v>446</v>
      </c>
      <c r="D21" s="154" t="s">
        <v>463</v>
      </c>
      <c r="E21" s="159" t="s">
        <v>457</v>
      </c>
      <c r="F21" s="127">
        <v>1</v>
      </c>
      <c r="G21" s="160" t="s">
        <v>447</v>
      </c>
      <c r="H21" s="104" t="s">
        <v>448</v>
      </c>
      <c r="I21" s="105"/>
      <c r="J21" s="128"/>
      <c r="K21" s="106"/>
      <c r="L21" s="129"/>
      <c r="M21" s="130"/>
      <c r="N21" s="117"/>
      <c r="O21" s="117"/>
      <c r="P21" s="117"/>
      <c r="Q21" s="117"/>
      <c r="R21" s="123"/>
    </row>
    <row r="22" spans="1:18" s="91" customFormat="1" ht="75" x14ac:dyDescent="0.25">
      <c r="A22" s="127">
        <v>1135</v>
      </c>
      <c r="B22" s="154" t="s">
        <v>441</v>
      </c>
      <c r="C22" s="154" t="s">
        <v>446</v>
      </c>
      <c r="D22" s="154" t="s">
        <v>463</v>
      </c>
      <c r="E22" s="159" t="s">
        <v>457</v>
      </c>
      <c r="F22" s="127">
        <v>2</v>
      </c>
      <c r="G22" s="160" t="s">
        <v>449</v>
      </c>
      <c r="H22" s="104" t="s">
        <v>448</v>
      </c>
      <c r="I22" s="128"/>
      <c r="J22" s="128"/>
      <c r="K22" s="129"/>
      <c r="L22" s="129"/>
      <c r="M22" s="130"/>
      <c r="N22" s="117"/>
      <c r="O22" s="117"/>
      <c r="P22" s="117"/>
      <c r="Q22" s="117"/>
      <c r="R22" s="123"/>
    </row>
    <row r="23" spans="1:18" ht="18.75" x14ac:dyDescent="0.25">
      <c r="A23" s="132"/>
      <c r="B23" s="131" t="s">
        <v>439</v>
      </c>
      <c r="C23" s="132"/>
      <c r="D23" s="132"/>
      <c r="E23" s="132"/>
      <c r="F23" s="133"/>
      <c r="G23" s="125" t="s">
        <v>439</v>
      </c>
      <c r="H23" s="125"/>
      <c r="I23" s="125"/>
      <c r="J23" s="125"/>
      <c r="K23" s="126"/>
      <c r="L23" s="126"/>
      <c r="M23" s="125"/>
      <c r="N23" s="120"/>
      <c r="O23" s="120"/>
      <c r="P23" s="120"/>
      <c r="Q23" s="120"/>
      <c r="R23" s="120"/>
    </row>
  </sheetData>
  <autoFilter ref="A5:R23"/>
  <pageMargins left="0.25" right="0.25" top="0.75" bottom="0.75" header="0.3" footer="0.3"/>
  <pageSetup scale="35" fitToHeight="0" orientation="landscape" r:id="rId1"/>
  <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9" tint="-0.249977111117893"/>
  </sheetPr>
  <dimension ref="A7:D51"/>
  <sheetViews>
    <sheetView showGridLines="0" workbookViewId="0">
      <pane xSplit="4" ySplit="8" topLeftCell="E9" activePane="bottomRight" state="frozen"/>
      <selection pane="topRight" activeCell="E1" sqref="E1"/>
      <selection pane="bottomLeft" activeCell="A8" sqref="A8"/>
      <selection pane="bottomRight"/>
    </sheetView>
  </sheetViews>
  <sheetFormatPr baseColWidth="10" defaultRowHeight="15" x14ac:dyDescent="0.25"/>
  <cols>
    <col min="1" max="1" width="7.625" customWidth="1"/>
    <col min="2" max="2" width="10" customWidth="1"/>
    <col min="3" max="3" width="58.375" customWidth="1"/>
    <col min="4" max="4" width="31.875" customWidth="1"/>
  </cols>
  <sheetData>
    <row r="7" spans="1:4" x14ac:dyDescent="0.25">
      <c r="B7" s="247"/>
      <c r="C7" s="257" t="s">
        <v>406</v>
      </c>
      <c r="D7" s="85"/>
    </row>
    <row r="8" spans="1:4" ht="23.25" thickBot="1" x14ac:dyDescent="0.3">
      <c r="A8" s="256" t="s">
        <v>550</v>
      </c>
      <c r="B8" s="249" t="s">
        <v>7</v>
      </c>
      <c r="C8" s="249" t="s">
        <v>551</v>
      </c>
      <c r="D8" s="248" t="s">
        <v>416</v>
      </c>
    </row>
    <row r="9" spans="1:4" ht="66.75" customHeight="1" thickBot="1" x14ac:dyDescent="0.3">
      <c r="A9" s="82">
        <v>103</v>
      </c>
      <c r="B9" s="163">
        <v>1</v>
      </c>
      <c r="C9" s="13" t="s">
        <v>577</v>
      </c>
      <c r="D9" s="223" t="s">
        <v>552</v>
      </c>
    </row>
    <row r="10" spans="1:4" ht="30" x14ac:dyDescent="0.25">
      <c r="A10" s="82">
        <v>103</v>
      </c>
      <c r="B10" s="163">
        <v>2</v>
      </c>
      <c r="C10" s="223" t="s">
        <v>309</v>
      </c>
      <c r="D10" s="223" t="s">
        <v>552</v>
      </c>
    </row>
    <row r="11" spans="1:4" ht="30" x14ac:dyDescent="0.25">
      <c r="A11" s="82">
        <v>103</v>
      </c>
      <c r="B11" s="163">
        <v>3</v>
      </c>
      <c r="C11" s="223" t="s">
        <v>553</v>
      </c>
      <c r="D11" s="223" t="s">
        <v>552</v>
      </c>
    </row>
    <row r="12" spans="1:4" x14ac:dyDescent="0.25">
      <c r="A12" s="82">
        <v>103</v>
      </c>
      <c r="B12" s="163">
        <v>4</v>
      </c>
      <c r="C12" s="223" t="s">
        <v>554</v>
      </c>
      <c r="D12" s="223" t="s">
        <v>552</v>
      </c>
    </row>
    <row r="13" spans="1:4" s="250" customFormat="1" ht="30" x14ac:dyDescent="0.25">
      <c r="A13" s="82">
        <v>103</v>
      </c>
      <c r="B13" s="163">
        <v>5</v>
      </c>
      <c r="C13" s="254" t="s">
        <v>326</v>
      </c>
      <c r="D13" s="223" t="s">
        <v>552</v>
      </c>
    </row>
    <row r="14" spans="1:4" ht="30" x14ac:dyDescent="0.25">
      <c r="A14" s="82">
        <v>103</v>
      </c>
      <c r="B14" s="163">
        <v>6</v>
      </c>
      <c r="C14" s="223" t="s">
        <v>555</v>
      </c>
      <c r="D14" s="223" t="s">
        <v>552</v>
      </c>
    </row>
    <row r="15" spans="1:4" ht="30" x14ac:dyDescent="0.25">
      <c r="A15" s="82">
        <v>103</v>
      </c>
      <c r="B15" s="163">
        <v>7</v>
      </c>
      <c r="C15" s="223" t="s">
        <v>556</v>
      </c>
      <c r="D15" s="223" t="s">
        <v>552</v>
      </c>
    </row>
    <row r="16" spans="1:4" ht="32.25" customHeight="1" x14ac:dyDescent="0.25">
      <c r="A16" s="82">
        <v>103</v>
      </c>
      <c r="B16" s="163">
        <v>8</v>
      </c>
      <c r="C16" s="223" t="s">
        <v>490</v>
      </c>
      <c r="D16" s="223" t="s">
        <v>557</v>
      </c>
    </row>
    <row r="17" spans="1:4" ht="30" customHeight="1" x14ac:dyDescent="0.25">
      <c r="A17" s="82">
        <v>103</v>
      </c>
      <c r="B17" s="163">
        <v>9</v>
      </c>
      <c r="C17" s="223" t="s">
        <v>524</v>
      </c>
      <c r="D17" s="223" t="s">
        <v>557</v>
      </c>
    </row>
    <row r="18" spans="1:4" ht="29.25" customHeight="1" x14ac:dyDescent="0.25">
      <c r="A18" s="82">
        <v>103</v>
      </c>
      <c r="B18" s="163">
        <v>10</v>
      </c>
      <c r="C18" s="223" t="s">
        <v>525</v>
      </c>
      <c r="D18" s="223" t="s">
        <v>557</v>
      </c>
    </row>
    <row r="19" spans="1:4" ht="30" x14ac:dyDescent="0.25">
      <c r="A19" s="82">
        <v>103</v>
      </c>
      <c r="B19" s="163">
        <v>11</v>
      </c>
      <c r="C19" s="223" t="s">
        <v>558</v>
      </c>
      <c r="D19" s="223" t="s">
        <v>559</v>
      </c>
    </row>
    <row r="20" spans="1:4" ht="30" x14ac:dyDescent="0.25">
      <c r="A20" s="82">
        <v>115</v>
      </c>
      <c r="B20" s="163">
        <v>12</v>
      </c>
      <c r="C20" s="223" t="s">
        <v>560</v>
      </c>
      <c r="D20" s="223" t="s">
        <v>561</v>
      </c>
    </row>
    <row r="21" spans="1:4" s="251" customFormat="1" ht="30" x14ac:dyDescent="0.25">
      <c r="A21" s="82">
        <v>115</v>
      </c>
      <c r="B21" s="163">
        <v>13</v>
      </c>
      <c r="C21" s="223" t="s">
        <v>562</v>
      </c>
      <c r="D21" s="223" t="s">
        <v>561</v>
      </c>
    </row>
    <row r="22" spans="1:4" ht="30" x14ac:dyDescent="0.25">
      <c r="A22" s="82">
        <v>115</v>
      </c>
      <c r="B22" s="163">
        <v>14</v>
      </c>
      <c r="C22" s="223" t="s">
        <v>563</v>
      </c>
      <c r="D22" s="223" t="s">
        <v>561</v>
      </c>
    </row>
    <row r="23" spans="1:4" ht="30" x14ac:dyDescent="0.25">
      <c r="A23" s="82">
        <v>115</v>
      </c>
      <c r="B23" s="163">
        <v>15</v>
      </c>
      <c r="C23" s="223" t="s">
        <v>287</v>
      </c>
      <c r="D23" s="223" t="s">
        <v>561</v>
      </c>
    </row>
    <row r="24" spans="1:4" ht="60" x14ac:dyDescent="0.25">
      <c r="A24" s="82">
        <v>117</v>
      </c>
      <c r="B24" s="163">
        <v>16</v>
      </c>
      <c r="C24" s="223" t="s">
        <v>564</v>
      </c>
      <c r="D24" s="223" t="s">
        <v>559</v>
      </c>
    </row>
    <row r="25" spans="1:4" ht="30" x14ac:dyDescent="0.25">
      <c r="A25" s="82">
        <v>117</v>
      </c>
      <c r="B25" s="163">
        <v>17</v>
      </c>
      <c r="C25" s="223" t="s">
        <v>565</v>
      </c>
      <c r="D25" s="223" t="s">
        <v>559</v>
      </c>
    </row>
    <row r="26" spans="1:4" x14ac:dyDescent="0.25">
      <c r="A26" s="82">
        <v>117</v>
      </c>
      <c r="B26" s="163">
        <v>18</v>
      </c>
      <c r="C26" s="223" t="s">
        <v>566</v>
      </c>
      <c r="D26" s="223" t="s">
        <v>559</v>
      </c>
    </row>
    <row r="27" spans="1:4" x14ac:dyDescent="0.25">
      <c r="A27" s="82">
        <v>117</v>
      </c>
      <c r="B27" s="163">
        <v>19</v>
      </c>
      <c r="C27" s="223" t="s">
        <v>567</v>
      </c>
      <c r="D27" s="223" t="s">
        <v>559</v>
      </c>
    </row>
    <row r="28" spans="1:4" ht="30" x14ac:dyDescent="0.25">
      <c r="A28" s="82">
        <v>118</v>
      </c>
      <c r="B28" s="163">
        <v>20</v>
      </c>
      <c r="C28" s="223" t="s">
        <v>568</v>
      </c>
      <c r="D28" s="223" t="s">
        <v>559</v>
      </c>
    </row>
    <row r="29" spans="1:4" ht="30" x14ac:dyDescent="0.25">
      <c r="A29" s="82">
        <v>119</v>
      </c>
      <c r="B29" s="163">
        <v>21</v>
      </c>
      <c r="C29" s="223" t="s">
        <v>569</v>
      </c>
      <c r="D29" s="223" t="s">
        <v>559</v>
      </c>
    </row>
    <row r="30" spans="1:4" ht="30" x14ac:dyDescent="0.25">
      <c r="A30" s="82">
        <v>119</v>
      </c>
      <c r="B30" s="163">
        <v>22</v>
      </c>
      <c r="C30" s="223" t="s">
        <v>263</v>
      </c>
      <c r="D30" s="223" t="s">
        <v>559</v>
      </c>
    </row>
    <row r="31" spans="1:4" ht="30" x14ac:dyDescent="0.25">
      <c r="A31" s="82">
        <v>119</v>
      </c>
      <c r="B31" s="163">
        <v>23</v>
      </c>
      <c r="C31" s="223" t="s">
        <v>570</v>
      </c>
      <c r="D31" s="223" t="s">
        <v>559</v>
      </c>
    </row>
    <row r="32" spans="1:4" ht="30" x14ac:dyDescent="0.25">
      <c r="A32" s="82">
        <v>116</v>
      </c>
      <c r="B32" s="163">
        <v>24</v>
      </c>
      <c r="C32" s="95" t="s">
        <v>530</v>
      </c>
      <c r="D32" s="223" t="s">
        <v>528</v>
      </c>
    </row>
    <row r="33" spans="1:4" x14ac:dyDescent="0.25">
      <c r="A33" s="255"/>
      <c r="B33" s="255"/>
      <c r="C33" s="255"/>
      <c r="D33" s="255"/>
    </row>
    <row r="34" spans="1:4" x14ac:dyDescent="0.25">
      <c r="A34" s="255"/>
      <c r="B34" s="255"/>
      <c r="C34" s="255"/>
      <c r="D34" s="255"/>
    </row>
    <row r="35" spans="1:4" x14ac:dyDescent="0.25">
      <c r="A35" s="255"/>
      <c r="B35" s="255"/>
      <c r="C35" s="255"/>
      <c r="D35" s="255"/>
    </row>
    <row r="36" spans="1:4" x14ac:dyDescent="0.25">
      <c r="A36" s="255"/>
      <c r="B36" s="255"/>
      <c r="C36" s="255"/>
      <c r="D36" s="255"/>
    </row>
    <row r="37" spans="1:4" ht="15" customHeight="1" x14ac:dyDescent="0.25">
      <c r="A37" s="255"/>
      <c r="B37" s="249"/>
      <c r="C37" s="257" t="s">
        <v>445</v>
      </c>
    </row>
    <row r="38" spans="1:4" ht="30" x14ac:dyDescent="0.25">
      <c r="A38" s="256" t="s">
        <v>550</v>
      </c>
      <c r="B38" s="249" t="s">
        <v>7</v>
      </c>
      <c r="C38" s="249" t="s">
        <v>571</v>
      </c>
      <c r="D38" s="249" t="s">
        <v>416</v>
      </c>
    </row>
    <row r="39" spans="1:4" ht="28.5" customHeight="1" x14ac:dyDescent="0.25">
      <c r="A39" s="82">
        <v>92</v>
      </c>
      <c r="B39" s="163">
        <v>1</v>
      </c>
      <c r="C39" s="223" t="s">
        <v>572</v>
      </c>
      <c r="D39" s="163" t="s">
        <v>573</v>
      </c>
    </row>
    <row r="40" spans="1:4" x14ac:dyDescent="0.25">
      <c r="A40" s="82">
        <v>92</v>
      </c>
      <c r="B40" s="163">
        <v>2</v>
      </c>
      <c r="C40" s="223" t="s">
        <v>79</v>
      </c>
      <c r="D40" s="163" t="s">
        <v>573</v>
      </c>
    </row>
    <row r="41" spans="1:4" ht="30" x14ac:dyDescent="0.25">
      <c r="A41" s="82">
        <v>92</v>
      </c>
      <c r="B41" s="223">
        <v>3</v>
      </c>
      <c r="C41" s="254" t="s">
        <v>526</v>
      </c>
      <c r="D41" s="163" t="s">
        <v>573</v>
      </c>
    </row>
    <row r="42" spans="1:4" ht="30" x14ac:dyDescent="0.25">
      <c r="A42" s="82">
        <v>92</v>
      </c>
      <c r="B42" s="223">
        <v>4</v>
      </c>
      <c r="C42" s="223" t="s">
        <v>527</v>
      </c>
      <c r="D42" s="163" t="s">
        <v>573</v>
      </c>
    </row>
    <row r="43" spans="1:4" ht="60" x14ac:dyDescent="0.25">
      <c r="A43" s="82">
        <v>92</v>
      </c>
      <c r="B43" s="223">
        <v>5</v>
      </c>
      <c r="C43" s="223" t="s">
        <v>574</v>
      </c>
      <c r="D43" s="163" t="s">
        <v>573</v>
      </c>
    </row>
    <row r="44" spans="1:4" x14ac:dyDescent="0.25">
      <c r="A44" s="255"/>
      <c r="B44" s="255"/>
      <c r="C44" s="255"/>
      <c r="D44" s="255"/>
    </row>
    <row r="45" spans="1:4" x14ac:dyDescent="0.25">
      <c r="A45" s="255"/>
      <c r="B45" s="255"/>
      <c r="C45" s="255"/>
      <c r="D45" s="255"/>
    </row>
    <row r="46" spans="1:4" ht="15" customHeight="1" x14ac:dyDescent="0.25">
      <c r="A46" s="255"/>
      <c r="B46" s="249"/>
      <c r="C46" s="257" t="s">
        <v>440</v>
      </c>
    </row>
    <row r="47" spans="1:4" ht="30.75" thickBot="1" x14ac:dyDescent="0.3">
      <c r="A47" s="256" t="s">
        <v>550</v>
      </c>
      <c r="B47" s="249" t="s">
        <v>7</v>
      </c>
      <c r="C47" s="249" t="s">
        <v>571</v>
      </c>
      <c r="D47" s="249" t="s">
        <v>416</v>
      </c>
    </row>
    <row r="48" spans="1:4" ht="45.75" thickBot="1" x14ac:dyDescent="0.3">
      <c r="A48" s="82">
        <v>71</v>
      </c>
      <c r="B48" s="223">
        <v>1</v>
      </c>
      <c r="C48" s="272" t="s">
        <v>595</v>
      </c>
      <c r="D48" s="163" t="s">
        <v>573</v>
      </c>
    </row>
    <row r="49" spans="1:4" ht="45.75" thickBot="1" x14ac:dyDescent="0.3">
      <c r="A49" s="82">
        <v>71</v>
      </c>
      <c r="B49" s="223">
        <v>2</v>
      </c>
      <c r="C49" s="272" t="s">
        <v>596</v>
      </c>
      <c r="D49" s="163" t="s">
        <v>573</v>
      </c>
    </row>
    <row r="50" spans="1:4" ht="30" x14ac:dyDescent="0.25">
      <c r="A50" s="82">
        <v>71</v>
      </c>
      <c r="B50" s="163">
        <v>3</v>
      </c>
      <c r="C50" s="273" t="s">
        <v>594</v>
      </c>
      <c r="D50" s="163" t="s">
        <v>573</v>
      </c>
    </row>
    <row r="51" spans="1:4" ht="30" x14ac:dyDescent="0.25">
      <c r="A51" s="82">
        <v>71</v>
      </c>
      <c r="B51" s="163">
        <v>4</v>
      </c>
      <c r="C51" s="223" t="s">
        <v>575</v>
      </c>
      <c r="D51" s="163" t="s">
        <v>559</v>
      </c>
    </row>
  </sheetData>
  <pageMargins left="0.7" right="0.7" top="0.75" bottom="0.75" header="0.3" footer="0.3"/>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2</vt:i4>
      </vt:variant>
    </vt:vector>
  </HeadingPairs>
  <TitlesOfParts>
    <vt:vector size="9" baseType="lpstr">
      <vt:lpstr>PLAN DE ACCIÓN 2018</vt:lpstr>
      <vt:lpstr>Indicadores</vt:lpstr>
      <vt:lpstr>PLAN DE ACCIÓN 2019 Producto</vt:lpstr>
      <vt:lpstr>PLAN DE ACCIÓN 2019 Actividades</vt:lpstr>
      <vt:lpstr>Tablas</vt:lpstr>
      <vt:lpstr>PLAN DE DESARROLLO 2018</vt:lpstr>
      <vt:lpstr>Actividades Plan de Desarrollo</vt:lpstr>
      <vt:lpstr>'PLAN DE ACCIÓN 2019 Producto'!Área_de_impresión</vt:lpstr>
      <vt:lpstr>'PLAN DE DESARROLLO 2018'!Área_de_impresión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Soporte</dc:creator>
  <cp:lastModifiedBy>Nicolas Suarez Casallas</cp:lastModifiedBy>
  <cp:lastPrinted>2018-08-09T16:49:01Z</cp:lastPrinted>
  <dcterms:created xsi:type="dcterms:W3CDTF">2018-02-01T01:50:26Z</dcterms:created>
  <dcterms:modified xsi:type="dcterms:W3CDTF">2019-09-13T20:49:08Z</dcterms:modified>
</cp:coreProperties>
</file>