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HOME\Downloads\"/>
    </mc:Choice>
  </mc:AlternateContent>
  <xr:revisionPtr revIDLastSave="0" documentId="13_ncr:1_{2210D385-0D2C-4D3A-8278-D620E859BAE2}" xr6:coauthVersionLast="47" xr6:coauthVersionMax="47" xr10:uidLastSave="{00000000-0000-0000-0000-000000000000}"/>
  <bookViews>
    <workbookView xWindow="-110" yWindow="-110" windowWidth="19420" windowHeight="10420" tabRatio="702" firstSheet="1" activeTab="1" xr2:uid="{00000000-000D-0000-FFFF-FFFF00000000}"/>
  </bookViews>
  <sheets>
    <sheet name="Hoja1" sheetId="14" state="hidden" r:id="rId1"/>
    <sheet name="PAA VR12 -2025 UAECOB BCS" sheetId="1" r:id="rId2"/>
    <sheet name="Control PAA Vr0" sheetId="9" state="hidden" r:id="rId3"/>
    <sheet name="Distribución Pptal Inv" sheetId="6" state="hidden" r:id="rId4"/>
    <sheet name="TD" sheetId="4" state="hidden" r:id="rId5"/>
    <sheet name="resumen" sheetId="2" state="hidden" r:id="rId6"/>
  </sheets>
  <definedNames>
    <definedName name="_xlnm._FilterDatabase" localSheetId="1" hidden="1">'PAA VR12 -2025 UAECOB BCS'!$B$11:$AC$826</definedName>
    <definedName name="_xlnm._FilterDatabase" localSheetId="4" hidden="1">TD!$K$46:$L$46</definedName>
    <definedName name="_Hlk177992892" localSheetId="1">'PAA VR12 -2025 UAECOB BCS'!$F$692</definedName>
    <definedName name="Sec_Prog_MGA">#REF!</definedName>
  </definedNames>
  <calcPr calcId="191028"/>
  <pivotCaches>
    <pivotCache cacheId="0" r:id="rId7"/>
  </pivotCaches>
</workbook>
</file>

<file path=xl/calcChain.xml><?xml version="1.0" encoding="utf-8"?>
<calcChain xmlns="http://schemas.openxmlformats.org/spreadsheetml/2006/main">
  <c r="L22" i="1" l="1"/>
  <c r="L38" i="1"/>
  <c r="L24" i="1"/>
  <c r="L23" i="1"/>
  <c r="L21" i="1"/>
  <c r="L20" i="1"/>
  <c r="L18" i="1"/>
  <c r="L17" i="1"/>
  <c r="L16" i="1"/>
  <c r="L19" i="1"/>
  <c r="L14" i="1"/>
  <c r="L15" i="1"/>
  <c r="W63" i="1"/>
  <c r="X63" i="1" s="1"/>
  <c r="T63" i="1"/>
  <c r="U63" i="1" s="1"/>
  <c r="W62" i="1"/>
  <c r="X62" i="1" s="1"/>
  <c r="T62" i="1"/>
  <c r="U62" i="1" s="1"/>
  <c r="W61" i="1"/>
  <c r="X61" i="1" s="1"/>
  <c r="T61" i="1"/>
  <c r="U61" i="1" s="1"/>
  <c r="W60" i="1"/>
  <c r="X60" i="1" s="1"/>
  <c r="T60" i="1"/>
  <c r="U60" i="1" s="1"/>
  <c r="W59" i="1"/>
  <c r="X59" i="1" s="1"/>
  <c r="T59" i="1"/>
  <c r="U59" i="1" s="1"/>
  <c r="W58" i="1"/>
  <c r="X58" i="1" s="1"/>
  <c r="T58" i="1"/>
  <c r="U58" i="1" s="1"/>
  <c r="W57" i="1"/>
  <c r="X57" i="1" s="1"/>
  <c r="T57" i="1"/>
  <c r="U57" i="1" s="1"/>
  <c r="W56" i="1"/>
  <c r="X56" i="1" s="1"/>
  <c r="T56" i="1"/>
  <c r="U56" i="1" s="1"/>
  <c r="W55" i="1"/>
  <c r="X55" i="1" s="1"/>
  <c r="T55" i="1"/>
  <c r="U55" i="1" s="1"/>
  <c r="W54" i="1"/>
  <c r="X54" i="1" s="1"/>
  <c r="T54" i="1"/>
  <c r="U54" i="1" s="1"/>
  <c r="W53" i="1"/>
  <c r="X53" i="1" s="1"/>
  <c r="T53" i="1"/>
  <c r="U53" i="1" s="1"/>
  <c r="P826" i="1"/>
  <c r="Q826" i="1"/>
  <c r="R826" i="1"/>
  <c r="U826" i="1"/>
  <c r="X826" i="1"/>
  <c r="P63" i="1"/>
  <c r="Q63" i="1"/>
  <c r="R63" i="1"/>
  <c r="P62" i="1"/>
  <c r="Q62" i="1"/>
  <c r="R62" i="1"/>
  <c r="P61" i="1"/>
  <c r="Q61" i="1"/>
  <c r="R61" i="1"/>
  <c r="P60" i="1"/>
  <c r="Q60" i="1"/>
  <c r="R60" i="1"/>
  <c r="P59" i="1"/>
  <c r="Q59" i="1"/>
  <c r="R59" i="1"/>
  <c r="P58" i="1"/>
  <c r="Q58" i="1"/>
  <c r="R58" i="1"/>
  <c r="P57" i="1"/>
  <c r="Q57" i="1"/>
  <c r="R57" i="1"/>
  <c r="P56" i="1"/>
  <c r="Q56" i="1"/>
  <c r="R56" i="1"/>
  <c r="P55" i="1"/>
  <c r="Q55" i="1"/>
  <c r="R55" i="1"/>
  <c r="P54" i="1"/>
  <c r="Q54" i="1"/>
  <c r="R54" i="1"/>
  <c r="P53" i="1"/>
  <c r="Q53" i="1"/>
  <c r="R53" i="1"/>
  <c r="Y826" i="1" l="1"/>
  <c r="AA826" i="1" s="1"/>
  <c r="Z826" i="1"/>
  <c r="Z53" i="1"/>
  <c r="Z55" i="1"/>
  <c r="Z59" i="1"/>
  <c r="Z61" i="1"/>
  <c r="Z57" i="1"/>
  <c r="Z60" i="1"/>
  <c r="Z63" i="1"/>
  <c r="Z58" i="1"/>
  <c r="Z56" i="1"/>
  <c r="Z54" i="1"/>
  <c r="Z62" i="1"/>
  <c r="Y62" i="1"/>
  <c r="AA62" i="1" s="1"/>
  <c r="Y61" i="1"/>
  <c r="AA61" i="1" s="1"/>
  <c r="Y60" i="1"/>
  <c r="AA60" i="1" s="1"/>
  <c r="Y58" i="1"/>
  <c r="AA58" i="1" s="1"/>
  <c r="Y57" i="1"/>
  <c r="AA57" i="1" s="1"/>
  <c r="Y56" i="1"/>
  <c r="AA56" i="1" s="1"/>
  <c r="Y55" i="1"/>
  <c r="AA55" i="1" s="1"/>
  <c r="Y54" i="1"/>
  <c r="AA54" i="1" s="1"/>
  <c r="Y53" i="1"/>
  <c r="AA53" i="1" s="1"/>
  <c r="Y59" i="1"/>
  <c r="AA59" i="1" s="1"/>
  <c r="Y63" i="1"/>
  <c r="AA63" i="1" s="1"/>
  <c r="L52" i="1" l="1"/>
  <c r="W52" i="1"/>
  <c r="T52" i="1"/>
  <c r="L33" i="1"/>
  <c r="L31" i="1"/>
  <c r="L27" i="1"/>
  <c r="L12" i="1"/>
  <c r="P52" i="1" l="1"/>
  <c r="Q52" i="1"/>
  <c r="R52" i="1"/>
  <c r="U52" i="1"/>
  <c r="X52" i="1"/>
  <c r="W30" i="1"/>
  <c r="X30" i="1" s="1"/>
  <c r="T30" i="1"/>
  <c r="U30" i="1" s="1"/>
  <c r="P30" i="1"/>
  <c r="Q30" i="1"/>
  <c r="R30" i="1"/>
  <c r="W51" i="1"/>
  <c r="X51" i="1" s="1"/>
  <c r="W50" i="1"/>
  <c r="X50" i="1" s="1"/>
  <c r="W49" i="1"/>
  <c r="X49" i="1" s="1"/>
  <c r="W48" i="1"/>
  <c r="X48" i="1" s="1"/>
  <c r="W47" i="1"/>
  <c r="X47" i="1" s="1"/>
  <c r="W46" i="1"/>
  <c r="X46" i="1" s="1"/>
  <c r="W45" i="1"/>
  <c r="X45" i="1" s="1"/>
  <c r="W44" i="1"/>
  <c r="X44" i="1" s="1"/>
  <c r="W43" i="1"/>
  <c r="X43" i="1" s="1"/>
  <c r="W42" i="1"/>
  <c r="X42" i="1" s="1"/>
  <c r="W41" i="1"/>
  <c r="X41" i="1" s="1"/>
  <c r="W40" i="1"/>
  <c r="X40" i="1" s="1"/>
  <c r="T51" i="1"/>
  <c r="U51" i="1" s="1"/>
  <c r="T50" i="1"/>
  <c r="U50" i="1" s="1"/>
  <c r="T49" i="1"/>
  <c r="U49" i="1" s="1"/>
  <c r="T48" i="1"/>
  <c r="U48" i="1" s="1"/>
  <c r="T47" i="1"/>
  <c r="U47" i="1" s="1"/>
  <c r="T46" i="1"/>
  <c r="U46" i="1" s="1"/>
  <c r="T45" i="1"/>
  <c r="U45" i="1" s="1"/>
  <c r="T44" i="1"/>
  <c r="U44" i="1" s="1"/>
  <c r="T43" i="1"/>
  <c r="U43" i="1" s="1"/>
  <c r="T42" i="1"/>
  <c r="U42" i="1" s="1"/>
  <c r="T41" i="1"/>
  <c r="U41" i="1" s="1"/>
  <c r="T40" i="1"/>
  <c r="U40" i="1" s="1"/>
  <c r="P51" i="1"/>
  <c r="Q51" i="1"/>
  <c r="R51" i="1"/>
  <c r="P50" i="1"/>
  <c r="Q50" i="1"/>
  <c r="R50" i="1"/>
  <c r="P49" i="1"/>
  <c r="Q49" i="1"/>
  <c r="R49" i="1"/>
  <c r="P48" i="1"/>
  <c r="Q48" i="1"/>
  <c r="R48" i="1"/>
  <c r="P47" i="1"/>
  <c r="Q47" i="1"/>
  <c r="R47" i="1"/>
  <c r="P46" i="1"/>
  <c r="Q46" i="1"/>
  <c r="R46" i="1"/>
  <c r="P45" i="1"/>
  <c r="Q45" i="1"/>
  <c r="R45" i="1"/>
  <c r="P44" i="1"/>
  <c r="Q44" i="1"/>
  <c r="R44" i="1"/>
  <c r="P43" i="1"/>
  <c r="Q43" i="1"/>
  <c r="R43" i="1"/>
  <c r="P42" i="1"/>
  <c r="Q42" i="1"/>
  <c r="R42" i="1"/>
  <c r="P41" i="1"/>
  <c r="Q41" i="1"/>
  <c r="R41" i="1"/>
  <c r="L29" i="1"/>
  <c r="P40" i="1"/>
  <c r="Q40" i="1"/>
  <c r="R40" i="1"/>
  <c r="W39" i="1"/>
  <c r="T39" i="1"/>
  <c r="Y52" i="1" l="1"/>
  <c r="AA52" i="1" s="1"/>
  <c r="Z30" i="1"/>
  <c r="Z52" i="1"/>
  <c r="Y30" i="1"/>
  <c r="AA30" i="1" s="1"/>
  <c r="Y48" i="1"/>
  <c r="AA48" i="1" s="1"/>
  <c r="Y44" i="1"/>
  <c r="AA44" i="1" s="1"/>
  <c r="Z41" i="1"/>
  <c r="Z43" i="1"/>
  <c r="Y40" i="1"/>
  <c r="AA40" i="1" s="1"/>
  <c r="Y41" i="1"/>
  <c r="AA41" i="1" s="1"/>
  <c r="Y42" i="1"/>
  <c r="AA42" i="1" s="1"/>
  <c r="Z44" i="1"/>
  <c r="Z46" i="1"/>
  <c r="Z47" i="1"/>
  <c r="Z49" i="1"/>
  <c r="Z42" i="1"/>
  <c r="Y45" i="1"/>
  <c r="AA45" i="1" s="1"/>
  <c r="Y49" i="1"/>
  <c r="AA49" i="1" s="1"/>
  <c r="Y46" i="1"/>
  <c r="AA46" i="1" s="1"/>
  <c r="Y50" i="1"/>
  <c r="AA50" i="1" s="1"/>
  <c r="Y43" i="1"/>
  <c r="AA43" i="1" s="1"/>
  <c r="Y47" i="1"/>
  <c r="AA47" i="1" s="1"/>
  <c r="Y51" i="1"/>
  <c r="AA51" i="1" s="1"/>
  <c r="Z45" i="1"/>
  <c r="Z48" i="1"/>
  <c r="Z50" i="1"/>
  <c r="Z51" i="1"/>
  <c r="Z40" i="1"/>
  <c r="P39" i="1"/>
  <c r="Q39" i="1"/>
  <c r="R39" i="1"/>
  <c r="U39" i="1"/>
  <c r="X39" i="1"/>
  <c r="W825" i="1"/>
  <c r="X825" i="1" s="1"/>
  <c r="T825" i="1"/>
  <c r="U825" i="1" s="1"/>
  <c r="W824" i="1"/>
  <c r="X824" i="1" s="1"/>
  <c r="T824" i="1"/>
  <c r="U824" i="1" s="1"/>
  <c r="W823" i="1"/>
  <c r="X823" i="1" s="1"/>
  <c r="T823" i="1"/>
  <c r="U823" i="1" s="1"/>
  <c r="W822" i="1"/>
  <c r="X822" i="1" s="1"/>
  <c r="T822" i="1"/>
  <c r="U822" i="1" s="1"/>
  <c r="W821" i="1"/>
  <c r="X821" i="1" s="1"/>
  <c r="T821" i="1"/>
  <c r="U821" i="1" s="1"/>
  <c r="W820" i="1"/>
  <c r="X820" i="1" s="1"/>
  <c r="T820" i="1"/>
  <c r="U820" i="1" s="1"/>
  <c r="W819" i="1"/>
  <c r="X819" i="1" s="1"/>
  <c r="T819" i="1"/>
  <c r="U819" i="1" s="1"/>
  <c r="W818" i="1"/>
  <c r="X818" i="1" s="1"/>
  <c r="T818" i="1"/>
  <c r="U818" i="1" s="1"/>
  <c r="W817" i="1"/>
  <c r="X817" i="1" s="1"/>
  <c r="T817" i="1"/>
  <c r="U817" i="1" s="1"/>
  <c r="W816" i="1"/>
  <c r="T816" i="1"/>
  <c r="U816" i="1" s="1"/>
  <c r="P825" i="1"/>
  <c r="Q825" i="1"/>
  <c r="R825" i="1"/>
  <c r="P824" i="1"/>
  <c r="Q824" i="1"/>
  <c r="R824" i="1"/>
  <c r="P823" i="1"/>
  <c r="Q823" i="1"/>
  <c r="R823" i="1"/>
  <c r="P822" i="1"/>
  <c r="Q822" i="1"/>
  <c r="R822" i="1"/>
  <c r="P821" i="1"/>
  <c r="Q821" i="1"/>
  <c r="R821" i="1"/>
  <c r="P820" i="1"/>
  <c r="Q820" i="1"/>
  <c r="R820" i="1"/>
  <c r="P819" i="1"/>
  <c r="Q819" i="1"/>
  <c r="R819" i="1"/>
  <c r="P818" i="1"/>
  <c r="Q818" i="1"/>
  <c r="R818" i="1"/>
  <c r="P817" i="1"/>
  <c r="Q817" i="1"/>
  <c r="R817" i="1"/>
  <c r="Z39" i="1" l="1"/>
  <c r="Y39" i="1"/>
  <c r="AA39" i="1" s="1"/>
  <c r="Y823" i="1"/>
  <c r="AA823" i="1" s="1"/>
  <c r="Y820" i="1"/>
  <c r="AA820" i="1" s="1"/>
  <c r="Z821" i="1"/>
  <c r="Y817" i="1"/>
  <c r="AA817" i="1" s="1"/>
  <c r="Z818" i="1"/>
  <c r="Y818" i="1"/>
  <c r="AA818" i="1" s="1"/>
  <c r="Y825" i="1"/>
  <c r="AA825" i="1" s="1"/>
  <c r="Z822" i="1"/>
  <c r="Z823" i="1"/>
  <c r="Z819" i="1"/>
  <c r="Y821" i="1"/>
  <c r="AA821" i="1" s="1"/>
  <c r="Y819" i="1"/>
  <c r="AA819" i="1" s="1"/>
  <c r="Z824" i="1"/>
  <c r="Y822" i="1"/>
  <c r="AA822" i="1" s="1"/>
  <c r="Y824" i="1"/>
  <c r="AA824" i="1" s="1"/>
  <c r="Z817" i="1"/>
  <c r="Z820" i="1"/>
  <c r="Z825" i="1"/>
  <c r="W806" i="1" l="1"/>
  <c r="X806" i="1" s="1"/>
  <c r="W807" i="1"/>
  <c r="X807" i="1" s="1"/>
  <c r="W808" i="1"/>
  <c r="X808" i="1" s="1"/>
  <c r="W809" i="1"/>
  <c r="X809" i="1" s="1"/>
  <c r="W810" i="1"/>
  <c r="X810" i="1" s="1"/>
  <c r="W811" i="1"/>
  <c r="X811" i="1" s="1"/>
  <c r="W812" i="1"/>
  <c r="X812" i="1" s="1"/>
  <c r="W813" i="1"/>
  <c r="X813" i="1" s="1"/>
  <c r="W814" i="1"/>
  <c r="X814" i="1" s="1"/>
  <c r="W815" i="1"/>
  <c r="X815" i="1" s="1"/>
  <c r="T815" i="1"/>
  <c r="U815" i="1" s="1"/>
  <c r="T814" i="1"/>
  <c r="U814" i="1" s="1"/>
  <c r="T813" i="1"/>
  <c r="U813" i="1" s="1"/>
  <c r="T812" i="1"/>
  <c r="U812" i="1" s="1"/>
  <c r="T811" i="1"/>
  <c r="U811" i="1" s="1"/>
  <c r="T810" i="1"/>
  <c r="U810" i="1" s="1"/>
  <c r="T809" i="1"/>
  <c r="U809" i="1" s="1"/>
  <c r="T808" i="1"/>
  <c r="U808" i="1" s="1"/>
  <c r="T807" i="1"/>
  <c r="U807" i="1" s="1"/>
  <c r="T806" i="1"/>
  <c r="U806" i="1" s="1"/>
  <c r="W805" i="1"/>
  <c r="X805" i="1" s="1"/>
  <c r="T805" i="1"/>
  <c r="U805" i="1" s="1"/>
  <c r="W804" i="1"/>
  <c r="T804" i="1"/>
  <c r="U804" i="1" s="1"/>
  <c r="P816" i="1"/>
  <c r="Q816" i="1"/>
  <c r="R816" i="1"/>
  <c r="X816" i="1"/>
  <c r="P815" i="1"/>
  <c r="Q815" i="1"/>
  <c r="R815" i="1"/>
  <c r="P814" i="1"/>
  <c r="Q814" i="1"/>
  <c r="R814" i="1"/>
  <c r="P813" i="1"/>
  <c r="Q813" i="1"/>
  <c r="R813" i="1"/>
  <c r="P812" i="1"/>
  <c r="Q812" i="1"/>
  <c r="R812" i="1"/>
  <c r="P811" i="1"/>
  <c r="Q811" i="1"/>
  <c r="R811" i="1"/>
  <c r="P810" i="1"/>
  <c r="Q810" i="1"/>
  <c r="R810" i="1"/>
  <c r="P809" i="1"/>
  <c r="Q809" i="1"/>
  <c r="R809" i="1"/>
  <c r="P808" i="1"/>
  <c r="Q808" i="1"/>
  <c r="R808" i="1"/>
  <c r="P807" i="1"/>
  <c r="Q807" i="1"/>
  <c r="R807" i="1"/>
  <c r="P806" i="1"/>
  <c r="Q806" i="1"/>
  <c r="R806" i="1"/>
  <c r="P805" i="1"/>
  <c r="Q805" i="1"/>
  <c r="R805" i="1"/>
  <c r="Y816" i="1" l="1"/>
  <c r="AA816" i="1" s="1"/>
  <c r="Z816" i="1"/>
  <c r="Y813" i="1"/>
  <c r="AA813" i="1" s="1"/>
  <c r="Y814" i="1"/>
  <c r="AA814" i="1" s="1"/>
  <c r="Y815" i="1"/>
  <c r="AA815" i="1" s="1"/>
  <c r="Y810" i="1"/>
  <c r="AA810" i="1" s="1"/>
  <c r="Y812" i="1"/>
  <c r="AA812" i="1" s="1"/>
  <c r="Y809" i="1"/>
  <c r="AA809" i="1" s="1"/>
  <c r="Y808" i="1"/>
  <c r="AA808" i="1" s="1"/>
  <c r="Y807" i="1"/>
  <c r="AA807" i="1" s="1"/>
  <c r="Y806" i="1"/>
  <c r="AA806" i="1" s="1"/>
  <c r="Y805" i="1"/>
  <c r="AA805" i="1" s="1"/>
  <c r="Z808" i="1"/>
  <c r="Z810" i="1"/>
  <c r="Y811" i="1"/>
  <c r="AA811" i="1" s="1"/>
  <c r="Z815" i="1"/>
  <c r="Z814" i="1"/>
  <c r="Z813" i="1"/>
  <c r="Z812" i="1"/>
  <c r="Z811" i="1"/>
  <c r="Z809" i="1"/>
  <c r="Z807" i="1"/>
  <c r="Z806" i="1"/>
  <c r="Z805" i="1"/>
  <c r="L198" i="1"/>
  <c r="P804" i="1" l="1"/>
  <c r="Q804" i="1"/>
  <c r="R804" i="1"/>
  <c r="X804" i="1"/>
  <c r="W803" i="1"/>
  <c r="X803" i="1" s="1"/>
  <c r="T803" i="1"/>
  <c r="U803" i="1" s="1"/>
  <c r="W802" i="1"/>
  <c r="X802" i="1" s="1"/>
  <c r="T802" i="1"/>
  <c r="U802" i="1" s="1"/>
  <c r="P803" i="1"/>
  <c r="Q803" i="1"/>
  <c r="R803" i="1"/>
  <c r="P802" i="1"/>
  <c r="Q802" i="1"/>
  <c r="R802" i="1"/>
  <c r="L800" i="1"/>
  <c r="L799" i="1"/>
  <c r="L798" i="1"/>
  <c r="L797" i="1"/>
  <c r="L796" i="1"/>
  <c r="L795" i="1"/>
  <c r="L794" i="1"/>
  <c r="L801" i="1"/>
  <c r="L374" i="1"/>
  <c r="W801" i="1"/>
  <c r="T801" i="1"/>
  <c r="U801" i="1" s="1"/>
  <c r="W800" i="1"/>
  <c r="T800" i="1"/>
  <c r="U800" i="1" s="1"/>
  <c r="W799" i="1"/>
  <c r="T799" i="1"/>
  <c r="U799" i="1" s="1"/>
  <c r="W798" i="1"/>
  <c r="T798" i="1"/>
  <c r="U798" i="1" s="1"/>
  <c r="W797" i="1"/>
  <c r="T797" i="1"/>
  <c r="U797" i="1" s="1"/>
  <c r="W796" i="1"/>
  <c r="T796" i="1"/>
  <c r="U796" i="1" s="1"/>
  <c r="W795" i="1"/>
  <c r="T795" i="1"/>
  <c r="U795" i="1" s="1"/>
  <c r="W794" i="1"/>
  <c r="T794" i="1"/>
  <c r="U794" i="1" s="1"/>
  <c r="Y804" i="1" l="1"/>
  <c r="AA804" i="1" s="1"/>
  <c r="Z804" i="1"/>
  <c r="Z802" i="1"/>
  <c r="Z803" i="1"/>
  <c r="Y803" i="1"/>
  <c r="AA803" i="1" s="1"/>
  <c r="Y802" i="1"/>
  <c r="AA802" i="1" s="1"/>
  <c r="P801" i="1"/>
  <c r="Q801" i="1"/>
  <c r="R801" i="1"/>
  <c r="X801" i="1"/>
  <c r="Y801" i="1" s="1"/>
  <c r="AA801" i="1" s="1"/>
  <c r="P800" i="1"/>
  <c r="Q800" i="1"/>
  <c r="R800" i="1"/>
  <c r="X800" i="1"/>
  <c r="Y800" i="1" s="1"/>
  <c r="AA800" i="1" s="1"/>
  <c r="P799" i="1"/>
  <c r="Q799" i="1"/>
  <c r="R799" i="1"/>
  <c r="X799" i="1"/>
  <c r="Y799" i="1" s="1"/>
  <c r="AA799" i="1" s="1"/>
  <c r="P798" i="1"/>
  <c r="Q798" i="1"/>
  <c r="R798" i="1"/>
  <c r="X798" i="1"/>
  <c r="Y798" i="1" s="1"/>
  <c r="AA798" i="1" s="1"/>
  <c r="P797" i="1"/>
  <c r="Q797" i="1"/>
  <c r="R797" i="1"/>
  <c r="X797" i="1"/>
  <c r="Y797" i="1" s="1"/>
  <c r="AA797" i="1" s="1"/>
  <c r="P796" i="1"/>
  <c r="Q796" i="1"/>
  <c r="R796" i="1"/>
  <c r="X796" i="1"/>
  <c r="Y796" i="1" s="1"/>
  <c r="AA796" i="1" s="1"/>
  <c r="P795" i="1"/>
  <c r="Q795" i="1"/>
  <c r="R795" i="1"/>
  <c r="X795" i="1"/>
  <c r="Y795" i="1" s="1"/>
  <c r="AA795" i="1" s="1"/>
  <c r="P794" i="1"/>
  <c r="Q794" i="1"/>
  <c r="R794" i="1"/>
  <c r="X794" i="1"/>
  <c r="Y794" i="1" s="1"/>
  <c r="AA794" i="1" s="1"/>
  <c r="Z797" i="1" l="1"/>
  <c r="Z795" i="1"/>
  <c r="Z799" i="1"/>
  <c r="Z794" i="1"/>
  <c r="Z796" i="1"/>
  <c r="Z798" i="1"/>
  <c r="Z800" i="1"/>
  <c r="Z801" i="1"/>
  <c r="L214" i="1" l="1"/>
  <c r="L215" i="1"/>
  <c r="W793" i="1"/>
  <c r="T793" i="1"/>
  <c r="U793" i="1" s="1"/>
  <c r="W792" i="1"/>
  <c r="T792" i="1"/>
  <c r="U792" i="1" s="1"/>
  <c r="P793" i="1" l="1"/>
  <c r="Q793" i="1"/>
  <c r="R793" i="1"/>
  <c r="X793" i="1"/>
  <c r="Y793" i="1" s="1"/>
  <c r="AA793" i="1" s="1"/>
  <c r="Z793" i="1" l="1"/>
  <c r="L301" i="1" l="1"/>
  <c r="P792" i="1" l="1"/>
  <c r="Q792" i="1"/>
  <c r="R792" i="1"/>
  <c r="X792" i="1"/>
  <c r="Z792" i="1" l="1"/>
  <c r="Y792" i="1"/>
  <c r="AA792" i="1" s="1"/>
  <c r="L106" i="1" l="1"/>
  <c r="L105" i="1"/>
  <c r="L103" i="1"/>
  <c r="L102" i="1"/>
  <c r="L101" i="1"/>
  <c r="L100" i="1"/>
  <c r="L99" i="1"/>
  <c r="L98" i="1"/>
  <c r="L97" i="1"/>
  <c r="W791" i="1" l="1"/>
  <c r="X791" i="1" s="1"/>
  <c r="T791" i="1"/>
  <c r="U791" i="1" s="1"/>
  <c r="W790" i="1"/>
  <c r="X790" i="1" s="1"/>
  <c r="T790" i="1"/>
  <c r="U790" i="1" s="1"/>
  <c r="W789" i="1"/>
  <c r="X789" i="1" s="1"/>
  <c r="T789" i="1"/>
  <c r="U789" i="1" s="1"/>
  <c r="W788" i="1"/>
  <c r="X788" i="1" s="1"/>
  <c r="T788" i="1"/>
  <c r="U788" i="1" s="1"/>
  <c r="W787" i="1"/>
  <c r="X787" i="1" s="1"/>
  <c r="T787" i="1"/>
  <c r="U787" i="1" s="1"/>
  <c r="W786" i="1"/>
  <c r="X786" i="1" s="1"/>
  <c r="T786" i="1"/>
  <c r="U786" i="1" s="1"/>
  <c r="W785" i="1"/>
  <c r="X785" i="1" s="1"/>
  <c r="T785" i="1"/>
  <c r="U785" i="1" s="1"/>
  <c r="W784" i="1"/>
  <c r="X784" i="1" s="1"/>
  <c r="T784" i="1"/>
  <c r="U784" i="1" s="1"/>
  <c r="W783" i="1"/>
  <c r="X783" i="1" s="1"/>
  <c r="T783" i="1"/>
  <c r="U783" i="1" s="1"/>
  <c r="W782" i="1"/>
  <c r="X782" i="1" s="1"/>
  <c r="T782" i="1"/>
  <c r="U782" i="1" s="1"/>
  <c r="R782" i="1"/>
  <c r="Q782" i="1"/>
  <c r="P782" i="1"/>
  <c r="P791" i="1"/>
  <c r="Q791" i="1"/>
  <c r="R791" i="1"/>
  <c r="P790" i="1"/>
  <c r="Q790" i="1"/>
  <c r="R790" i="1"/>
  <c r="P789" i="1"/>
  <c r="Q789" i="1"/>
  <c r="R789" i="1"/>
  <c r="P788" i="1"/>
  <c r="Q788" i="1"/>
  <c r="R788" i="1"/>
  <c r="P787" i="1"/>
  <c r="Q787" i="1"/>
  <c r="R787" i="1"/>
  <c r="P786" i="1"/>
  <c r="Q786" i="1"/>
  <c r="R786" i="1"/>
  <c r="P785" i="1"/>
  <c r="Q785" i="1"/>
  <c r="R785" i="1"/>
  <c r="P784" i="1"/>
  <c r="Q784" i="1"/>
  <c r="R784" i="1"/>
  <c r="P783" i="1"/>
  <c r="Q783" i="1"/>
  <c r="R783" i="1"/>
  <c r="L421" i="1"/>
  <c r="L408" i="1"/>
  <c r="L276" i="1"/>
  <c r="L275" i="1"/>
  <c r="W781" i="1"/>
  <c r="X781" i="1" s="1"/>
  <c r="T781" i="1"/>
  <c r="U781" i="1" s="1"/>
  <c r="P781" i="1"/>
  <c r="Q781" i="1"/>
  <c r="R781" i="1"/>
  <c r="W780" i="1"/>
  <c r="X780" i="1" s="1"/>
  <c r="T780" i="1"/>
  <c r="U780" i="1" s="1"/>
  <c r="R780" i="1"/>
  <c r="Q780" i="1"/>
  <c r="P780" i="1"/>
  <c r="W779" i="1"/>
  <c r="X779" i="1" s="1"/>
  <c r="T779" i="1"/>
  <c r="U779" i="1" s="1"/>
  <c r="R779" i="1"/>
  <c r="Q779" i="1"/>
  <c r="P779" i="1"/>
  <c r="L583" i="1"/>
  <c r="W778" i="1"/>
  <c r="X778" i="1" s="1"/>
  <c r="T778" i="1"/>
  <c r="U778" i="1" s="1"/>
  <c r="R778" i="1"/>
  <c r="Q778" i="1"/>
  <c r="P778" i="1"/>
  <c r="L709" i="1"/>
  <c r="L708" i="1"/>
  <c r="L506" i="1"/>
  <c r="W777" i="1"/>
  <c r="X777" i="1" s="1"/>
  <c r="T777" i="1"/>
  <c r="U777" i="1" s="1"/>
  <c r="R777" i="1"/>
  <c r="Q777" i="1"/>
  <c r="P777" i="1"/>
  <c r="L678" i="1"/>
  <c r="P775" i="1"/>
  <c r="Q775" i="1"/>
  <c r="R775" i="1"/>
  <c r="T775" i="1"/>
  <c r="U775" i="1" s="1"/>
  <c r="W775" i="1"/>
  <c r="X775" i="1" s="1"/>
  <c r="P776" i="1"/>
  <c r="Q776" i="1"/>
  <c r="R776" i="1"/>
  <c r="T776" i="1"/>
  <c r="U776" i="1" s="1"/>
  <c r="W776" i="1"/>
  <c r="X776" i="1" s="1"/>
  <c r="W774" i="1"/>
  <c r="X774" i="1" s="1"/>
  <c r="T774" i="1"/>
  <c r="U774" i="1" s="1"/>
  <c r="R774" i="1"/>
  <c r="Q774" i="1"/>
  <c r="P774" i="1"/>
  <c r="W773" i="1"/>
  <c r="X773" i="1" s="1"/>
  <c r="T773" i="1"/>
  <c r="U773" i="1" s="1"/>
  <c r="R773" i="1"/>
  <c r="Q773" i="1"/>
  <c r="P773" i="1"/>
  <c r="L773" i="1"/>
  <c r="W772" i="1"/>
  <c r="X772" i="1" s="1"/>
  <c r="T772" i="1"/>
  <c r="U772" i="1" s="1"/>
  <c r="R772" i="1"/>
  <c r="Q772" i="1"/>
  <c r="P772" i="1"/>
  <c r="W771" i="1"/>
  <c r="X771" i="1" s="1"/>
  <c r="T771" i="1"/>
  <c r="U771" i="1" s="1"/>
  <c r="R771" i="1"/>
  <c r="Q771" i="1"/>
  <c r="P771" i="1"/>
  <c r="W770" i="1"/>
  <c r="X770" i="1" s="1"/>
  <c r="T770" i="1"/>
  <c r="U770" i="1" s="1"/>
  <c r="R770" i="1"/>
  <c r="Q770" i="1"/>
  <c r="P770" i="1"/>
  <c r="W769" i="1"/>
  <c r="X769" i="1" s="1"/>
  <c r="T769" i="1"/>
  <c r="U769" i="1" s="1"/>
  <c r="R769" i="1"/>
  <c r="Q769" i="1"/>
  <c r="P769" i="1"/>
  <c r="W768" i="1"/>
  <c r="X768" i="1" s="1"/>
  <c r="T768" i="1"/>
  <c r="U768" i="1" s="1"/>
  <c r="R768" i="1"/>
  <c r="Q768" i="1"/>
  <c r="P768" i="1"/>
  <c r="W767" i="1"/>
  <c r="X767" i="1" s="1"/>
  <c r="T767" i="1"/>
  <c r="U767" i="1" s="1"/>
  <c r="R767" i="1"/>
  <c r="Q767" i="1"/>
  <c r="P767" i="1"/>
  <c r="W766" i="1"/>
  <c r="X766" i="1" s="1"/>
  <c r="T766" i="1"/>
  <c r="U766" i="1" s="1"/>
  <c r="R766" i="1"/>
  <c r="Q766" i="1"/>
  <c r="P766" i="1"/>
  <c r="W765" i="1"/>
  <c r="X765" i="1" s="1"/>
  <c r="T765" i="1"/>
  <c r="U765" i="1" s="1"/>
  <c r="R765" i="1"/>
  <c r="Q765" i="1"/>
  <c r="P765" i="1"/>
  <c r="W764" i="1"/>
  <c r="X764" i="1" s="1"/>
  <c r="T764" i="1"/>
  <c r="U764" i="1" s="1"/>
  <c r="R764" i="1"/>
  <c r="Q764" i="1"/>
  <c r="P764" i="1"/>
  <c r="W763" i="1"/>
  <c r="X763" i="1" s="1"/>
  <c r="T763" i="1"/>
  <c r="U763" i="1" s="1"/>
  <c r="R763" i="1"/>
  <c r="Q763" i="1"/>
  <c r="P763" i="1"/>
  <c r="W762" i="1"/>
  <c r="X762" i="1" s="1"/>
  <c r="T762" i="1"/>
  <c r="U762" i="1" s="1"/>
  <c r="R762" i="1"/>
  <c r="Q762" i="1"/>
  <c r="P762" i="1"/>
  <c r="L762" i="1"/>
  <c r="W761" i="1"/>
  <c r="X761" i="1" s="1"/>
  <c r="T761" i="1"/>
  <c r="U761" i="1" s="1"/>
  <c r="R761" i="1"/>
  <c r="Q761" i="1"/>
  <c r="P761" i="1"/>
  <c r="L761" i="1"/>
  <c r="W760" i="1"/>
  <c r="X760" i="1" s="1"/>
  <c r="T760" i="1"/>
  <c r="U760" i="1" s="1"/>
  <c r="R760" i="1"/>
  <c r="Q760" i="1"/>
  <c r="P760" i="1"/>
  <c r="W759" i="1"/>
  <c r="X759" i="1" s="1"/>
  <c r="T759" i="1"/>
  <c r="U759" i="1" s="1"/>
  <c r="R759" i="1"/>
  <c r="Q759" i="1"/>
  <c r="P759" i="1"/>
  <c r="W758" i="1"/>
  <c r="X758" i="1" s="1"/>
  <c r="T758" i="1"/>
  <c r="U758" i="1" s="1"/>
  <c r="R758" i="1"/>
  <c r="Q758" i="1"/>
  <c r="P758" i="1"/>
  <c r="W757" i="1"/>
  <c r="X757" i="1" s="1"/>
  <c r="T757" i="1"/>
  <c r="U757" i="1" s="1"/>
  <c r="R757" i="1"/>
  <c r="Q757" i="1"/>
  <c r="P757" i="1"/>
  <c r="W756" i="1"/>
  <c r="X756" i="1" s="1"/>
  <c r="T756" i="1"/>
  <c r="U756" i="1" s="1"/>
  <c r="R756" i="1"/>
  <c r="Q756" i="1"/>
  <c r="P756" i="1"/>
  <c r="W755" i="1"/>
  <c r="X755" i="1" s="1"/>
  <c r="T755" i="1"/>
  <c r="U755" i="1" s="1"/>
  <c r="R755" i="1"/>
  <c r="Q755" i="1"/>
  <c r="P755" i="1"/>
  <c r="W754" i="1"/>
  <c r="X754" i="1" s="1"/>
  <c r="T754" i="1"/>
  <c r="U754" i="1" s="1"/>
  <c r="R754" i="1"/>
  <c r="Q754" i="1"/>
  <c r="P754" i="1"/>
  <c r="L754" i="1"/>
  <c r="W753" i="1"/>
  <c r="X753" i="1" s="1"/>
  <c r="T753" i="1"/>
  <c r="U753" i="1" s="1"/>
  <c r="R753" i="1"/>
  <c r="Q753" i="1"/>
  <c r="P753" i="1"/>
  <c r="W752" i="1"/>
  <c r="X752" i="1" s="1"/>
  <c r="T752" i="1"/>
  <c r="U752" i="1" s="1"/>
  <c r="R752" i="1"/>
  <c r="Q752" i="1"/>
  <c r="P752" i="1"/>
  <c r="W751" i="1"/>
  <c r="X751" i="1" s="1"/>
  <c r="T751" i="1"/>
  <c r="U751" i="1" s="1"/>
  <c r="R751" i="1"/>
  <c r="Q751" i="1"/>
  <c r="P751" i="1"/>
  <c r="W750" i="1"/>
  <c r="X750" i="1" s="1"/>
  <c r="T750" i="1"/>
  <c r="U750" i="1" s="1"/>
  <c r="R750" i="1"/>
  <c r="Q750" i="1"/>
  <c r="P750" i="1"/>
  <c r="L750" i="1"/>
  <c r="W749" i="1"/>
  <c r="X749" i="1" s="1"/>
  <c r="T749" i="1"/>
  <c r="U749" i="1" s="1"/>
  <c r="R749" i="1"/>
  <c r="Q749" i="1"/>
  <c r="P749" i="1"/>
  <c r="W748" i="1"/>
  <c r="X748" i="1" s="1"/>
  <c r="T748" i="1"/>
  <c r="U748" i="1" s="1"/>
  <c r="R748" i="1"/>
  <c r="Q748" i="1"/>
  <c r="P748" i="1"/>
  <c r="L748" i="1"/>
  <c r="W747" i="1"/>
  <c r="X747" i="1" s="1"/>
  <c r="T747" i="1"/>
  <c r="U747" i="1" s="1"/>
  <c r="R747" i="1"/>
  <c r="Q747" i="1"/>
  <c r="P747" i="1"/>
  <c r="W746" i="1"/>
  <c r="X746" i="1" s="1"/>
  <c r="T746" i="1"/>
  <c r="U746" i="1" s="1"/>
  <c r="R746" i="1"/>
  <c r="Q746" i="1"/>
  <c r="P746" i="1"/>
  <c r="L582"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183" i="1"/>
  <c r="W745" i="1"/>
  <c r="X745" i="1" s="1"/>
  <c r="T745" i="1"/>
  <c r="U745" i="1" s="1"/>
  <c r="L665" i="1"/>
  <c r="L664" i="1"/>
  <c r="L638" i="1"/>
  <c r="L581" i="1"/>
  <c r="L580" i="1"/>
  <c r="L579" i="1"/>
  <c r="L573" i="1"/>
  <c r="L570" i="1"/>
  <c r="L569" i="1"/>
  <c r="L568" i="1"/>
  <c r="L565" i="1"/>
  <c r="L206" i="1"/>
  <c r="L195" i="1"/>
  <c r="L194" i="1"/>
  <c r="L190" i="1"/>
  <c r="L189" i="1"/>
  <c r="L187" i="1"/>
  <c r="L186" i="1"/>
  <c r="L181" i="1"/>
  <c r="L180" i="1"/>
  <c r="L179" i="1"/>
  <c r="L178" i="1"/>
  <c r="L176" i="1"/>
  <c r="L175" i="1"/>
  <c r="L174" i="1"/>
  <c r="L172" i="1"/>
  <c r="L171" i="1"/>
  <c r="L170" i="1"/>
  <c r="L169" i="1"/>
  <c r="L168" i="1"/>
  <c r="L167" i="1"/>
  <c r="L165" i="1"/>
  <c r="L163" i="1"/>
  <c r="L162" i="1"/>
  <c r="L159" i="1"/>
  <c r="L158" i="1"/>
  <c r="P745" i="1"/>
  <c r="Q745" i="1"/>
  <c r="R745" i="1"/>
  <c r="W744" i="1"/>
  <c r="X744" i="1" s="1"/>
  <c r="W743" i="1"/>
  <c r="X743" i="1" s="1"/>
  <c r="T744" i="1"/>
  <c r="U744" i="1" s="1"/>
  <c r="T743" i="1"/>
  <c r="U743" i="1" s="1"/>
  <c r="P744" i="1"/>
  <c r="Q744" i="1"/>
  <c r="R744" i="1"/>
  <c r="P743" i="1"/>
  <c r="Q743" i="1"/>
  <c r="R743" i="1"/>
  <c r="W742" i="1"/>
  <c r="X742" i="1" s="1"/>
  <c r="T742" i="1"/>
  <c r="U742" i="1" s="1"/>
  <c r="W741" i="1"/>
  <c r="X741" i="1" s="1"/>
  <c r="T741" i="1"/>
  <c r="U741" i="1" s="1"/>
  <c r="P742" i="1"/>
  <c r="Q742" i="1"/>
  <c r="R742" i="1"/>
  <c r="P741" i="1"/>
  <c r="Q741" i="1"/>
  <c r="R741" i="1"/>
  <c r="W740" i="1"/>
  <c r="X740" i="1" s="1"/>
  <c r="W739" i="1"/>
  <c r="X739" i="1" s="1"/>
  <c r="W738" i="1"/>
  <c r="X738" i="1" s="1"/>
  <c r="T740" i="1"/>
  <c r="U740" i="1" s="1"/>
  <c r="T739" i="1"/>
  <c r="U739" i="1" s="1"/>
  <c r="T738" i="1"/>
  <c r="U738" i="1" s="1"/>
  <c r="P740" i="1"/>
  <c r="Q740" i="1"/>
  <c r="R740" i="1"/>
  <c r="W737" i="1"/>
  <c r="X737" i="1" s="1"/>
  <c r="T737" i="1"/>
  <c r="U737" i="1" s="1"/>
  <c r="W736" i="1"/>
  <c r="X736" i="1" s="1"/>
  <c r="T736" i="1"/>
  <c r="U736" i="1" s="1"/>
  <c r="W735" i="1"/>
  <c r="X735" i="1" s="1"/>
  <c r="T735" i="1"/>
  <c r="U735" i="1" s="1"/>
  <c r="W734" i="1"/>
  <c r="X734" i="1" s="1"/>
  <c r="T734" i="1"/>
  <c r="U734" i="1" s="1"/>
  <c r="W733" i="1"/>
  <c r="X733" i="1" s="1"/>
  <c r="T733" i="1"/>
  <c r="U733" i="1" s="1"/>
  <c r="W732" i="1"/>
  <c r="X732" i="1" s="1"/>
  <c r="T732" i="1"/>
  <c r="U732" i="1" s="1"/>
  <c r="W731" i="1"/>
  <c r="X731" i="1" s="1"/>
  <c r="T731" i="1"/>
  <c r="U731" i="1" s="1"/>
  <c r="W730" i="1"/>
  <c r="X730" i="1" s="1"/>
  <c r="T730" i="1"/>
  <c r="U730" i="1" s="1"/>
  <c r="W729" i="1"/>
  <c r="X729" i="1" s="1"/>
  <c r="T729" i="1"/>
  <c r="U729" i="1" s="1"/>
  <c r="W728" i="1"/>
  <c r="X728" i="1" s="1"/>
  <c r="T728" i="1"/>
  <c r="U728" i="1" s="1"/>
  <c r="W727" i="1"/>
  <c r="X727" i="1" s="1"/>
  <c r="T727" i="1"/>
  <c r="U727" i="1" s="1"/>
  <c r="W726" i="1"/>
  <c r="X726" i="1" s="1"/>
  <c r="T726" i="1"/>
  <c r="U726" i="1" s="1"/>
  <c r="W725" i="1"/>
  <c r="X725" i="1" s="1"/>
  <c r="T725" i="1"/>
  <c r="U725" i="1" s="1"/>
  <c r="W724" i="1"/>
  <c r="X724" i="1" s="1"/>
  <c r="T724" i="1"/>
  <c r="U724" i="1" s="1"/>
  <c r="W723" i="1"/>
  <c r="X723" i="1" s="1"/>
  <c r="T723" i="1"/>
  <c r="U723" i="1" s="1"/>
  <c r="P739" i="1"/>
  <c r="Q739" i="1"/>
  <c r="R739" i="1"/>
  <c r="P738" i="1"/>
  <c r="Q738" i="1"/>
  <c r="R738" i="1"/>
  <c r="P737" i="1"/>
  <c r="Q737" i="1"/>
  <c r="R737" i="1"/>
  <c r="P736" i="1"/>
  <c r="Q736" i="1"/>
  <c r="R736" i="1"/>
  <c r="P735" i="1"/>
  <c r="Q735" i="1"/>
  <c r="R735" i="1"/>
  <c r="P734" i="1"/>
  <c r="Q734" i="1"/>
  <c r="R734" i="1"/>
  <c r="P733" i="1"/>
  <c r="Q733" i="1"/>
  <c r="R733" i="1"/>
  <c r="P732" i="1"/>
  <c r="Q732" i="1"/>
  <c r="R732" i="1"/>
  <c r="P731" i="1"/>
  <c r="Q731" i="1"/>
  <c r="R731" i="1"/>
  <c r="P730" i="1"/>
  <c r="Q730" i="1"/>
  <c r="R730" i="1"/>
  <c r="P729" i="1"/>
  <c r="Q729" i="1"/>
  <c r="R729" i="1"/>
  <c r="P728" i="1"/>
  <c r="Q728" i="1"/>
  <c r="R728" i="1"/>
  <c r="P727" i="1"/>
  <c r="Q727" i="1"/>
  <c r="R727" i="1"/>
  <c r="P726" i="1"/>
  <c r="Q726" i="1"/>
  <c r="R726" i="1"/>
  <c r="P725" i="1"/>
  <c r="Q725" i="1"/>
  <c r="R725" i="1"/>
  <c r="P724" i="1"/>
  <c r="Q724" i="1"/>
  <c r="R724" i="1"/>
  <c r="P723" i="1"/>
  <c r="Q723" i="1"/>
  <c r="R723" i="1"/>
  <c r="L209" i="1"/>
  <c r="L196" i="1"/>
  <c r="L192" i="1"/>
  <c r="L199" i="1"/>
  <c r="L202" i="1"/>
  <c r="L197" i="1"/>
  <c r="L287" i="1"/>
  <c r="L286" i="1"/>
  <c r="L281" i="1"/>
  <c r="L280" i="1"/>
  <c r="P719" i="1"/>
  <c r="Q719" i="1"/>
  <c r="R719" i="1"/>
  <c r="T719" i="1"/>
  <c r="U719" i="1" s="1"/>
  <c r="W719" i="1"/>
  <c r="X719" i="1" s="1"/>
  <c r="P720" i="1"/>
  <c r="Q720" i="1"/>
  <c r="R720" i="1"/>
  <c r="T720" i="1"/>
  <c r="U720" i="1" s="1"/>
  <c r="W720" i="1"/>
  <c r="X720" i="1" s="1"/>
  <c r="P721" i="1"/>
  <c r="Q721" i="1"/>
  <c r="R721" i="1"/>
  <c r="T721" i="1"/>
  <c r="U721" i="1" s="1"/>
  <c r="W721" i="1"/>
  <c r="X721" i="1" s="1"/>
  <c r="P722" i="1"/>
  <c r="Q722" i="1"/>
  <c r="R722" i="1"/>
  <c r="T722" i="1"/>
  <c r="U722" i="1" s="1"/>
  <c r="W722" i="1"/>
  <c r="X722" i="1" s="1"/>
  <c r="W38" i="1"/>
  <c r="X38" i="1" s="1"/>
  <c r="W718" i="1"/>
  <c r="X718" i="1" s="1"/>
  <c r="T38" i="1"/>
  <c r="U38" i="1" s="1"/>
  <c r="T718" i="1"/>
  <c r="U718" i="1" s="1"/>
  <c r="P38" i="1"/>
  <c r="Q38" i="1"/>
  <c r="R38" i="1"/>
  <c r="P718" i="1"/>
  <c r="Q718" i="1"/>
  <c r="R718" i="1"/>
  <c r="L667" i="1"/>
  <c r="W717" i="1"/>
  <c r="X717" i="1" s="1"/>
  <c r="W716" i="1"/>
  <c r="X716" i="1" s="1"/>
  <c r="W715" i="1"/>
  <c r="X715" i="1" s="1"/>
  <c r="W714" i="1"/>
  <c r="X714" i="1" s="1"/>
  <c r="W713" i="1"/>
  <c r="X713" i="1" s="1"/>
  <c r="W712" i="1"/>
  <c r="X712" i="1" s="1"/>
  <c r="T717" i="1"/>
  <c r="U717" i="1" s="1"/>
  <c r="T716" i="1"/>
  <c r="U716" i="1" s="1"/>
  <c r="T715" i="1"/>
  <c r="U715" i="1" s="1"/>
  <c r="T714" i="1"/>
  <c r="U714" i="1" s="1"/>
  <c r="T713" i="1"/>
  <c r="U713" i="1" s="1"/>
  <c r="T712" i="1"/>
  <c r="U712" i="1" s="1"/>
  <c r="P717" i="1"/>
  <c r="Q717" i="1"/>
  <c r="R717" i="1"/>
  <c r="P716" i="1"/>
  <c r="Q716" i="1"/>
  <c r="R716" i="1"/>
  <c r="P715" i="1"/>
  <c r="Q715" i="1"/>
  <c r="R715" i="1"/>
  <c r="P714" i="1"/>
  <c r="Q714" i="1"/>
  <c r="R714" i="1"/>
  <c r="P713" i="1"/>
  <c r="Q713" i="1"/>
  <c r="R713" i="1"/>
  <c r="W711" i="1"/>
  <c r="X711" i="1" s="1"/>
  <c r="W710" i="1"/>
  <c r="X710" i="1" s="1"/>
  <c r="W709" i="1"/>
  <c r="X709" i="1" s="1"/>
  <c r="W708" i="1"/>
  <c r="X708" i="1" s="1"/>
  <c r="T711" i="1"/>
  <c r="U711" i="1" s="1"/>
  <c r="T710" i="1"/>
  <c r="U710" i="1" s="1"/>
  <c r="T709" i="1"/>
  <c r="U709" i="1" s="1"/>
  <c r="T708" i="1"/>
  <c r="U708" i="1" s="1"/>
  <c r="W707" i="1"/>
  <c r="X707" i="1" s="1"/>
  <c r="T707" i="1"/>
  <c r="U707" i="1" s="1"/>
  <c r="P712" i="1"/>
  <c r="Q712" i="1"/>
  <c r="R712" i="1"/>
  <c r="P711" i="1"/>
  <c r="Q711" i="1"/>
  <c r="R711" i="1"/>
  <c r="P710" i="1"/>
  <c r="Q710" i="1"/>
  <c r="R710" i="1"/>
  <c r="P709" i="1"/>
  <c r="Q709" i="1"/>
  <c r="R709" i="1"/>
  <c r="P708" i="1"/>
  <c r="Q708" i="1"/>
  <c r="R708" i="1"/>
  <c r="L219" i="1"/>
  <c r="L211" i="1"/>
  <c r="P707" i="1"/>
  <c r="Q707" i="1"/>
  <c r="R707" i="1"/>
  <c r="W706" i="1"/>
  <c r="X706" i="1" s="1"/>
  <c r="T706" i="1"/>
  <c r="U706" i="1" s="1"/>
  <c r="W705" i="1"/>
  <c r="X705" i="1" s="1"/>
  <c r="T705" i="1"/>
  <c r="U705" i="1" s="1"/>
  <c r="P706" i="1"/>
  <c r="Q706" i="1"/>
  <c r="R706" i="1"/>
  <c r="L655" i="1"/>
  <c r="P705" i="1"/>
  <c r="Q705" i="1"/>
  <c r="R705" i="1"/>
  <c r="W704" i="1"/>
  <c r="X704" i="1" s="1"/>
  <c r="T704" i="1"/>
  <c r="U704" i="1" s="1"/>
  <c r="P704" i="1"/>
  <c r="Q704" i="1"/>
  <c r="R704" i="1"/>
  <c r="L34" i="1"/>
  <c r="L302" i="1"/>
  <c r="L619" i="1"/>
  <c r="L495" i="1"/>
  <c r="L512" i="1"/>
  <c r="L496" i="1"/>
  <c r="L217" i="1"/>
  <c r="L300" i="1"/>
  <c r="L643" i="1"/>
  <c r="L642" i="1"/>
  <c r="L641" i="1"/>
  <c r="L639" i="1"/>
  <c r="L514" i="1"/>
  <c r="L501" i="1"/>
  <c r="L498" i="1"/>
  <c r="L497" i="1"/>
  <c r="L205" i="1"/>
  <c r="L204" i="1"/>
  <c r="L200" i="1"/>
  <c r="L563" i="1"/>
  <c r="L150" i="1"/>
  <c r="L149" i="1"/>
  <c r="L146" i="1"/>
  <c r="L500" i="1"/>
  <c r="L613" i="1"/>
  <c r="L129" i="1"/>
  <c r="L293" i="1"/>
  <c r="L292" i="1"/>
  <c r="L555" i="1"/>
  <c r="L448" i="1"/>
  <c r="L447" i="1"/>
  <c r="L444" i="1"/>
  <c r="L443" i="1"/>
  <c r="L442" i="1"/>
  <c r="L441" i="1"/>
  <c r="L440" i="1"/>
  <c r="L439" i="1"/>
  <c r="L438" i="1"/>
  <c r="L437" i="1"/>
  <c r="L436" i="1"/>
  <c r="L434" i="1"/>
  <c r="L433" i="1"/>
  <c r="L432" i="1"/>
  <c r="L430" i="1"/>
  <c r="L429" i="1"/>
  <c r="L428" i="1"/>
  <c r="L427" i="1"/>
  <c r="L426" i="1"/>
  <c r="L425" i="1"/>
  <c r="L423" i="1"/>
  <c r="L143" i="1"/>
  <c r="L160" i="1"/>
  <c r="L184" i="1"/>
  <c r="L191" i="1"/>
  <c r="L188" i="1"/>
  <c r="L182" i="1"/>
  <c r="L193" i="1"/>
  <c r="L185" i="1"/>
  <c r="L177" i="1"/>
  <c r="L173" i="1"/>
  <c r="L166" i="1"/>
  <c r="L161" i="1"/>
  <c r="L321" i="1"/>
  <c r="L320" i="1"/>
  <c r="L318" i="1"/>
  <c r="L317" i="1"/>
  <c r="L316" i="1"/>
  <c r="L315" i="1"/>
  <c r="L314" i="1"/>
  <c r="L313" i="1"/>
  <c r="L312" i="1"/>
  <c r="L311" i="1"/>
  <c r="L310" i="1"/>
  <c r="L309" i="1"/>
  <c r="L308" i="1"/>
  <c r="L307" i="1"/>
  <c r="L306" i="1"/>
  <c r="L305" i="1"/>
  <c r="L303" i="1"/>
  <c r="L299" i="1"/>
  <c r="L298" i="1"/>
  <c r="L297" i="1"/>
  <c r="L295" i="1"/>
  <c r="L294" i="1"/>
  <c r="L290" i="1"/>
  <c r="L289" i="1"/>
  <c r="L288" i="1"/>
  <c r="L285" i="1"/>
  <c r="L284" i="1"/>
  <c r="L283" i="1"/>
  <c r="L157" i="1"/>
  <c r="L156" i="1"/>
  <c r="L155" i="1"/>
  <c r="L152" i="1"/>
  <c r="L148" i="1"/>
  <c r="L139" i="1"/>
  <c r="L136" i="1"/>
  <c r="L135" i="1"/>
  <c r="T555" i="1"/>
  <c r="U555" i="1" s="1"/>
  <c r="T505" i="1"/>
  <c r="U505" i="1" s="1"/>
  <c r="T504" i="1"/>
  <c r="U504" i="1" s="1"/>
  <c r="T503" i="1"/>
  <c r="U503" i="1" s="1"/>
  <c r="T26" i="1"/>
  <c r="U26" i="1" s="1"/>
  <c r="T502" i="1"/>
  <c r="U502" i="1" s="1"/>
  <c r="T501" i="1"/>
  <c r="U501" i="1" s="1"/>
  <c r="T500" i="1"/>
  <c r="U500" i="1" s="1"/>
  <c r="T499" i="1"/>
  <c r="U499" i="1" s="1"/>
  <c r="T498" i="1"/>
  <c r="U498" i="1" s="1"/>
  <c r="T497" i="1"/>
  <c r="U497" i="1" s="1"/>
  <c r="T496" i="1"/>
  <c r="U496" i="1" s="1"/>
  <c r="T495" i="1"/>
  <c r="U495" i="1" s="1"/>
  <c r="T494" i="1"/>
  <c r="U494" i="1" s="1"/>
  <c r="T493" i="1"/>
  <c r="U493" i="1" s="1"/>
  <c r="T492" i="1"/>
  <c r="U492" i="1" s="1"/>
  <c r="T491" i="1"/>
  <c r="U491" i="1" s="1"/>
  <c r="T490" i="1"/>
  <c r="U490" i="1" s="1"/>
  <c r="T489" i="1"/>
  <c r="U489" i="1" s="1"/>
  <c r="T375" i="1"/>
  <c r="U375" i="1" s="1"/>
  <c r="T272" i="1"/>
  <c r="U272" i="1" s="1"/>
  <c r="T209" i="1"/>
  <c r="U209" i="1" s="1"/>
  <c r="T208" i="1"/>
  <c r="U208" i="1" s="1"/>
  <c r="T207" i="1"/>
  <c r="U207" i="1" s="1"/>
  <c r="W555" i="1"/>
  <c r="X555" i="1" s="1"/>
  <c r="W505" i="1"/>
  <c r="X505" i="1" s="1"/>
  <c r="W504" i="1"/>
  <c r="X504" i="1" s="1"/>
  <c r="W503" i="1"/>
  <c r="X503" i="1" s="1"/>
  <c r="W26" i="1"/>
  <c r="X26" i="1" s="1"/>
  <c r="W502" i="1"/>
  <c r="X502" i="1" s="1"/>
  <c r="W501" i="1"/>
  <c r="X501" i="1" s="1"/>
  <c r="W500" i="1"/>
  <c r="X500" i="1" s="1"/>
  <c r="W499" i="1"/>
  <c r="X499" i="1" s="1"/>
  <c r="W498" i="1"/>
  <c r="X498" i="1" s="1"/>
  <c r="W497" i="1"/>
  <c r="X497" i="1" s="1"/>
  <c r="W496" i="1"/>
  <c r="X496" i="1" s="1"/>
  <c r="W495" i="1"/>
  <c r="X495" i="1" s="1"/>
  <c r="W494" i="1"/>
  <c r="X494" i="1" s="1"/>
  <c r="W493" i="1"/>
  <c r="X493" i="1" s="1"/>
  <c r="W492" i="1"/>
  <c r="X492" i="1" s="1"/>
  <c r="W491" i="1"/>
  <c r="X491" i="1" s="1"/>
  <c r="W490" i="1"/>
  <c r="X490" i="1" s="1"/>
  <c r="W489" i="1"/>
  <c r="X489" i="1" s="1"/>
  <c r="W375" i="1"/>
  <c r="X375" i="1" s="1"/>
  <c r="W272" i="1"/>
  <c r="X272" i="1" s="1"/>
  <c r="W209" i="1"/>
  <c r="X209" i="1" s="1"/>
  <c r="W208" i="1"/>
  <c r="X208" i="1" s="1"/>
  <c r="W207" i="1"/>
  <c r="X207" i="1" s="1"/>
  <c r="W422" i="1"/>
  <c r="X422" i="1" s="1"/>
  <c r="P375" i="1"/>
  <c r="Q375" i="1"/>
  <c r="R375" i="1"/>
  <c r="P272" i="1"/>
  <c r="Q272" i="1"/>
  <c r="R272" i="1"/>
  <c r="P64" i="1"/>
  <c r="Q64" i="1"/>
  <c r="R64" i="1"/>
  <c r="T64" i="1"/>
  <c r="U64" i="1" s="1"/>
  <c r="P65" i="1"/>
  <c r="Q65" i="1"/>
  <c r="R65" i="1"/>
  <c r="T65" i="1"/>
  <c r="U65" i="1" s="1"/>
  <c r="P66" i="1"/>
  <c r="Q66" i="1"/>
  <c r="R66" i="1"/>
  <c r="T66" i="1"/>
  <c r="U66" i="1" s="1"/>
  <c r="P67" i="1"/>
  <c r="Q67" i="1"/>
  <c r="R67" i="1"/>
  <c r="T67" i="1"/>
  <c r="U67" i="1" s="1"/>
  <c r="P68" i="1"/>
  <c r="Q68" i="1"/>
  <c r="R68" i="1"/>
  <c r="T68" i="1"/>
  <c r="U68" i="1" s="1"/>
  <c r="P69" i="1"/>
  <c r="Q69" i="1"/>
  <c r="R69" i="1"/>
  <c r="T69" i="1"/>
  <c r="U69" i="1" s="1"/>
  <c r="P70" i="1"/>
  <c r="Q70" i="1"/>
  <c r="R70" i="1"/>
  <c r="T70" i="1"/>
  <c r="U70" i="1" s="1"/>
  <c r="P71" i="1"/>
  <c r="Q71" i="1"/>
  <c r="R71" i="1"/>
  <c r="T71" i="1"/>
  <c r="U71" i="1" s="1"/>
  <c r="P72" i="1"/>
  <c r="Q72" i="1"/>
  <c r="R72" i="1"/>
  <c r="T72" i="1"/>
  <c r="U72" i="1" s="1"/>
  <c r="P73" i="1"/>
  <c r="Q73" i="1"/>
  <c r="R73" i="1"/>
  <c r="T73" i="1"/>
  <c r="U73" i="1" s="1"/>
  <c r="P74" i="1"/>
  <c r="Q74" i="1"/>
  <c r="R74" i="1"/>
  <c r="T74" i="1"/>
  <c r="U74" i="1" s="1"/>
  <c r="P75" i="1"/>
  <c r="Q75" i="1"/>
  <c r="R75" i="1"/>
  <c r="T75" i="1"/>
  <c r="U75" i="1" s="1"/>
  <c r="P76" i="1"/>
  <c r="Q76" i="1"/>
  <c r="R76" i="1"/>
  <c r="T76" i="1"/>
  <c r="U76" i="1" s="1"/>
  <c r="P77" i="1"/>
  <c r="Q77" i="1"/>
  <c r="R77" i="1"/>
  <c r="T77" i="1"/>
  <c r="U77" i="1" s="1"/>
  <c r="P78" i="1"/>
  <c r="Q78" i="1"/>
  <c r="R78" i="1"/>
  <c r="T78" i="1"/>
  <c r="U78" i="1" s="1"/>
  <c r="P79" i="1"/>
  <c r="Q79" i="1"/>
  <c r="R79" i="1"/>
  <c r="T79" i="1"/>
  <c r="U79" i="1" s="1"/>
  <c r="P80" i="1"/>
  <c r="Q80" i="1"/>
  <c r="R80" i="1"/>
  <c r="T80" i="1"/>
  <c r="U80" i="1" s="1"/>
  <c r="P81" i="1"/>
  <c r="Q81" i="1"/>
  <c r="R81" i="1"/>
  <c r="T81" i="1"/>
  <c r="U81" i="1" s="1"/>
  <c r="P82" i="1"/>
  <c r="Q82" i="1"/>
  <c r="R82" i="1"/>
  <c r="T82" i="1"/>
  <c r="U82" i="1" s="1"/>
  <c r="P83" i="1"/>
  <c r="Q83" i="1"/>
  <c r="R83" i="1"/>
  <c r="T83" i="1"/>
  <c r="U83" i="1" s="1"/>
  <c r="P84" i="1"/>
  <c r="Q84" i="1"/>
  <c r="R84" i="1"/>
  <c r="T84" i="1"/>
  <c r="U84" i="1" s="1"/>
  <c r="P85" i="1"/>
  <c r="Q85" i="1"/>
  <c r="R85" i="1"/>
  <c r="T85" i="1"/>
  <c r="U85" i="1" s="1"/>
  <c r="P86" i="1"/>
  <c r="Q86" i="1"/>
  <c r="R86" i="1"/>
  <c r="T86" i="1"/>
  <c r="U86" i="1" s="1"/>
  <c r="P87" i="1"/>
  <c r="Q87" i="1"/>
  <c r="R87" i="1"/>
  <c r="T87" i="1"/>
  <c r="U87" i="1" s="1"/>
  <c r="P88" i="1"/>
  <c r="Q88" i="1"/>
  <c r="R88" i="1"/>
  <c r="T88" i="1"/>
  <c r="U88" i="1" s="1"/>
  <c r="P89" i="1"/>
  <c r="Q89" i="1"/>
  <c r="R89" i="1"/>
  <c r="T89" i="1"/>
  <c r="U89" i="1" s="1"/>
  <c r="P90" i="1"/>
  <c r="Q90" i="1"/>
  <c r="R90" i="1"/>
  <c r="T90" i="1"/>
  <c r="U90" i="1" s="1"/>
  <c r="P91" i="1"/>
  <c r="Q91" i="1"/>
  <c r="R91" i="1"/>
  <c r="T91" i="1"/>
  <c r="U91" i="1" s="1"/>
  <c r="P92" i="1"/>
  <c r="Q92" i="1"/>
  <c r="R92" i="1"/>
  <c r="T92" i="1"/>
  <c r="U92" i="1" s="1"/>
  <c r="P93" i="1"/>
  <c r="Q93" i="1"/>
  <c r="R93" i="1"/>
  <c r="T93" i="1"/>
  <c r="U93" i="1" s="1"/>
  <c r="P94" i="1"/>
  <c r="Q94" i="1"/>
  <c r="R94" i="1"/>
  <c r="T94" i="1"/>
  <c r="U94" i="1" s="1"/>
  <c r="P95" i="1"/>
  <c r="Q95" i="1"/>
  <c r="R95" i="1"/>
  <c r="T95" i="1"/>
  <c r="U95" i="1" s="1"/>
  <c r="P96" i="1"/>
  <c r="Q96" i="1"/>
  <c r="R96" i="1"/>
  <c r="T96" i="1"/>
  <c r="U96" i="1" s="1"/>
  <c r="P97" i="1"/>
  <c r="Q97" i="1"/>
  <c r="R97" i="1"/>
  <c r="T97" i="1"/>
  <c r="U97" i="1" s="1"/>
  <c r="P98" i="1"/>
  <c r="Q98" i="1"/>
  <c r="R98" i="1"/>
  <c r="T98" i="1"/>
  <c r="U98" i="1" s="1"/>
  <c r="P99" i="1"/>
  <c r="Q99" i="1"/>
  <c r="R99" i="1"/>
  <c r="T99" i="1"/>
  <c r="U99" i="1" s="1"/>
  <c r="P100" i="1"/>
  <c r="Q100" i="1"/>
  <c r="R100" i="1"/>
  <c r="T100" i="1"/>
  <c r="U100" i="1" s="1"/>
  <c r="P101" i="1"/>
  <c r="Q101" i="1"/>
  <c r="R101" i="1"/>
  <c r="T101" i="1"/>
  <c r="U101" i="1" s="1"/>
  <c r="P102" i="1"/>
  <c r="Q102" i="1"/>
  <c r="R102" i="1"/>
  <c r="T102" i="1"/>
  <c r="U102" i="1" s="1"/>
  <c r="P103" i="1"/>
  <c r="Q103" i="1"/>
  <c r="R103" i="1"/>
  <c r="T103" i="1"/>
  <c r="U103" i="1" s="1"/>
  <c r="P104" i="1"/>
  <c r="Q104" i="1"/>
  <c r="R104" i="1"/>
  <c r="T104" i="1"/>
  <c r="U104" i="1" s="1"/>
  <c r="P105" i="1"/>
  <c r="Q105" i="1"/>
  <c r="R105" i="1"/>
  <c r="T105" i="1"/>
  <c r="U105" i="1" s="1"/>
  <c r="P106" i="1"/>
  <c r="Q106" i="1"/>
  <c r="R106" i="1"/>
  <c r="T106" i="1"/>
  <c r="U106" i="1" s="1"/>
  <c r="P107" i="1"/>
  <c r="Q107" i="1"/>
  <c r="R107" i="1"/>
  <c r="T107" i="1"/>
  <c r="U107" i="1" s="1"/>
  <c r="P108" i="1"/>
  <c r="Q108" i="1"/>
  <c r="R108" i="1"/>
  <c r="T108" i="1"/>
  <c r="U108" i="1" s="1"/>
  <c r="P109" i="1"/>
  <c r="Q109" i="1"/>
  <c r="R109" i="1"/>
  <c r="T109" i="1"/>
  <c r="U109" i="1" s="1"/>
  <c r="P110" i="1"/>
  <c r="Q110" i="1"/>
  <c r="R110" i="1"/>
  <c r="T110" i="1"/>
  <c r="U110" i="1" s="1"/>
  <c r="P111" i="1"/>
  <c r="Q111" i="1"/>
  <c r="R111" i="1"/>
  <c r="T111" i="1"/>
  <c r="U111" i="1" s="1"/>
  <c r="P112" i="1"/>
  <c r="Q112" i="1"/>
  <c r="R112" i="1"/>
  <c r="T112" i="1"/>
  <c r="U112" i="1" s="1"/>
  <c r="P113" i="1"/>
  <c r="Q113" i="1"/>
  <c r="R113" i="1"/>
  <c r="T113" i="1"/>
  <c r="U113" i="1" s="1"/>
  <c r="P114" i="1"/>
  <c r="Q114" i="1"/>
  <c r="R114" i="1"/>
  <c r="T114" i="1"/>
  <c r="U114" i="1" s="1"/>
  <c r="P115" i="1"/>
  <c r="Q115" i="1"/>
  <c r="R115" i="1"/>
  <c r="T115" i="1"/>
  <c r="U115" i="1" s="1"/>
  <c r="P116" i="1"/>
  <c r="Q116" i="1"/>
  <c r="R116" i="1"/>
  <c r="T116" i="1"/>
  <c r="U116" i="1" s="1"/>
  <c r="P117" i="1"/>
  <c r="Q117" i="1"/>
  <c r="R117" i="1"/>
  <c r="T117" i="1"/>
  <c r="U117" i="1" s="1"/>
  <c r="P118" i="1"/>
  <c r="Q118" i="1"/>
  <c r="R118" i="1"/>
  <c r="T118" i="1"/>
  <c r="U118" i="1" s="1"/>
  <c r="P119" i="1"/>
  <c r="Q119" i="1"/>
  <c r="R119" i="1"/>
  <c r="T119" i="1"/>
  <c r="U119" i="1" s="1"/>
  <c r="P120" i="1"/>
  <c r="Q120" i="1"/>
  <c r="R120" i="1"/>
  <c r="T120" i="1"/>
  <c r="U120" i="1" s="1"/>
  <c r="P121" i="1"/>
  <c r="Q121" i="1"/>
  <c r="R121" i="1"/>
  <c r="T121" i="1"/>
  <c r="U121" i="1" s="1"/>
  <c r="P122" i="1"/>
  <c r="Q122" i="1"/>
  <c r="R122" i="1"/>
  <c r="T122" i="1"/>
  <c r="U122" i="1" s="1"/>
  <c r="P123" i="1"/>
  <c r="Q123" i="1"/>
  <c r="R123" i="1"/>
  <c r="T123" i="1"/>
  <c r="U123" i="1" s="1"/>
  <c r="P124" i="1"/>
  <c r="Q124" i="1"/>
  <c r="R124" i="1"/>
  <c r="T124" i="1"/>
  <c r="U124" i="1" s="1"/>
  <c r="P125" i="1"/>
  <c r="Q125" i="1"/>
  <c r="R125" i="1"/>
  <c r="T125" i="1"/>
  <c r="U125" i="1" s="1"/>
  <c r="P126" i="1"/>
  <c r="Q126" i="1"/>
  <c r="R126" i="1"/>
  <c r="T126" i="1"/>
  <c r="U126" i="1" s="1"/>
  <c r="P127" i="1"/>
  <c r="Q127" i="1"/>
  <c r="R127" i="1"/>
  <c r="T127" i="1"/>
  <c r="U127" i="1" s="1"/>
  <c r="P128" i="1"/>
  <c r="Q128" i="1"/>
  <c r="R128" i="1"/>
  <c r="T128" i="1"/>
  <c r="U128" i="1" s="1"/>
  <c r="P129" i="1"/>
  <c r="Q129" i="1"/>
  <c r="R129" i="1"/>
  <c r="T129" i="1"/>
  <c r="U129" i="1" s="1"/>
  <c r="P130" i="1"/>
  <c r="Q130" i="1"/>
  <c r="R130" i="1"/>
  <c r="T130" i="1"/>
  <c r="U130" i="1" s="1"/>
  <c r="P131" i="1"/>
  <c r="Q131" i="1"/>
  <c r="R131" i="1"/>
  <c r="T131" i="1"/>
  <c r="U131" i="1" s="1"/>
  <c r="P132" i="1"/>
  <c r="Q132" i="1"/>
  <c r="R132" i="1"/>
  <c r="T132" i="1"/>
  <c r="U132" i="1" s="1"/>
  <c r="P133" i="1"/>
  <c r="Q133" i="1"/>
  <c r="R133" i="1"/>
  <c r="T133" i="1"/>
  <c r="U133" i="1" s="1"/>
  <c r="P134" i="1"/>
  <c r="Q134" i="1"/>
  <c r="R134" i="1"/>
  <c r="T134" i="1"/>
  <c r="U134" i="1" s="1"/>
  <c r="P135" i="1"/>
  <c r="Q135" i="1"/>
  <c r="R135" i="1"/>
  <c r="T135" i="1"/>
  <c r="U135" i="1" s="1"/>
  <c r="P136" i="1"/>
  <c r="Q136" i="1"/>
  <c r="R136" i="1"/>
  <c r="T136" i="1"/>
  <c r="U136" i="1" s="1"/>
  <c r="P137" i="1"/>
  <c r="Q137" i="1"/>
  <c r="R137" i="1"/>
  <c r="T137" i="1"/>
  <c r="U137" i="1" s="1"/>
  <c r="P138" i="1"/>
  <c r="Q138" i="1"/>
  <c r="R138" i="1"/>
  <c r="T138" i="1"/>
  <c r="U138" i="1" s="1"/>
  <c r="P139" i="1"/>
  <c r="Q139" i="1"/>
  <c r="R139" i="1"/>
  <c r="T139" i="1"/>
  <c r="U139" i="1" s="1"/>
  <c r="P140" i="1"/>
  <c r="Q140" i="1"/>
  <c r="R140" i="1"/>
  <c r="T140" i="1"/>
  <c r="U140" i="1" s="1"/>
  <c r="P141" i="1"/>
  <c r="Q141" i="1"/>
  <c r="R141" i="1"/>
  <c r="T141" i="1"/>
  <c r="U141" i="1" s="1"/>
  <c r="P142" i="1"/>
  <c r="Q142" i="1"/>
  <c r="R142" i="1"/>
  <c r="T142" i="1"/>
  <c r="U142" i="1" s="1"/>
  <c r="P143" i="1"/>
  <c r="Q143" i="1"/>
  <c r="R143" i="1"/>
  <c r="T143" i="1"/>
  <c r="U143" i="1" s="1"/>
  <c r="P144" i="1"/>
  <c r="Q144" i="1"/>
  <c r="R144" i="1"/>
  <c r="T144" i="1"/>
  <c r="U144" i="1" s="1"/>
  <c r="P145" i="1"/>
  <c r="Q145" i="1"/>
  <c r="R145" i="1"/>
  <c r="T145" i="1"/>
  <c r="U145" i="1" s="1"/>
  <c r="P146" i="1"/>
  <c r="Q146" i="1"/>
  <c r="R146" i="1"/>
  <c r="T146" i="1"/>
  <c r="U146" i="1" s="1"/>
  <c r="P147" i="1"/>
  <c r="Q147" i="1"/>
  <c r="R147" i="1"/>
  <c r="T147" i="1"/>
  <c r="U147" i="1" s="1"/>
  <c r="P148" i="1"/>
  <c r="Q148" i="1"/>
  <c r="R148" i="1"/>
  <c r="T148" i="1"/>
  <c r="U148" i="1" s="1"/>
  <c r="P149" i="1"/>
  <c r="Q149" i="1"/>
  <c r="R149" i="1"/>
  <c r="T149" i="1"/>
  <c r="U149" i="1" s="1"/>
  <c r="P150" i="1"/>
  <c r="Q150" i="1"/>
  <c r="R150" i="1"/>
  <c r="T150" i="1"/>
  <c r="U150" i="1" s="1"/>
  <c r="P151" i="1"/>
  <c r="Q151" i="1"/>
  <c r="R151" i="1"/>
  <c r="T151" i="1"/>
  <c r="U151" i="1" s="1"/>
  <c r="P152" i="1"/>
  <c r="Q152" i="1"/>
  <c r="R152" i="1"/>
  <c r="T152" i="1"/>
  <c r="U152" i="1" s="1"/>
  <c r="P153" i="1"/>
  <c r="Q153" i="1"/>
  <c r="R153" i="1"/>
  <c r="T153" i="1"/>
  <c r="U153" i="1" s="1"/>
  <c r="P154" i="1"/>
  <c r="Q154" i="1"/>
  <c r="R154" i="1"/>
  <c r="T154" i="1"/>
  <c r="U154" i="1" s="1"/>
  <c r="P155" i="1"/>
  <c r="Q155" i="1"/>
  <c r="R155" i="1"/>
  <c r="T155" i="1"/>
  <c r="U155" i="1" s="1"/>
  <c r="P156" i="1"/>
  <c r="Q156" i="1"/>
  <c r="R156" i="1"/>
  <c r="T156" i="1"/>
  <c r="U156" i="1" s="1"/>
  <c r="P157" i="1"/>
  <c r="Q157" i="1"/>
  <c r="R157" i="1"/>
  <c r="T157" i="1"/>
  <c r="U157" i="1" s="1"/>
  <c r="P158" i="1"/>
  <c r="Q158" i="1"/>
  <c r="R158" i="1"/>
  <c r="T158" i="1"/>
  <c r="U158" i="1" s="1"/>
  <c r="P159" i="1"/>
  <c r="Q159" i="1"/>
  <c r="R159" i="1"/>
  <c r="T159" i="1"/>
  <c r="U159" i="1" s="1"/>
  <c r="P160" i="1"/>
  <c r="Q160" i="1"/>
  <c r="R160" i="1"/>
  <c r="T160" i="1"/>
  <c r="U160" i="1" s="1"/>
  <c r="P161" i="1"/>
  <c r="Q161" i="1"/>
  <c r="R161" i="1"/>
  <c r="T161" i="1"/>
  <c r="U161" i="1" s="1"/>
  <c r="P162" i="1"/>
  <c r="Q162" i="1"/>
  <c r="R162" i="1"/>
  <c r="T162" i="1"/>
  <c r="U162" i="1" s="1"/>
  <c r="P163" i="1"/>
  <c r="Q163" i="1"/>
  <c r="R163" i="1"/>
  <c r="T163" i="1"/>
  <c r="U163" i="1" s="1"/>
  <c r="P164" i="1"/>
  <c r="Q164" i="1"/>
  <c r="R164" i="1"/>
  <c r="T164" i="1"/>
  <c r="U164" i="1" s="1"/>
  <c r="P165" i="1"/>
  <c r="Q165" i="1"/>
  <c r="R165" i="1"/>
  <c r="T165" i="1"/>
  <c r="U165" i="1" s="1"/>
  <c r="P166" i="1"/>
  <c r="Q166" i="1"/>
  <c r="R166" i="1"/>
  <c r="T166" i="1"/>
  <c r="U166" i="1" s="1"/>
  <c r="P167" i="1"/>
  <c r="Q167" i="1"/>
  <c r="R167" i="1"/>
  <c r="T167" i="1"/>
  <c r="U167" i="1" s="1"/>
  <c r="P168" i="1"/>
  <c r="Q168" i="1"/>
  <c r="R168" i="1"/>
  <c r="T168" i="1"/>
  <c r="U168" i="1" s="1"/>
  <c r="P169" i="1"/>
  <c r="Q169" i="1"/>
  <c r="R169" i="1"/>
  <c r="T169" i="1"/>
  <c r="U169" i="1" s="1"/>
  <c r="P170" i="1"/>
  <c r="Q170" i="1"/>
  <c r="R170" i="1"/>
  <c r="T170" i="1"/>
  <c r="U170" i="1" s="1"/>
  <c r="P171" i="1"/>
  <c r="Q171" i="1"/>
  <c r="R171" i="1"/>
  <c r="T171" i="1"/>
  <c r="U171" i="1" s="1"/>
  <c r="P172" i="1"/>
  <c r="Q172" i="1"/>
  <c r="R172" i="1"/>
  <c r="T172" i="1"/>
  <c r="U172" i="1" s="1"/>
  <c r="P173" i="1"/>
  <c r="Q173" i="1"/>
  <c r="R173" i="1"/>
  <c r="T173" i="1"/>
  <c r="U173" i="1" s="1"/>
  <c r="P174" i="1"/>
  <c r="Q174" i="1"/>
  <c r="R174" i="1"/>
  <c r="T174" i="1"/>
  <c r="U174" i="1" s="1"/>
  <c r="P175" i="1"/>
  <c r="Q175" i="1"/>
  <c r="R175" i="1"/>
  <c r="T175" i="1"/>
  <c r="U175" i="1" s="1"/>
  <c r="P176" i="1"/>
  <c r="Q176" i="1"/>
  <c r="R176" i="1"/>
  <c r="T176" i="1"/>
  <c r="U176" i="1" s="1"/>
  <c r="P177" i="1"/>
  <c r="Q177" i="1"/>
  <c r="R177" i="1"/>
  <c r="T177" i="1"/>
  <c r="U177" i="1" s="1"/>
  <c r="P178" i="1"/>
  <c r="Q178" i="1"/>
  <c r="R178" i="1"/>
  <c r="T178" i="1"/>
  <c r="U178" i="1" s="1"/>
  <c r="P179" i="1"/>
  <c r="Q179" i="1"/>
  <c r="R179" i="1"/>
  <c r="T179" i="1"/>
  <c r="U179" i="1" s="1"/>
  <c r="P180" i="1"/>
  <c r="Q180" i="1"/>
  <c r="R180" i="1"/>
  <c r="T180" i="1"/>
  <c r="U180" i="1" s="1"/>
  <c r="P181" i="1"/>
  <c r="Q181" i="1"/>
  <c r="R181" i="1"/>
  <c r="T181" i="1"/>
  <c r="U181" i="1" s="1"/>
  <c r="P182" i="1"/>
  <c r="Q182" i="1"/>
  <c r="R182" i="1"/>
  <c r="T182" i="1"/>
  <c r="U182" i="1" s="1"/>
  <c r="P183" i="1"/>
  <c r="Q183" i="1"/>
  <c r="R183" i="1"/>
  <c r="T183" i="1"/>
  <c r="U183" i="1" s="1"/>
  <c r="P184" i="1"/>
  <c r="Q184" i="1"/>
  <c r="R184" i="1"/>
  <c r="T184" i="1"/>
  <c r="U184" i="1" s="1"/>
  <c r="P185" i="1"/>
  <c r="Q185" i="1"/>
  <c r="R185" i="1"/>
  <c r="T185" i="1"/>
  <c r="U185" i="1" s="1"/>
  <c r="P186" i="1"/>
  <c r="Q186" i="1"/>
  <c r="R186" i="1"/>
  <c r="T186" i="1"/>
  <c r="U186" i="1" s="1"/>
  <c r="P187" i="1"/>
  <c r="Q187" i="1"/>
  <c r="R187" i="1"/>
  <c r="T187" i="1"/>
  <c r="U187" i="1" s="1"/>
  <c r="P188" i="1"/>
  <c r="Q188" i="1"/>
  <c r="R188" i="1"/>
  <c r="T188" i="1"/>
  <c r="U188" i="1" s="1"/>
  <c r="P189" i="1"/>
  <c r="Q189" i="1"/>
  <c r="R189" i="1"/>
  <c r="T189" i="1"/>
  <c r="U189" i="1" s="1"/>
  <c r="P190" i="1"/>
  <c r="Q190" i="1"/>
  <c r="R190" i="1"/>
  <c r="T190" i="1"/>
  <c r="U190" i="1" s="1"/>
  <c r="P191" i="1"/>
  <c r="Q191" i="1"/>
  <c r="R191" i="1"/>
  <c r="T191" i="1"/>
  <c r="U191" i="1" s="1"/>
  <c r="P192" i="1"/>
  <c r="Q192" i="1"/>
  <c r="R192" i="1"/>
  <c r="T192" i="1"/>
  <c r="U192" i="1" s="1"/>
  <c r="P193" i="1"/>
  <c r="Q193" i="1"/>
  <c r="R193" i="1"/>
  <c r="T193" i="1"/>
  <c r="U193" i="1" s="1"/>
  <c r="P194" i="1"/>
  <c r="Q194" i="1"/>
  <c r="R194" i="1"/>
  <c r="T194" i="1"/>
  <c r="U194" i="1" s="1"/>
  <c r="P195" i="1"/>
  <c r="Q195" i="1"/>
  <c r="R195" i="1"/>
  <c r="T195" i="1"/>
  <c r="U195" i="1" s="1"/>
  <c r="P196" i="1"/>
  <c r="Q196" i="1"/>
  <c r="R196" i="1"/>
  <c r="T196" i="1"/>
  <c r="U196" i="1" s="1"/>
  <c r="P197" i="1"/>
  <c r="Q197" i="1"/>
  <c r="R197" i="1"/>
  <c r="T197" i="1"/>
  <c r="U197" i="1" s="1"/>
  <c r="P198" i="1"/>
  <c r="Q198" i="1"/>
  <c r="R198" i="1"/>
  <c r="T198" i="1"/>
  <c r="U198" i="1" s="1"/>
  <c r="P199" i="1"/>
  <c r="Q199" i="1"/>
  <c r="R199" i="1"/>
  <c r="T199" i="1"/>
  <c r="U199" i="1" s="1"/>
  <c r="P200" i="1"/>
  <c r="Q200" i="1"/>
  <c r="R200" i="1"/>
  <c r="T200" i="1"/>
  <c r="U200" i="1" s="1"/>
  <c r="P201" i="1"/>
  <c r="Q201" i="1"/>
  <c r="R201" i="1"/>
  <c r="T201" i="1"/>
  <c r="U201" i="1" s="1"/>
  <c r="P202" i="1"/>
  <c r="Q202" i="1"/>
  <c r="R202" i="1"/>
  <c r="T202" i="1"/>
  <c r="U202" i="1" s="1"/>
  <c r="P203" i="1"/>
  <c r="Q203" i="1"/>
  <c r="R203" i="1"/>
  <c r="T203" i="1"/>
  <c r="U203" i="1" s="1"/>
  <c r="P204" i="1"/>
  <c r="Q204" i="1"/>
  <c r="R204" i="1"/>
  <c r="T204" i="1"/>
  <c r="U204" i="1" s="1"/>
  <c r="P205" i="1"/>
  <c r="Q205" i="1"/>
  <c r="R205" i="1"/>
  <c r="T205" i="1"/>
  <c r="U205" i="1" s="1"/>
  <c r="P206" i="1"/>
  <c r="Q206" i="1"/>
  <c r="R206" i="1"/>
  <c r="T206" i="1"/>
  <c r="U206" i="1" s="1"/>
  <c r="P207" i="1"/>
  <c r="Q207" i="1"/>
  <c r="R207" i="1"/>
  <c r="P208" i="1"/>
  <c r="Q208" i="1"/>
  <c r="R208" i="1"/>
  <c r="P209" i="1"/>
  <c r="Q209" i="1"/>
  <c r="R209" i="1"/>
  <c r="P210" i="1"/>
  <c r="Q210" i="1"/>
  <c r="R210" i="1"/>
  <c r="T210" i="1"/>
  <c r="U210" i="1" s="1"/>
  <c r="P211" i="1"/>
  <c r="Q211" i="1"/>
  <c r="R211" i="1"/>
  <c r="T211" i="1"/>
  <c r="U211" i="1" s="1"/>
  <c r="P212" i="1"/>
  <c r="Q212" i="1"/>
  <c r="R212" i="1"/>
  <c r="T212" i="1"/>
  <c r="U212" i="1" s="1"/>
  <c r="P213" i="1"/>
  <c r="Q213" i="1"/>
  <c r="R213" i="1"/>
  <c r="T213" i="1"/>
  <c r="U213" i="1" s="1"/>
  <c r="P214" i="1"/>
  <c r="Q214" i="1"/>
  <c r="R214" i="1"/>
  <c r="T214" i="1"/>
  <c r="U214" i="1" s="1"/>
  <c r="P12" i="1"/>
  <c r="Q12" i="1"/>
  <c r="R12" i="1"/>
  <c r="T12" i="1"/>
  <c r="U12" i="1" s="1"/>
  <c r="P215" i="1"/>
  <c r="Q215" i="1"/>
  <c r="R215" i="1"/>
  <c r="T215" i="1"/>
  <c r="U215" i="1" s="1"/>
  <c r="P216" i="1"/>
  <c r="Q216" i="1"/>
  <c r="R216" i="1"/>
  <c r="T216" i="1"/>
  <c r="U216" i="1" s="1"/>
  <c r="P217" i="1"/>
  <c r="Q217" i="1"/>
  <c r="R217" i="1"/>
  <c r="T217" i="1"/>
  <c r="U217" i="1" s="1"/>
  <c r="P13" i="1"/>
  <c r="Q13" i="1"/>
  <c r="R13" i="1"/>
  <c r="T13" i="1"/>
  <c r="U13" i="1" s="1"/>
  <c r="P218" i="1"/>
  <c r="Q218" i="1"/>
  <c r="R218" i="1"/>
  <c r="T218" i="1"/>
  <c r="U218" i="1" s="1"/>
  <c r="P219" i="1"/>
  <c r="Q219" i="1"/>
  <c r="R219" i="1"/>
  <c r="T219" i="1"/>
  <c r="U219" i="1" s="1"/>
  <c r="P220" i="1"/>
  <c r="Q220" i="1"/>
  <c r="R220" i="1"/>
  <c r="T220" i="1"/>
  <c r="U220" i="1" s="1"/>
  <c r="P221" i="1"/>
  <c r="Q221" i="1"/>
  <c r="R221" i="1"/>
  <c r="T221" i="1"/>
  <c r="U221" i="1" s="1"/>
  <c r="P222" i="1"/>
  <c r="Q222" i="1"/>
  <c r="R222" i="1"/>
  <c r="T222" i="1"/>
  <c r="U222" i="1" s="1"/>
  <c r="P223" i="1"/>
  <c r="Q223" i="1"/>
  <c r="R223" i="1"/>
  <c r="T223" i="1"/>
  <c r="U223" i="1" s="1"/>
  <c r="P224" i="1"/>
  <c r="Q224" i="1"/>
  <c r="R224" i="1"/>
  <c r="T224" i="1"/>
  <c r="U224" i="1" s="1"/>
  <c r="P225" i="1"/>
  <c r="Q225" i="1"/>
  <c r="R225" i="1"/>
  <c r="T225" i="1"/>
  <c r="U225" i="1" s="1"/>
  <c r="P226" i="1"/>
  <c r="Q226" i="1"/>
  <c r="R226" i="1"/>
  <c r="T226" i="1"/>
  <c r="U226" i="1" s="1"/>
  <c r="P227" i="1"/>
  <c r="Q227" i="1"/>
  <c r="R227" i="1"/>
  <c r="T227" i="1"/>
  <c r="U227" i="1" s="1"/>
  <c r="P228" i="1"/>
  <c r="Q228" i="1"/>
  <c r="R228" i="1"/>
  <c r="T228" i="1"/>
  <c r="U228" i="1" s="1"/>
  <c r="P229" i="1"/>
  <c r="Q229" i="1"/>
  <c r="R229" i="1"/>
  <c r="T229" i="1"/>
  <c r="U229" i="1" s="1"/>
  <c r="P230" i="1"/>
  <c r="Q230" i="1"/>
  <c r="R230" i="1"/>
  <c r="T230" i="1"/>
  <c r="U230" i="1" s="1"/>
  <c r="P231" i="1"/>
  <c r="Q231" i="1"/>
  <c r="R231" i="1"/>
  <c r="T231" i="1"/>
  <c r="U231" i="1" s="1"/>
  <c r="P232" i="1"/>
  <c r="Q232" i="1"/>
  <c r="R232" i="1"/>
  <c r="T232" i="1"/>
  <c r="U232" i="1" s="1"/>
  <c r="P233" i="1"/>
  <c r="Q233" i="1"/>
  <c r="R233" i="1"/>
  <c r="T233" i="1"/>
  <c r="U233" i="1" s="1"/>
  <c r="P234" i="1"/>
  <c r="Q234" i="1"/>
  <c r="R234" i="1"/>
  <c r="T234" i="1"/>
  <c r="U234" i="1" s="1"/>
  <c r="P235" i="1"/>
  <c r="Q235" i="1"/>
  <c r="R235" i="1"/>
  <c r="T235" i="1"/>
  <c r="U235" i="1" s="1"/>
  <c r="P236" i="1"/>
  <c r="Q236" i="1"/>
  <c r="R236" i="1"/>
  <c r="T236" i="1"/>
  <c r="U236" i="1" s="1"/>
  <c r="P237" i="1"/>
  <c r="Q237" i="1"/>
  <c r="R237" i="1"/>
  <c r="T237" i="1"/>
  <c r="U237" i="1" s="1"/>
  <c r="P238" i="1"/>
  <c r="Q238" i="1"/>
  <c r="R238" i="1"/>
  <c r="T238" i="1"/>
  <c r="U238" i="1" s="1"/>
  <c r="P239" i="1"/>
  <c r="Q239" i="1"/>
  <c r="R239" i="1"/>
  <c r="T239" i="1"/>
  <c r="U239" i="1" s="1"/>
  <c r="P240" i="1"/>
  <c r="Q240" i="1"/>
  <c r="R240" i="1"/>
  <c r="T240" i="1"/>
  <c r="U240" i="1" s="1"/>
  <c r="P241" i="1"/>
  <c r="Q241" i="1"/>
  <c r="R241" i="1"/>
  <c r="T241" i="1"/>
  <c r="U241" i="1" s="1"/>
  <c r="P242" i="1"/>
  <c r="Q242" i="1"/>
  <c r="R242" i="1"/>
  <c r="T242" i="1"/>
  <c r="U242" i="1" s="1"/>
  <c r="P243" i="1"/>
  <c r="Q243" i="1"/>
  <c r="R243" i="1"/>
  <c r="T243" i="1"/>
  <c r="U243" i="1" s="1"/>
  <c r="P244" i="1"/>
  <c r="Q244" i="1"/>
  <c r="R244" i="1"/>
  <c r="T244" i="1"/>
  <c r="U244" i="1" s="1"/>
  <c r="P245" i="1"/>
  <c r="Q245" i="1"/>
  <c r="R245" i="1"/>
  <c r="T245" i="1"/>
  <c r="U245" i="1" s="1"/>
  <c r="P246" i="1"/>
  <c r="Q246" i="1"/>
  <c r="R246" i="1"/>
  <c r="T246" i="1"/>
  <c r="U246" i="1" s="1"/>
  <c r="P247" i="1"/>
  <c r="Q247" i="1"/>
  <c r="R247" i="1"/>
  <c r="T247" i="1"/>
  <c r="U247" i="1" s="1"/>
  <c r="P248" i="1"/>
  <c r="Q248" i="1"/>
  <c r="R248" i="1"/>
  <c r="T248" i="1"/>
  <c r="U248" i="1" s="1"/>
  <c r="P249" i="1"/>
  <c r="Q249" i="1"/>
  <c r="R249" i="1"/>
  <c r="T249" i="1"/>
  <c r="U249" i="1" s="1"/>
  <c r="P250" i="1"/>
  <c r="Q250" i="1"/>
  <c r="R250" i="1"/>
  <c r="T250" i="1"/>
  <c r="U250" i="1" s="1"/>
  <c r="P251" i="1"/>
  <c r="Q251" i="1"/>
  <c r="R251" i="1"/>
  <c r="T251" i="1"/>
  <c r="U251" i="1" s="1"/>
  <c r="P252" i="1"/>
  <c r="Q252" i="1"/>
  <c r="R252" i="1"/>
  <c r="T252" i="1"/>
  <c r="U252" i="1" s="1"/>
  <c r="P253" i="1"/>
  <c r="Q253" i="1"/>
  <c r="R253" i="1"/>
  <c r="T253" i="1"/>
  <c r="U253" i="1" s="1"/>
  <c r="P254" i="1"/>
  <c r="Q254" i="1"/>
  <c r="R254" i="1"/>
  <c r="T254" i="1"/>
  <c r="U254" i="1" s="1"/>
  <c r="P255" i="1"/>
  <c r="Q255" i="1"/>
  <c r="R255" i="1"/>
  <c r="T255" i="1"/>
  <c r="U255" i="1" s="1"/>
  <c r="P256" i="1"/>
  <c r="Q256" i="1"/>
  <c r="R256" i="1"/>
  <c r="T256" i="1"/>
  <c r="U256" i="1" s="1"/>
  <c r="P257" i="1"/>
  <c r="Q257" i="1"/>
  <c r="R257" i="1"/>
  <c r="T257" i="1"/>
  <c r="U257" i="1" s="1"/>
  <c r="P258" i="1"/>
  <c r="Q258" i="1"/>
  <c r="R258" i="1"/>
  <c r="T258" i="1"/>
  <c r="U258" i="1" s="1"/>
  <c r="P259" i="1"/>
  <c r="Q259" i="1"/>
  <c r="R259" i="1"/>
  <c r="T259" i="1"/>
  <c r="U259" i="1" s="1"/>
  <c r="P260" i="1"/>
  <c r="Q260" i="1"/>
  <c r="R260" i="1"/>
  <c r="T260" i="1"/>
  <c r="U260" i="1" s="1"/>
  <c r="P261" i="1"/>
  <c r="Q261" i="1"/>
  <c r="R261" i="1"/>
  <c r="T261" i="1"/>
  <c r="U261" i="1" s="1"/>
  <c r="P262" i="1"/>
  <c r="Q262" i="1"/>
  <c r="R262" i="1"/>
  <c r="T262" i="1"/>
  <c r="U262" i="1" s="1"/>
  <c r="P263" i="1"/>
  <c r="Q263" i="1"/>
  <c r="R263" i="1"/>
  <c r="T263" i="1"/>
  <c r="U263" i="1" s="1"/>
  <c r="P264" i="1"/>
  <c r="Q264" i="1"/>
  <c r="R264" i="1"/>
  <c r="T264" i="1"/>
  <c r="U264" i="1" s="1"/>
  <c r="P265" i="1"/>
  <c r="Q265" i="1"/>
  <c r="R265" i="1"/>
  <c r="T265" i="1"/>
  <c r="U265" i="1" s="1"/>
  <c r="P266" i="1"/>
  <c r="Q266" i="1"/>
  <c r="R266" i="1"/>
  <c r="T266" i="1"/>
  <c r="U266" i="1" s="1"/>
  <c r="P267" i="1"/>
  <c r="Q267" i="1"/>
  <c r="R267" i="1"/>
  <c r="T267" i="1"/>
  <c r="U267" i="1" s="1"/>
  <c r="P268" i="1"/>
  <c r="Q268" i="1"/>
  <c r="R268" i="1"/>
  <c r="T268" i="1"/>
  <c r="U268" i="1" s="1"/>
  <c r="P269" i="1"/>
  <c r="Q269" i="1"/>
  <c r="R269" i="1"/>
  <c r="T269" i="1"/>
  <c r="U269" i="1" s="1"/>
  <c r="P270" i="1"/>
  <c r="Q270" i="1"/>
  <c r="R270" i="1"/>
  <c r="T270" i="1"/>
  <c r="U270" i="1" s="1"/>
  <c r="P271" i="1"/>
  <c r="Q271" i="1"/>
  <c r="R271" i="1"/>
  <c r="T271" i="1"/>
  <c r="U271" i="1" s="1"/>
  <c r="P273" i="1"/>
  <c r="Q273" i="1"/>
  <c r="R273" i="1"/>
  <c r="T273" i="1"/>
  <c r="U273" i="1" s="1"/>
  <c r="P274" i="1"/>
  <c r="Q274" i="1"/>
  <c r="R274" i="1"/>
  <c r="T274" i="1"/>
  <c r="U274" i="1" s="1"/>
  <c r="P275" i="1"/>
  <c r="Q275" i="1"/>
  <c r="R275" i="1"/>
  <c r="T275" i="1"/>
  <c r="U275" i="1" s="1"/>
  <c r="P276" i="1"/>
  <c r="Q276" i="1"/>
  <c r="R276" i="1"/>
  <c r="T276" i="1"/>
  <c r="U276" i="1" s="1"/>
  <c r="P277" i="1"/>
  <c r="Q277" i="1"/>
  <c r="R277" i="1"/>
  <c r="T277" i="1"/>
  <c r="U277" i="1" s="1"/>
  <c r="P278" i="1"/>
  <c r="Q278" i="1"/>
  <c r="R278" i="1"/>
  <c r="T278" i="1"/>
  <c r="U278" i="1" s="1"/>
  <c r="P279" i="1"/>
  <c r="Q279" i="1"/>
  <c r="R279" i="1"/>
  <c r="T279" i="1"/>
  <c r="U279" i="1" s="1"/>
  <c r="P280" i="1"/>
  <c r="Q280" i="1"/>
  <c r="R280" i="1"/>
  <c r="T280" i="1"/>
  <c r="U280" i="1" s="1"/>
  <c r="P281" i="1"/>
  <c r="Q281" i="1"/>
  <c r="R281" i="1"/>
  <c r="T281" i="1"/>
  <c r="U281" i="1" s="1"/>
  <c r="P282" i="1"/>
  <c r="Q282" i="1"/>
  <c r="R282" i="1"/>
  <c r="T282" i="1"/>
  <c r="U282" i="1" s="1"/>
  <c r="P14" i="1"/>
  <c r="Q14" i="1"/>
  <c r="R14" i="1"/>
  <c r="T14" i="1"/>
  <c r="U14" i="1" s="1"/>
  <c r="P283" i="1"/>
  <c r="Q283" i="1"/>
  <c r="R283" i="1"/>
  <c r="T283" i="1"/>
  <c r="U283" i="1" s="1"/>
  <c r="P284" i="1"/>
  <c r="Q284" i="1"/>
  <c r="R284" i="1"/>
  <c r="T284" i="1"/>
  <c r="U284" i="1" s="1"/>
  <c r="P15" i="1"/>
  <c r="Q15" i="1"/>
  <c r="R15" i="1"/>
  <c r="T15" i="1"/>
  <c r="U15" i="1" s="1"/>
  <c r="P285" i="1"/>
  <c r="Q285" i="1"/>
  <c r="R285" i="1"/>
  <c r="T285" i="1"/>
  <c r="U285" i="1" s="1"/>
  <c r="P286" i="1"/>
  <c r="Q286" i="1"/>
  <c r="R286" i="1"/>
  <c r="T286" i="1"/>
  <c r="U286" i="1" s="1"/>
  <c r="P287" i="1"/>
  <c r="Q287" i="1"/>
  <c r="R287" i="1"/>
  <c r="T287" i="1"/>
  <c r="U287" i="1" s="1"/>
  <c r="P288" i="1"/>
  <c r="Q288" i="1"/>
  <c r="R288" i="1"/>
  <c r="T288" i="1"/>
  <c r="U288" i="1" s="1"/>
  <c r="P16" i="1"/>
  <c r="Q16" i="1"/>
  <c r="R16" i="1"/>
  <c r="T16" i="1"/>
  <c r="U16" i="1" s="1"/>
  <c r="P289" i="1"/>
  <c r="Q289" i="1"/>
  <c r="R289" i="1"/>
  <c r="T289" i="1"/>
  <c r="U289" i="1" s="1"/>
  <c r="P17" i="1"/>
  <c r="Q17" i="1"/>
  <c r="R17" i="1"/>
  <c r="T17" i="1"/>
  <c r="U17" i="1" s="1"/>
  <c r="P18" i="1"/>
  <c r="Q18" i="1"/>
  <c r="R18" i="1"/>
  <c r="T18" i="1"/>
  <c r="U18" i="1" s="1"/>
  <c r="P19" i="1"/>
  <c r="Q19" i="1"/>
  <c r="R19" i="1"/>
  <c r="T19" i="1"/>
  <c r="U19" i="1" s="1"/>
  <c r="P20" i="1"/>
  <c r="Q20" i="1"/>
  <c r="R20" i="1"/>
  <c r="T20" i="1"/>
  <c r="U20" i="1" s="1"/>
  <c r="P290" i="1"/>
  <c r="Q290" i="1"/>
  <c r="R290" i="1"/>
  <c r="T290" i="1"/>
  <c r="U290" i="1" s="1"/>
  <c r="P21" i="1"/>
  <c r="Q21" i="1"/>
  <c r="R21" i="1"/>
  <c r="T21" i="1"/>
  <c r="U21" i="1" s="1"/>
  <c r="P291" i="1"/>
  <c r="Q291" i="1"/>
  <c r="R291" i="1"/>
  <c r="T291" i="1"/>
  <c r="U291" i="1" s="1"/>
  <c r="P292" i="1"/>
  <c r="Q292" i="1"/>
  <c r="R292" i="1"/>
  <c r="T292" i="1"/>
  <c r="U292" i="1" s="1"/>
  <c r="P293" i="1"/>
  <c r="Q293" i="1"/>
  <c r="R293" i="1"/>
  <c r="T293" i="1"/>
  <c r="U293" i="1" s="1"/>
  <c r="P294" i="1"/>
  <c r="Q294" i="1"/>
  <c r="R294" i="1"/>
  <c r="T294" i="1"/>
  <c r="U294" i="1" s="1"/>
  <c r="P295" i="1"/>
  <c r="Q295" i="1"/>
  <c r="R295" i="1"/>
  <c r="T295" i="1"/>
  <c r="U295" i="1" s="1"/>
  <c r="P296" i="1"/>
  <c r="Q296" i="1"/>
  <c r="R296" i="1"/>
  <c r="T296" i="1"/>
  <c r="U296" i="1" s="1"/>
  <c r="P22" i="1"/>
  <c r="Q22" i="1"/>
  <c r="R22" i="1"/>
  <c r="T22" i="1"/>
  <c r="U22" i="1" s="1"/>
  <c r="P297" i="1"/>
  <c r="Q297" i="1"/>
  <c r="R297" i="1"/>
  <c r="T297" i="1"/>
  <c r="U297" i="1" s="1"/>
  <c r="P298" i="1"/>
  <c r="Q298" i="1"/>
  <c r="R298" i="1"/>
  <c r="T298" i="1"/>
  <c r="U298" i="1" s="1"/>
  <c r="P299" i="1"/>
  <c r="Q299" i="1"/>
  <c r="R299" i="1"/>
  <c r="T299" i="1"/>
  <c r="U299" i="1" s="1"/>
  <c r="P300" i="1"/>
  <c r="Q300" i="1"/>
  <c r="R300" i="1"/>
  <c r="T300" i="1"/>
  <c r="U300" i="1" s="1"/>
  <c r="P301" i="1"/>
  <c r="Q301" i="1"/>
  <c r="R301" i="1"/>
  <c r="T301" i="1"/>
  <c r="U301" i="1" s="1"/>
  <c r="P302" i="1"/>
  <c r="Q302" i="1"/>
  <c r="R302" i="1"/>
  <c r="T302" i="1"/>
  <c r="U302" i="1" s="1"/>
  <c r="P303" i="1"/>
  <c r="Q303" i="1"/>
  <c r="R303" i="1"/>
  <c r="T303" i="1"/>
  <c r="U303" i="1" s="1"/>
  <c r="P23" i="1"/>
  <c r="Q23" i="1"/>
  <c r="R23" i="1"/>
  <c r="T23" i="1"/>
  <c r="U23" i="1" s="1"/>
  <c r="P24" i="1"/>
  <c r="Q24" i="1"/>
  <c r="R24" i="1"/>
  <c r="T24" i="1"/>
  <c r="U24" i="1" s="1"/>
  <c r="P304" i="1"/>
  <c r="Q304" i="1"/>
  <c r="R304" i="1"/>
  <c r="T304" i="1"/>
  <c r="U304" i="1" s="1"/>
  <c r="P305" i="1"/>
  <c r="Q305" i="1"/>
  <c r="R305" i="1"/>
  <c r="T305" i="1"/>
  <c r="U305" i="1" s="1"/>
  <c r="P306" i="1"/>
  <c r="Q306" i="1"/>
  <c r="R306" i="1"/>
  <c r="T306" i="1"/>
  <c r="U306" i="1" s="1"/>
  <c r="P307" i="1"/>
  <c r="Q307" i="1"/>
  <c r="R307" i="1"/>
  <c r="T307" i="1"/>
  <c r="U307" i="1" s="1"/>
  <c r="P308" i="1"/>
  <c r="Q308" i="1"/>
  <c r="R308" i="1"/>
  <c r="T308" i="1"/>
  <c r="U308" i="1" s="1"/>
  <c r="P309" i="1"/>
  <c r="Q309" i="1"/>
  <c r="R309" i="1"/>
  <c r="T309" i="1"/>
  <c r="U309" i="1" s="1"/>
  <c r="P310" i="1"/>
  <c r="Q310" i="1"/>
  <c r="R310" i="1"/>
  <c r="T310" i="1"/>
  <c r="U310" i="1" s="1"/>
  <c r="P311" i="1"/>
  <c r="Q311" i="1"/>
  <c r="R311" i="1"/>
  <c r="T311" i="1"/>
  <c r="U311" i="1" s="1"/>
  <c r="P312" i="1"/>
  <c r="Q312" i="1"/>
  <c r="R312" i="1"/>
  <c r="T312" i="1"/>
  <c r="U312" i="1" s="1"/>
  <c r="P313" i="1"/>
  <c r="Q313" i="1"/>
  <c r="R313" i="1"/>
  <c r="T313" i="1"/>
  <c r="U313" i="1" s="1"/>
  <c r="P314" i="1"/>
  <c r="Q314" i="1"/>
  <c r="R314" i="1"/>
  <c r="T314" i="1"/>
  <c r="U314" i="1" s="1"/>
  <c r="P315" i="1"/>
  <c r="Q315" i="1"/>
  <c r="R315" i="1"/>
  <c r="T315" i="1"/>
  <c r="U315" i="1" s="1"/>
  <c r="P316" i="1"/>
  <c r="Q316" i="1"/>
  <c r="R316" i="1"/>
  <c r="T316" i="1"/>
  <c r="U316" i="1" s="1"/>
  <c r="P317" i="1"/>
  <c r="Q317" i="1"/>
  <c r="R317" i="1"/>
  <c r="T317" i="1"/>
  <c r="U317" i="1" s="1"/>
  <c r="P318" i="1"/>
  <c r="Q318" i="1"/>
  <c r="R318" i="1"/>
  <c r="T318" i="1"/>
  <c r="U318" i="1" s="1"/>
  <c r="P319" i="1"/>
  <c r="Q319" i="1"/>
  <c r="R319" i="1"/>
  <c r="T319" i="1"/>
  <c r="U319" i="1" s="1"/>
  <c r="P320" i="1"/>
  <c r="Q320" i="1"/>
  <c r="R320" i="1"/>
  <c r="T320" i="1"/>
  <c r="U320" i="1" s="1"/>
  <c r="P321" i="1"/>
  <c r="Q321" i="1"/>
  <c r="R321" i="1"/>
  <c r="T321" i="1"/>
  <c r="U321" i="1" s="1"/>
  <c r="P322" i="1"/>
  <c r="Q322" i="1"/>
  <c r="R322" i="1"/>
  <c r="T322" i="1"/>
  <c r="U322" i="1" s="1"/>
  <c r="P323" i="1"/>
  <c r="Q323" i="1"/>
  <c r="R323" i="1"/>
  <c r="T323" i="1"/>
  <c r="U323" i="1" s="1"/>
  <c r="P324" i="1"/>
  <c r="Q324" i="1"/>
  <c r="R324" i="1"/>
  <c r="T324" i="1"/>
  <c r="U324" i="1" s="1"/>
  <c r="P325" i="1"/>
  <c r="Q325" i="1"/>
  <c r="R325" i="1"/>
  <c r="T325" i="1"/>
  <c r="U325" i="1" s="1"/>
  <c r="P326" i="1"/>
  <c r="Q326" i="1"/>
  <c r="R326" i="1"/>
  <c r="T326" i="1"/>
  <c r="U326" i="1" s="1"/>
  <c r="P327" i="1"/>
  <c r="Q327" i="1"/>
  <c r="R327" i="1"/>
  <c r="T327" i="1"/>
  <c r="U327" i="1" s="1"/>
  <c r="P328" i="1"/>
  <c r="Q328" i="1"/>
  <c r="R328" i="1"/>
  <c r="T328" i="1"/>
  <c r="U328" i="1" s="1"/>
  <c r="P329" i="1"/>
  <c r="Q329" i="1"/>
  <c r="R329" i="1"/>
  <c r="T329" i="1"/>
  <c r="U329" i="1" s="1"/>
  <c r="P330" i="1"/>
  <c r="Q330" i="1"/>
  <c r="R330" i="1"/>
  <c r="T330" i="1"/>
  <c r="U330" i="1" s="1"/>
  <c r="P331" i="1"/>
  <c r="Q331" i="1"/>
  <c r="R331" i="1"/>
  <c r="T331" i="1"/>
  <c r="U331" i="1" s="1"/>
  <c r="P332" i="1"/>
  <c r="Q332" i="1"/>
  <c r="R332" i="1"/>
  <c r="T332" i="1"/>
  <c r="U332" i="1" s="1"/>
  <c r="P333" i="1"/>
  <c r="Q333" i="1"/>
  <c r="R333" i="1"/>
  <c r="T333" i="1"/>
  <c r="U333" i="1" s="1"/>
  <c r="P334" i="1"/>
  <c r="Q334" i="1"/>
  <c r="R334" i="1"/>
  <c r="T334" i="1"/>
  <c r="U334" i="1" s="1"/>
  <c r="P335" i="1"/>
  <c r="Q335" i="1"/>
  <c r="R335" i="1"/>
  <c r="T335" i="1"/>
  <c r="U335" i="1" s="1"/>
  <c r="P336" i="1"/>
  <c r="Q336" i="1"/>
  <c r="R336" i="1"/>
  <c r="T336" i="1"/>
  <c r="U336" i="1" s="1"/>
  <c r="P337" i="1"/>
  <c r="Q337" i="1"/>
  <c r="R337" i="1"/>
  <c r="T337" i="1"/>
  <c r="U337" i="1" s="1"/>
  <c r="P338" i="1"/>
  <c r="Q338" i="1"/>
  <c r="R338" i="1"/>
  <c r="T338" i="1"/>
  <c r="U338" i="1" s="1"/>
  <c r="P339" i="1"/>
  <c r="Q339" i="1"/>
  <c r="R339" i="1"/>
  <c r="T339" i="1"/>
  <c r="U339" i="1" s="1"/>
  <c r="P340" i="1"/>
  <c r="Q340" i="1"/>
  <c r="R340" i="1"/>
  <c r="T340" i="1"/>
  <c r="U340" i="1" s="1"/>
  <c r="P341" i="1"/>
  <c r="Q341" i="1"/>
  <c r="R341" i="1"/>
  <c r="T341" i="1"/>
  <c r="U341" i="1" s="1"/>
  <c r="P342" i="1"/>
  <c r="Q342" i="1"/>
  <c r="R342" i="1"/>
  <c r="T342" i="1"/>
  <c r="U342" i="1" s="1"/>
  <c r="P343" i="1"/>
  <c r="Q343" i="1"/>
  <c r="R343" i="1"/>
  <c r="T343" i="1"/>
  <c r="U343" i="1" s="1"/>
  <c r="P344" i="1"/>
  <c r="Q344" i="1"/>
  <c r="R344" i="1"/>
  <c r="T344" i="1"/>
  <c r="U344" i="1" s="1"/>
  <c r="P345" i="1"/>
  <c r="Q345" i="1"/>
  <c r="R345" i="1"/>
  <c r="T345" i="1"/>
  <c r="U345" i="1" s="1"/>
  <c r="P346" i="1"/>
  <c r="Q346" i="1"/>
  <c r="R346" i="1"/>
  <c r="T346" i="1"/>
  <c r="U346" i="1" s="1"/>
  <c r="P347" i="1"/>
  <c r="Q347" i="1"/>
  <c r="R347" i="1"/>
  <c r="T347" i="1"/>
  <c r="U347" i="1" s="1"/>
  <c r="P348" i="1"/>
  <c r="Q348" i="1"/>
  <c r="R348" i="1"/>
  <c r="T348" i="1"/>
  <c r="U348" i="1" s="1"/>
  <c r="P349" i="1"/>
  <c r="Q349" i="1"/>
  <c r="R349" i="1"/>
  <c r="T349" i="1"/>
  <c r="U349" i="1" s="1"/>
  <c r="P350" i="1"/>
  <c r="Q350" i="1"/>
  <c r="R350" i="1"/>
  <c r="T350" i="1"/>
  <c r="U350" i="1" s="1"/>
  <c r="P351" i="1"/>
  <c r="Q351" i="1"/>
  <c r="R351" i="1"/>
  <c r="T351" i="1"/>
  <c r="U351" i="1" s="1"/>
  <c r="P352" i="1"/>
  <c r="Q352" i="1"/>
  <c r="R352" i="1"/>
  <c r="T352" i="1"/>
  <c r="U352" i="1" s="1"/>
  <c r="P353" i="1"/>
  <c r="Q353" i="1"/>
  <c r="R353" i="1"/>
  <c r="T353" i="1"/>
  <c r="U353" i="1" s="1"/>
  <c r="P354" i="1"/>
  <c r="Q354" i="1"/>
  <c r="R354" i="1"/>
  <c r="T354" i="1"/>
  <c r="U354" i="1" s="1"/>
  <c r="P355" i="1"/>
  <c r="Q355" i="1"/>
  <c r="R355" i="1"/>
  <c r="T355" i="1"/>
  <c r="U355" i="1" s="1"/>
  <c r="P356" i="1"/>
  <c r="Q356" i="1"/>
  <c r="R356" i="1"/>
  <c r="T356" i="1"/>
  <c r="U356" i="1" s="1"/>
  <c r="P357" i="1"/>
  <c r="Q357" i="1"/>
  <c r="R357" i="1"/>
  <c r="T357" i="1"/>
  <c r="U357" i="1" s="1"/>
  <c r="P358" i="1"/>
  <c r="Q358" i="1"/>
  <c r="R358" i="1"/>
  <c r="T358" i="1"/>
  <c r="U358" i="1" s="1"/>
  <c r="P359" i="1"/>
  <c r="Q359" i="1"/>
  <c r="R359" i="1"/>
  <c r="T359" i="1"/>
  <c r="U359" i="1" s="1"/>
  <c r="P360" i="1"/>
  <c r="Q360" i="1"/>
  <c r="R360" i="1"/>
  <c r="T360" i="1"/>
  <c r="U360" i="1" s="1"/>
  <c r="P361" i="1"/>
  <c r="Q361" i="1"/>
  <c r="R361" i="1"/>
  <c r="T361" i="1"/>
  <c r="U361" i="1" s="1"/>
  <c r="P362" i="1"/>
  <c r="Q362" i="1"/>
  <c r="R362" i="1"/>
  <c r="T362" i="1"/>
  <c r="U362" i="1" s="1"/>
  <c r="P363" i="1"/>
  <c r="Q363" i="1"/>
  <c r="R363" i="1"/>
  <c r="T363" i="1"/>
  <c r="U363" i="1" s="1"/>
  <c r="P364" i="1"/>
  <c r="Q364" i="1"/>
  <c r="R364" i="1"/>
  <c r="T364" i="1"/>
  <c r="U364" i="1" s="1"/>
  <c r="P365" i="1"/>
  <c r="Q365" i="1"/>
  <c r="R365" i="1"/>
  <c r="T365" i="1"/>
  <c r="U365" i="1" s="1"/>
  <c r="P366" i="1"/>
  <c r="Q366" i="1"/>
  <c r="R366" i="1"/>
  <c r="T366" i="1"/>
  <c r="U366" i="1" s="1"/>
  <c r="P367" i="1"/>
  <c r="Q367" i="1"/>
  <c r="R367" i="1"/>
  <c r="T367" i="1"/>
  <c r="U367" i="1" s="1"/>
  <c r="P368" i="1"/>
  <c r="Q368" i="1"/>
  <c r="R368" i="1"/>
  <c r="T368" i="1"/>
  <c r="U368" i="1" s="1"/>
  <c r="P369" i="1"/>
  <c r="Q369" i="1"/>
  <c r="R369" i="1"/>
  <c r="T369" i="1"/>
  <c r="U369" i="1" s="1"/>
  <c r="P370" i="1"/>
  <c r="Q370" i="1"/>
  <c r="R370" i="1"/>
  <c r="T370" i="1"/>
  <c r="U370" i="1" s="1"/>
  <c r="P371" i="1"/>
  <c r="Q371" i="1"/>
  <c r="R371" i="1"/>
  <c r="T371" i="1"/>
  <c r="U371" i="1" s="1"/>
  <c r="P372" i="1"/>
  <c r="Q372" i="1"/>
  <c r="R372" i="1"/>
  <c r="T372" i="1"/>
  <c r="U372" i="1" s="1"/>
  <c r="P373" i="1"/>
  <c r="Q373" i="1"/>
  <c r="R373" i="1"/>
  <c r="T373" i="1"/>
  <c r="U373" i="1" s="1"/>
  <c r="P374" i="1"/>
  <c r="Q374" i="1"/>
  <c r="R374" i="1"/>
  <c r="T374" i="1"/>
  <c r="U374" i="1" s="1"/>
  <c r="P376" i="1"/>
  <c r="Q376" i="1"/>
  <c r="R376" i="1"/>
  <c r="T376" i="1"/>
  <c r="U376" i="1" s="1"/>
  <c r="P377" i="1"/>
  <c r="Q377" i="1"/>
  <c r="R377" i="1"/>
  <c r="T377" i="1"/>
  <c r="U377" i="1" s="1"/>
  <c r="P378" i="1"/>
  <c r="Q378" i="1"/>
  <c r="R378" i="1"/>
  <c r="T378" i="1"/>
  <c r="U378" i="1" s="1"/>
  <c r="P379" i="1"/>
  <c r="Q379" i="1"/>
  <c r="R379" i="1"/>
  <c r="T379" i="1"/>
  <c r="U379" i="1" s="1"/>
  <c r="P380" i="1"/>
  <c r="Q380" i="1"/>
  <c r="R380" i="1"/>
  <c r="T380" i="1"/>
  <c r="U380" i="1" s="1"/>
  <c r="P381" i="1"/>
  <c r="Q381" i="1"/>
  <c r="R381" i="1"/>
  <c r="T381" i="1"/>
  <c r="U381" i="1" s="1"/>
  <c r="P382" i="1"/>
  <c r="Q382" i="1"/>
  <c r="R382" i="1"/>
  <c r="T382" i="1"/>
  <c r="U382" i="1" s="1"/>
  <c r="P383" i="1"/>
  <c r="Q383" i="1"/>
  <c r="R383" i="1"/>
  <c r="T383" i="1"/>
  <c r="U383" i="1" s="1"/>
  <c r="P384" i="1"/>
  <c r="Q384" i="1"/>
  <c r="R384" i="1"/>
  <c r="T384" i="1"/>
  <c r="U384" i="1" s="1"/>
  <c r="P385" i="1"/>
  <c r="Q385" i="1"/>
  <c r="R385" i="1"/>
  <c r="T385" i="1"/>
  <c r="U385" i="1" s="1"/>
  <c r="P386" i="1"/>
  <c r="Q386" i="1"/>
  <c r="R386" i="1"/>
  <c r="T386" i="1"/>
  <c r="U386" i="1" s="1"/>
  <c r="P387" i="1"/>
  <c r="Q387" i="1"/>
  <c r="R387" i="1"/>
  <c r="T387" i="1"/>
  <c r="U387" i="1" s="1"/>
  <c r="P388" i="1"/>
  <c r="Q388" i="1"/>
  <c r="R388" i="1"/>
  <c r="T388" i="1"/>
  <c r="U388" i="1" s="1"/>
  <c r="P389" i="1"/>
  <c r="Q389" i="1"/>
  <c r="R389" i="1"/>
  <c r="T389" i="1"/>
  <c r="U389" i="1" s="1"/>
  <c r="P390" i="1"/>
  <c r="Q390" i="1"/>
  <c r="R390" i="1"/>
  <c r="T390" i="1"/>
  <c r="U390" i="1" s="1"/>
  <c r="P391" i="1"/>
  <c r="Q391" i="1"/>
  <c r="R391" i="1"/>
  <c r="T391" i="1"/>
  <c r="U391" i="1" s="1"/>
  <c r="P392" i="1"/>
  <c r="Q392" i="1"/>
  <c r="R392" i="1"/>
  <c r="T392" i="1"/>
  <c r="U392" i="1" s="1"/>
  <c r="P393" i="1"/>
  <c r="Q393" i="1"/>
  <c r="R393" i="1"/>
  <c r="T393" i="1"/>
  <c r="U393" i="1" s="1"/>
  <c r="P394" i="1"/>
  <c r="Q394" i="1"/>
  <c r="R394" i="1"/>
  <c r="T394" i="1"/>
  <c r="U394" i="1" s="1"/>
  <c r="P395" i="1"/>
  <c r="Q395" i="1"/>
  <c r="R395" i="1"/>
  <c r="T395" i="1"/>
  <c r="U395" i="1" s="1"/>
  <c r="P396" i="1"/>
  <c r="Q396" i="1"/>
  <c r="R396" i="1"/>
  <c r="T396" i="1"/>
  <c r="U396" i="1" s="1"/>
  <c r="P397" i="1"/>
  <c r="Q397" i="1"/>
  <c r="R397" i="1"/>
  <c r="T397" i="1"/>
  <c r="U397" i="1" s="1"/>
  <c r="P398" i="1"/>
  <c r="Q398" i="1"/>
  <c r="R398" i="1"/>
  <c r="T398" i="1"/>
  <c r="U398" i="1" s="1"/>
  <c r="P399" i="1"/>
  <c r="Q399" i="1"/>
  <c r="R399" i="1"/>
  <c r="T399" i="1"/>
  <c r="U399" i="1" s="1"/>
  <c r="P400" i="1"/>
  <c r="Q400" i="1"/>
  <c r="R400" i="1"/>
  <c r="T400" i="1"/>
  <c r="U400" i="1" s="1"/>
  <c r="P401" i="1"/>
  <c r="Q401" i="1"/>
  <c r="R401" i="1"/>
  <c r="T401" i="1"/>
  <c r="U401" i="1" s="1"/>
  <c r="P402" i="1"/>
  <c r="Q402" i="1"/>
  <c r="R402" i="1"/>
  <c r="T402" i="1"/>
  <c r="U402" i="1" s="1"/>
  <c r="P403" i="1"/>
  <c r="Q403" i="1"/>
  <c r="R403" i="1"/>
  <c r="T403" i="1"/>
  <c r="U403" i="1" s="1"/>
  <c r="P404" i="1"/>
  <c r="Q404" i="1"/>
  <c r="R404" i="1"/>
  <c r="T404" i="1"/>
  <c r="U404" i="1" s="1"/>
  <c r="P405" i="1"/>
  <c r="Q405" i="1"/>
  <c r="R405" i="1"/>
  <c r="T405" i="1"/>
  <c r="U405" i="1" s="1"/>
  <c r="P406" i="1"/>
  <c r="Q406" i="1"/>
  <c r="R406" i="1"/>
  <c r="T406" i="1"/>
  <c r="U406" i="1" s="1"/>
  <c r="P407" i="1"/>
  <c r="Q407" i="1"/>
  <c r="R407" i="1"/>
  <c r="T407" i="1"/>
  <c r="U407" i="1" s="1"/>
  <c r="P408" i="1"/>
  <c r="Q408" i="1"/>
  <c r="R408" i="1"/>
  <c r="T408" i="1"/>
  <c r="U408" i="1" s="1"/>
  <c r="P409" i="1"/>
  <c r="Q409" i="1"/>
  <c r="R409" i="1"/>
  <c r="T409" i="1"/>
  <c r="U409" i="1" s="1"/>
  <c r="P410" i="1"/>
  <c r="Q410" i="1"/>
  <c r="R410" i="1"/>
  <c r="T410" i="1"/>
  <c r="U410" i="1" s="1"/>
  <c r="P411" i="1"/>
  <c r="Q411" i="1"/>
  <c r="R411" i="1"/>
  <c r="T411" i="1"/>
  <c r="U411" i="1" s="1"/>
  <c r="P412" i="1"/>
  <c r="Q412" i="1"/>
  <c r="R412" i="1"/>
  <c r="T412" i="1"/>
  <c r="U412" i="1" s="1"/>
  <c r="P413" i="1"/>
  <c r="Q413" i="1"/>
  <c r="R413" i="1"/>
  <c r="T413" i="1"/>
  <c r="U413" i="1" s="1"/>
  <c r="P414" i="1"/>
  <c r="Q414" i="1"/>
  <c r="R414" i="1"/>
  <c r="T414" i="1"/>
  <c r="U414" i="1" s="1"/>
  <c r="P415" i="1"/>
  <c r="Q415" i="1"/>
  <c r="R415" i="1"/>
  <c r="T415" i="1"/>
  <c r="U415" i="1" s="1"/>
  <c r="P416" i="1"/>
  <c r="Q416" i="1"/>
  <c r="R416" i="1"/>
  <c r="T416" i="1"/>
  <c r="U416" i="1" s="1"/>
  <c r="P417" i="1"/>
  <c r="Q417" i="1"/>
  <c r="R417" i="1"/>
  <c r="T417" i="1"/>
  <c r="U417" i="1" s="1"/>
  <c r="P418" i="1"/>
  <c r="Q418" i="1"/>
  <c r="R418" i="1"/>
  <c r="T418" i="1"/>
  <c r="U418" i="1" s="1"/>
  <c r="P419" i="1"/>
  <c r="Q419" i="1"/>
  <c r="R419" i="1"/>
  <c r="T419" i="1"/>
  <c r="U419" i="1" s="1"/>
  <c r="P420" i="1"/>
  <c r="Q420" i="1"/>
  <c r="R420" i="1"/>
  <c r="T420" i="1"/>
  <c r="U420" i="1" s="1"/>
  <c r="P421" i="1"/>
  <c r="Q421" i="1"/>
  <c r="R421" i="1"/>
  <c r="T421" i="1"/>
  <c r="U421" i="1" s="1"/>
  <c r="P25" i="1"/>
  <c r="Q25" i="1"/>
  <c r="R25" i="1"/>
  <c r="T25" i="1"/>
  <c r="U25" i="1" s="1"/>
  <c r="P422" i="1"/>
  <c r="Q422" i="1"/>
  <c r="R422" i="1"/>
  <c r="T422" i="1"/>
  <c r="U422" i="1" s="1"/>
  <c r="P423" i="1"/>
  <c r="Q423" i="1"/>
  <c r="R423" i="1"/>
  <c r="T423" i="1"/>
  <c r="U423" i="1" s="1"/>
  <c r="P424" i="1"/>
  <c r="Q424" i="1"/>
  <c r="R424" i="1"/>
  <c r="T424" i="1"/>
  <c r="U424" i="1" s="1"/>
  <c r="P425" i="1"/>
  <c r="Q425" i="1"/>
  <c r="R425" i="1"/>
  <c r="T425" i="1"/>
  <c r="U425" i="1" s="1"/>
  <c r="P426" i="1"/>
  <c r="Q426" i="1"/>
  <c r="R426" i="1"/>
  <c r="T426" i="1"/>
  <c r="U426" i="1" s="1"/>
  <c r="P427" i="1"/>
  <c r="Q427" i="1"/>
  <c r="R427" i="1"/>
  <c r="T427" i="1"/>
  <c r="U427" i="1" s="1"/>
  <c r="P428" i="1"/>
  <c r="Q428" i="1"/>
  <c r="R428" i="1"/>
  <c r="T428" i="1"/>
  <c r="U428" i="1" s="1"/>
  <c r="P429" i="1"/>
  <c r="Q429" i="1"/>
  <c r="R429" i="1"/>
  <c r="T429" i="1"/>
  <c r="U429" i="1" s="1"/>
  <c r="P430" i="1"/>
  <c r="Q430" i="1"/>
  <c r="R430" i="1"/>
  <c r="T430" i="1"/>
  <c r="U430" i="1" s="1"/>
  <c r="P431" i="1"/>
  <c r="Q431" i="1"/>
  <c r="R431" i="1"/>
  <c r="T431" i="1"/>
  <c r="U431" i="1" s="1"/>
  <c r="P432" i="1"/>
  <c r="Q432" i="1"/>
  <c r="R432" i="1"/>
  <c r="T432" i="1"/>
  <c r="U432" i="1" s="1"/>
  <c r="P433" i="1"/>
  <c r="Q433" i="1"/>
  <c r="R433" i="1"/>
  <c r="T433" i="1"/>
  <c r="U433" i="1" s="1"/>
  <c r="P434" i="1"/>
  <c r="Q434" i="1"/>
  <c r="R434" i="1"/>
  <c r="T434" i="1"/>
  <c r="U434" i="1" s="1"/>
  <c r="P435" i="1"/>
  <c r="Q435" i="1"/>
  <c r="R435" i="1"/>
  <c r="T435" i="1"/>
  <c r="U435" i="1" s="1"/>
  <c r="P436" i="1"/>
  <c r="Q436" i="1"/>
  <c r="R436" i="1"/>
  <c r="T436" i="1"/>
  <c r="U436" i="1" s="1"/>
  <c r="P437" i="1"/>
  <c r="Q437" i="1"/>
  <c r="R437" i="1"/>
  <c r="T437" i="1"/>
  <c r="U437" i="1" s="1"/>
  <c r="P438" i="1"/>
  <c r="Q438" i="1"/>
  <c r="R438" i="1"/>
  <c r="T438" i="1"/>
  <c r="U438" i="1" s="1"/>
  <c r="P439" i="1"/>
  <c r="Q439" i="1"/>
  <c r="R439" i="1"/>
  <c r="T439" i="1"/>
  <c r="U439" i="1" s="1"/>
  <c r="P440" i="1"/>
  <c r="Q440" i="1"/>
  <c r="R440" i="1"/>
  <c r="T440" i="1"/>
  <c r="U440" i="1" s="1"/>
  <c r="P441" i="1"/>
  <c r="Q441" i="1"/>
  <c r="R441" i="1"/>
  <c r="T441" i="1"/>
  <c r="U441" i="1" s="1"/>
  <c r="P442" i="1"/>
  <c r="Q442" i="1"/>
  <c r="R442" i="1"/>
  <c r="T442" i="1"/>
  <c r="U442" i="1" s="1"/>
  <c r="P443" i="1"/>
  <c r="Q443" i="1"/>
  <c r="R443" i="1"/>
  <c r="T443" i="1"/>
  <c r="U443" i="1" s="1"/>
  <c r="P444" i="1"/>
  <c r="Q444" i="1"/>
  <c r="R444" i="1"/>
  <c r="T444" i="1"/>
  <c r="U444" i="1" s="1"/>
  <c r="P445" i="1"/>
  <c r="Q445" i="1"/>
  <c r="R445" i="1"/>
  <c r="T445" i="1"/>
  <c r="U445" i="1" s="1"/>
  <c r="P446" i="1"/>
  <c r="Q446" i="1"/>
  <c r="R446" i="1"/>
  <c r="T446" i="1"/>
  <c r="U446" i="1" s="1"/>
  <c r="P447" i="1"/>
  <c r="Q447" i="1"/>
  <c r="R447" i="1"/>
  <c r="T447" i="1"/>
  <c r="U447" i="1" s="1"/>
  <c r="P448" i="1"/>
  <c r="Q448" i="1"/>
  <c r="R448" i="1"/>
  <c r="T448" i="1"/>
  <c r="U448" i="1" s="1"/>
  <c r="P449" i="1"/>
  <c r="Q449" i="1"/>
  <c r="R449" i="1"/>
  <c r="T449" i="1"/>
  <c r="U449" i="1" s="1"/>
  <c r="P450" i="1"/>
  <c r="Q450" i="1"/>
  <c r="R450" i="1"/>
  <c r="T450" i="1"/>
  <c r="U450" i="1" s="1"/>
  <c r="P451" i="1"/>
  <c r="Q451" i="1"/>
  <c r="R451" i="1"/>
  <c r="T451" i="1"/>
  <c r="U451" i="1" s="1"/>
  <c r="P452" i="1"/>
  <c r="Q452" i="1"/>
  <c r="R452" i="1"/>
  <c r="T452" i="1"/>
  <c r="U452" i="1" s="1"/>
  <c r="P453" i="1"/>
  <c r="Q453" i="1"/>
  <c r="R453" i="1"/>
  <c r="T453" i="1"/>
  <c r="U453" i="1" s="1"/>
  <c r="P454" i="1"/>
  <c r="Q454" i="1"/>
  <c r="R454" i="1"/>
  <c r="T454" i="1"/>
  <c r="U454" i="1" s="1"/>
  <c r="P455" i="1"/>
  <c r="Q455" i="1"/>
  <c r="R455" i="1"/>
  <c r="T455" i="1"/>
  <c r="U455" i="1" s="1"/>
  <c r="P456" i="1"/>
  <c r="Q456" i="1"/>
  <c r="R456" i="1"/>
  <c r="T456" i="1"/>
  <c r="U456" i="1" s="1"/>
  <c r="P457" i="1"/>
  <c r="Q457" i="1"/>
  <c r="R457" i="1"/>
  <c r="T457" i="1"/>
  <c r="U457" i="1" s="1"/>
  <c r="P458" i="1"/>
  <c r="Q458" i="1"/>
  <c r="R458" i="1"/>
  <c r="T458" i="1"/>
  <c r="U458" i="1" s="1"/>
  <c r="P459" i="1"/>
  <c r="Q459" i="1"/>
  <c r="R459" i="1"/>
  <c r="T459" i="1"/>
  <c r="U459" i="1" s="1"/>
  <c r="P460" i="1"/>
  <c r="Q460" i="1"/>
  <c r="R460" i="1"/>
  <c r="T460" i="1"/>
  <c r="U460" i="1" s="1"/>
  <c r="P461" i="1"/>
  <c r="Q461" i="1"/>
  <c r="R461" i="1"/>
  <c r="T461" i="1"/>
  <c r="U461" i="1" s="1"/>
  <c r="P462" i="1"/>
  <c r="Q462" i="1"/>
  <c r="R462" i="1"/>
  <c r="T462" i="1"/>
  <c r="U462" i="1" s="1"/>
  <c r="P463" i="1"/>
  <c r="Q463" i="1"/>
  <c r="R463" i="1"/>
  <c r="T463" i="1"/>
  <c r="U463" i="1" s="1"/>
  <c r="P464" i="1"/>
  <c r="Q464" i="1"/>
  <c r="R464" i="1"/>
  <c r="T464" i="1"/>
  <c r="U464" i="1" s="1"/>
  <c r="P465" i="1"/>
  <c r="Q465" i="1"/>
  <c r="R465" i="1"/>
  <c r="T465" i="1"/>
  <c r="U465" i="1" s="1"/>
  <c r="P466" i="1"/>
  <c r="Q466" i="1"/>
  <c r="R466" i="1"/>
  <c r="T466" i="1"/>
  <c r="U466" i="1" s="1"/>
  <c r="P467" i="1"/>
  <c r="Q467" i="1"/>
  <c r="R467" i="1"/>
  <c r="T467" i="1"/>
  <c r="U467" i="1" s="1"/>
  <c r="P468" i="1"/>
  <c r="Q468" i="1"/>
  <c r="R468" i="1"/>
  <c r="T468" i="1"/>
  <c r="U468" i="1" s="1"/>
  <c r="P469" i="1"/>
  <c r="Q469" i="1"/>
  <c r="R469" i="1"/>
  <c r="T469" i="1"/>
  <c r="U469" i="1" s="1"/>
  <c r="P470" i="1"/>
  <c r="Q470" i="1"/>
  <c r="R470" i="1"/>
  <c r="T470" i="1"/>
  <c r="U470" i="1" s="1"/>
  <c r="P471" i="1"/>
  <c r="Q471" i="1"/>
  <c r="R471" i="1"/>
  <c r="T471" i="1"/>
  <c r="U471" i="1" s="1"/>
  <c r="P472" i="1"/>
  <c r="Q472" i="1"/>
  <c r="R472" i="1"/>
  <c r="T472" i="1"/>
  <c r="U472" i="1" s="1"/>
  <c r="P473" i="1"/>
  <c r="Q473" i="1"/>
  <c r="R473" i="1"/>
  <c r="T473" i="1"/>
  <c r="U473" i="1" s="1"/>
  <c r="P474" i="1"/>
  <c r="Q474" i="1"/>
  <c r="R474" i="1"/>
  <c r="T474" i="1"/>
  <c r="U474" i="1" s="1"/>
  <c r="P475" i="1"/>
  <c r="Q475" i="1"/>
  <c r="R475" i="1"/>
  <c r="T475" i="1"/>
  <c r="U475" i="1" s="1"/>
  <c r="P476" i="1"/>
  <c r="Q476" i="1"/>
  <c r="R476" i="1"/>
  <c r="T476" i="1"/>
  <c r="U476" i="1" s="1"/>
  <c r="P477" i="1"/>
  <c r="Q477" i="1"/>
  <c r="R477" i="1"/>
  <c r="T477" i="1"/>
  <c r="U477" i="1" s="1"/>
  <c r="P478" i="1"/>
  <c r="Q478" i="1"/>
  <c r="R478" i="1"/>
  <c r="T478" i="1"/>
  <c r="U478" i="1" s="1"/>
  <c r="P479" i="1"/>
  <c r="Q479" i="1"/>
  <c r="R479" i="1"/>
  <c r="T479" i="1"/>
  <c r="U479" i="1" s="1"/>
  <c r="P480" i="1"/>
  <c r="Q480" i="1"/>
  <c r="R480" i="1"/>
  <c r="T480" i="1"/>
  <c r="U480" i="1" s="1"/>
  <c r="P481" i="1"/>
  <c r="Q481" i="1"/>
  <c r="R481" i="1"/>
  <c r="T481" i="1"/>
  <c r="U481" i="1" s="1"/>
  <c r="P482" i="1"/>
  <c r="Q482" i="1"/>
  <c r="R482" i="1"/>
  <c r="T482" i="1"/>
  <c r="U482" i="1" s="1"/>
  <c r="P483" i="1"/>
  <c r="Q483" i="1"/>
  <c r="R483" i="1"/>
  <c r="T483" i="1"/>
  <c r="U483" i="1" s="1"/>
  <c r="P484" i="1"/>
  <c r="Q484" i="1"/>
  <c r="R484" i="1"/>
  <c r="T484" i="1"/>
  <c r="U484" i="1" s="1"/>
  <c r="P485" i="1"/>
  <c r="Q485" i="1"/>
  <c r="R485" i="1"/>
  <c r="T485" i="1"/>
  <c r="U485" i="1" s="1"/>
  <c r="P486" i="1"/>
  <c r="Q486" i="1"/>
  <c r="R486" i="1"/>
  <c r="T486" i="1"/>
  <c r="U486" i="1" s="1"/>
  <c r="P487" i="1"/>
  <c r="Q487" i="1"/>
  <c r="R487" i="1"/>
  <c r="T487" i="1"/>
  <c r="U487" i="1" s="1"/>
  <c r="P488" i="1"/>
  <c r="Q488" i="1"/>
  <c r="R488" i="1"/>
  <c r="T488" i="1"/>
  <c r="U488" i="1" s="1"/>
  <c r="P489" i="1"/>
  <c r="Q489" i="1"/>
  <c r="R489" i="1"/>
  <c r="P490" i="1"/>
  <c r="Q490" i="1"/>
  <c r="R490" i="1"/>
  <c r="P491" i="1"/>
  <c r="Q491" i="1"/>
  <c r="R491" i="1"/>
  <c r="P492" i="1"/>
  <c r="Q492" i="1"/>
  <c r="R492" i="1"/>
  <c r="P493" i="1"/>
  <c r="Q493" i="1"/>
  <c r="R493" i="1"/>
  <c r="P494" i="1"/>
  <c r="Q494" i="1"/>
  <c r="R494" i="1"/>
  <c r="P495" i="1"/>
  <c r="Q495" i="1"/>
  <c r="R495" i="1"/>
  <c r="P496" i="1"/>
  <c r="Q496" i="1"/>
  <c r="R496" i="1"/>
  <c r="P497" i="1"/>
  <c r="Q497" i="1"/>
  <c r="R497" i="1"/>
  <c r="P498" i="1"/>
  <c r="Q498" i="1"/>
  <c r="R498" i="1"/>
  <c r="P499" i="1"/>
  <c r="Q499" i="1"/>
  <c r="R499" i="1"/>
  <c r="P500" i="1"/>
  <c r="Q500" i="1"/>
  <c r="R500" i="1"/>
  <c r="P501" i="1"/>
  <c r="Q501" i="1"/>
  <c r="R501" i="1"/>
  <c r="P502" i="1"/>
  <c r="Q502" i="1"/>
  <c r="R502" i="1"/>
  <c r="P26" i="1"/>
  <c r="Q26" i="1"/>
  <c r="R26" i="1"/>
  <c r="P503" i="1"/>
  <c r="Q503" i="1"/>
  <c r="R503" i="1"/>
  <c r="P504" i="1"/>
  <c r="Q504" i="1"/>
  <c r="R504" i="1"/>
  <c r="P505" i="1"/>
  <c r="Q505" i="1"/>
  <c r="R505" i="1"/>
  <c r="P506" i="1"/>
  <c r="Q506" i="1"/>
  <c r="R506" i="1"/>
  <c r="T506" i="1"/>
  <c r="U506" i="1" s="1"/>
  <c r="P507" i="1"/>
  <c r="Q507" i="1"/>
  <c r="R507" i="1"/>
  <c r="T507" i="1"/>
  <c r="U507" i="1" s="1"/>
  <c r="P508" i="1"/>
  <c r="Q508" i="1"/>
  <c r="R508" i="1"/>
  <c r="T508" i="1"/>
  <c r="U508" i="1" s="1"/>
  <c r="P509" i="1"/>
  <c r="Q509" i="1"/>
  <c r="R509" i="1"/>
  <c r="T509" i="1"/>
  <c r="U509" i="1" s="1"/>
  <c r="P510" i="1"/>
  <c r="Q510" i="1"/>
  <c r="R510" i="1"/>
  <c r="T510" i="1"/>
  <c r="U510" i="1" s="1"/>
  <c r="P511" i="1"/>
  <c r="Q511" i="1"/>
  <c r="R511" i="1"/>
  <c r="T511" i="1"/>
  <c r="U511" i="1" s="1"/>
  <c r="P512" i="1"/>
  <c r="Q512" i="1"/>
  <c r="R512" i="1"/>
  <c r="T512" i="1"/>
  <c r="U512" i="1" s="1"/>
  <c r="P513" i="1"/>
  <c r="Q513" i="1"/>
  <c r="R513" i="1"/>
  <c r="T513" i="1"/>
  <c r="U513" i="1" s="1"/>
  <c r="P514" i="1"/>
  <c r="Q514" i="1"/>
  <c r="R514" i="1"/>
  <c r="T514" i="1"/>
  <c r="U514" i="1" s="1"/>
  <c r="P515" i="1"/>
  <c r="Q515" i="1"/>
  <c r="R515" i="1"/>
  <c r="T515" i="1"/>
  <c r="U515" i="1" s="1"/>
  <c r="P27" i="1"/>
  <c r="Q27" i="1"/>
  <c r="R27" i="1"/>
  <c r="T27" i="1"/>
  <c r="U27" i="1" s="1"/>
  <c r="P516" i="1"/>
  <c r="Q516" i="1"/>
  <c r="R516" i="1"/>
  <c r="T516" i="1"/>
  <c r="U516" i="1" s="1"/>
  <c r="P517" i="1"/>
  <c r="Q517" i="1"/>
  <c r="R517" i="1"/>
  <c r="T517" i="1"/>
  <c r="U517" i="1" s="1"/>
  <c r="P518" i="1"/>
  <c r="Q518" i="1"/>
  <c r="R518" i="1"/>
  <c r="T518" i="1"/>
  <c r="U518" i="1" s="1"/>
  <c r="P519" i="1"/>
  <c r="Q519" i="1"/>
  <c r="R519" i="1"/>
  <c r="T519" i="1"/>
  <c r="U519" i="1" s="1"/>
  <c r="P28" i="1"/>
  <c r="Q28" i="1"/>
  <c r="R28" i="1"/>
  <c r="T28" i="1"/>
  <c r="U28" i="1" s="1"/>
  <c r="P520" i="1"/>
  <c r="Q520" i="1"/>
  <c r="R520" i="1"/>
  <c r="T520" i="1"/>
  <c r="U520" i="1" s="1"/>
  <c r="P521" i="1"/>
  <c r="Q521" i="1"/>
  <c r="R521" i="1"/>
  <c r="T521" i="1"/>
  <c r="U521" i="1" s="1"/>
  <c r="P522" i="1"/>
  <c r="Q522" i="1"/>
  <c r="R522" i="1"/>
  <c r="T522" i="1"/>
  <c r="U522" i="1" s="1"/>
  <c r="P523" i="1"/>
  <c r="Q523" i="1"/>
  <c r="R523" i="1"/>
  <c r="T523" i="1"/>
  <c r="U523" i="1" s="1"/>
  <c r="P524" i="1"/>
  <c r="Q524" i="1"/>
  <c r="R524" i="1"/>
  <c r="T524" i="1"/>
  <c r="U524" i="1" s="1"/>
  <c r="P525" i="1"/>
  <c r="Q525" i="1"/>
  <c r="R525" i="1"/>
  <c r="T525" i="1"/>
  <c r="U525" i="1" s="1"/>
  <c r="P526" i="1"/>
  <c r="Q526" i="1"/>
  <c r="R526" i="1"/>
  <c r="T526" i="1"/>
  <c r="U526" i="1" s="1"/>
  <c r="P527" i="1"/>
  <c r="Q527" i="1"/>
  <c r="R527" i="1"/>
  <c r="T527" i="1"/>
  <c r="U527" i="1" s="1"/>
  <c r="P528" i="1"/>
  <c r="Q528" i="1"/>
  <c r="R528" i="1"/>
  <c r="T528" i="1"/>
  <c r="U528" i="1" s="1"/>
  <c r="P529" i="1"/>
  <c r="Q529" i="1"/>
  <c r="R529" i="1"/>
  <c r="T529" i="1"/>
  <c r="U529" i="1" s="1"/>
  <c r="P530" i="1"/>
  <c r="Q530" i="1"/>
  <c r="R530" i="1"/>
  <c r="T530" i="1"/>
  <c r="U530" i="1" s="1"/>
  <c r="P531" i="1"/>
  <c r="Q531" i="1"/>
  <c r="R531" i="1"/>
  <c r="T531" i="1"/>
  <c r="U531" i="1" s="1"/>
  <c r="P532" i="1"/>
  <c r="Q532" i="1"/>
  <c r="R532" i="1"/>
  <c r="T532" i="1"/>
  <c r="U532" i="1" s="1"/>
  <c r="P533" i="1"/>
  <c r="Q533" i="1"/>
  <c r="R533" i="1"/>
  <c r="T533" i="1"/>
  <c r="U533" i="1" s="1"/>
  <c r="P534" i="1"/>
  <c r="Q534" i="1"/>
  <c r="R534" i="1"/>
  <c r="T534" i="1"/>
  <c r="U534" i="1" s="1"/>
  <c r="P535" i="1"/>
  <c r="Q535" i="1"/>
  <c r="R535" i="1"/>
  <c r="T535" i="1"/>
  <c r="U535" i="1" s="1"/>
  <c r="P536" i="1"/>
  <c r="Q536" i="1"/>
  <c r="R536" i="1"/>
  <c r="T536" i="1"/>
  <c r="U536" i="1" s="1"/>
  <c r="P537" i="1"/>
  <c r="Q537" i="1"/>
  <c r="R537" i="1"/>
  <c r="T537" i="1"/>
  <c r="U537" i="1" s="1"/>
  <c r="P538" i="1"/>
  <c r="Q538" i="1"/>
  <c r="R538" i="1"/>
  <c r="T538" i="1"/>
  <c r="U538" i="1" s="1"/>
  <c r="P539" i="1"/>
  <c r="Q539" i="1"/>
  <c r="R539" i="1"/>
  <c r="T539" i="1"/>
  <c r="U539" i="1" s="1"/>
  <c r="P540" i="1"/>
  <c r="Q540" i="1"/>
  <c r="R540" i="1"/>
  <c r="T540" i="1"/>
  <c r="U540" i="1" s="1"/>
  <c r="P541" i="1"/>
  <c r="Q541" i="1"/>
  <c r="R541" i="1"/>
  <c r="T541" i="1"/>
  <c r="U541" i="1" s="1"/>
  <c r="P542" i="1"/>
  <c r="Q542" i="1"/>
  <c r="R542" i="1"/>
  <c r="T542" i="1"/>
  <c r="U542" i="1" s="1"/>
  <c r="P543" i="1"/>
  <c r="Q543" i="1"/>
  <c r="R543" i="1"/>
  <c r="T543" i="1"/>
  <c r="U543" i="1" s="1"/>
  <c r="P544" i="1"/>
  <c r="Q544" i="1"/>
  <c r="R544" i="1"/>
  <c r="T544" i="1"/>
  <c r="U544" i="1" s="1"/>
  <c r="P545" i="1"/>
  <c r="Q545" i="1"/>
  <c r="R545" i="1"/>
  <c r="T545" i="1"/>
  <c r="U545" i="1" s="1"/>
  <c r="P546" i="1"/>
  <c r="Q546" i="1"/>
  <c r="R546" i="1"/>
  <c r="T546" i="1"/>
  <c r="U546" i="1" s="1"/>
  <c r="P547" i="1"/>
  <c r="Q547" i="1"/>
  <c r="R547" i="1"/>
  <c r="T547" i="1"/>
  <c r="U547" i="1" s="1"/>
  <c r="P548" i="1"/>
  <c r="Q548" i="1"/>
  <c r="R548" i="1"/>
  <c r="T548" i="1"/>
  <c r="U548" i="1" s="1"/>
  <c r="P549" i="1"/>
  <c r="Q549" i="1"/>
  <c r="R549" i="1"/>
  <c r="T549" i="1"/>
  <c r="U549" i="1" s="1"/>
  <c r="P550" i="1"/>
  <c r="Q550" i="1"/>
  <c r="R550" i="1"/>
  <c r="T550" i="1"/>
  <c r="U550" i="1" s="1"/>
  <c r="P551" i="1"/>
  <c r="Q551" i="1"/>
  <c r="R551" i="1"/>
  <c r="T551" i="1"/>
  <c r="U551" i="1" s="1"/>
  <c r="P552" i="1"/>
  <c r="Q552" i="1"/>
  <c r="R552" i="1"/>
  <c r="T552" i="1"/>
  <c r="U552" i="1" s="1"/>
  <c r="P553" i="1"/>
  <c r="Q553" i="1"/>
  <c r="R553" i="1"/>
  <c r="T553" i="1"/>
  <c r="U553" i="1" s="1"/>
  <c r="P554" i="1"/>
  <c r="Q554" i="1"/>
  <c r="R554" i="1"/>
  <c r="T554" i="1"/>
  <c r="U554" i="1" s="1"/>
  <c r="P555" i="1"/>
  <c r="Q555" i="1"/>
  <c r="R555" i="1"/>
  <c r="P556" i="1"/>
  <c r="Q556" i="1"/>
  <c r="R556" i="1"/>
  <c r="T556" i="1"/>
  <c r="U556" i="1" s="1"/>
  <c r="P557" i="1"/>
  <c r="Q557" i="1"/>
  <c r="R557" i="1"/>
  <c r="T557" i="1"/>
  <c r="U557" i="1" s="1"/>
  <c r="P558" i="1"/>
  <c r="Q558" i="1"/>
  <c r="R558" i="1"/>
  <c r="T558" i="1"/>
  <c r="U558" i="1" s="1"/>
  <c r="P559" i="1"/>
  <c r="Q559" i="1"/>
  <c r="R559" i="1"/>
  <c r="T559" i="1"/>
  <c r="U559" i="1" s="1"/>
  <c r="P560" i="1"/>
  <c r="Q560" i="1"/>
  <c r="R560" i="1"/>
  <c r="T560" i="1"/>
  <c r="U560" i="1" s="1"/>
  <c r="P561" i="1"/>
  <c r="Q561" i="1"/>
  <c r="R561" i="1"/>
  <c r="T561" i="1"/>
  <c r="U561" i="1" s="1"/>
  <c r="P562" i="1"/>
  <c r="Q562" i="1"/>
  <c r="R562" i="1"/>
  <c r="T562" i="1"/>
  <c r="U562" i="1" s="1"/>
  <c r="P563" i="1"/>
  <c r="Q563" i="1"/>
  <c r="R563" i="1"/>
  <c r="T563" i="1"/>
  <c r="U563" i="1" s="1"/>
  <c r="P564" i="1"/>
  <c r="Q564" i="1"/>
  <c r="R564" i="1"/>
  <c r="T564" i="1"/>
  <c r="U564" i="1" s="1"/>
  <c r="P29" i="1"/>
  <c r="Q29" i="1"/>
  <c r="R29" i="1"/>
  <c r="T29" i="1"/>
  <c r="U29" i="1" s="1"/>
  <c r="P565" i="1"/>
  <c r="Q565" i="1"/>
  <c r="R565" i="1"/>
  <c r="T565" i="1"/>
  <c r="U565" i="1" s="1"/>
  <c r="P566" i="1"/>
  <c r="Q566" i="1"/>
  <c r="R566" i="1"/>
  <c r="T566" i="1"/>
  <c r="U566" i="1" s="1"/>
  <c r="P567" i="1"/>
  <c r="Q567" i="1"/>
  <c r="R567" i="1"/>
  <c r="T567" i="1"/>
  <c r="U567" i="1" s="1"/>
  <c r="P568" i="1"/>
  <c r="Q568" i="1"/>
  <c r="R568" i="1"/>
  <c r="T568" i="1"/>
  <c r="U568" i="1" s="1"/>
  <c r="P569" i="1"/>
  <c r="Q569" i="1"/>
  <c r="R569" i="1"/>
  <c r="T569" i="1"/>
  <c r="U569" i="1" s="1"/>
  <c r="P570" i="1"/>
  <c r="Q570" i="1"/>
  <c r="R570" i="1"/>
  <c r="T570" i="1"/>
  <c r="U570" i="1" s="1"/>
  <c r="P571" i="1"/>
  <c r="Q571" i="1"/>
  <c r="R571" i="1"/>
  <c r="T571" i="1"/>
  <c r="U571" i="1" s="1"/>
  <c r="P572" i="1"/>
  <c r="Q572" i="1"/>
  <c r="R572" i="1"/>
  <c r="T572" i="1"/>
  <c r="U572" i="1" s="1"/>
  <c r="P573" i="1"/>
  <c r="Q573" i="1"/>
  <c r="R573" i="1"/>
  <c r="T573" i="1"/>
  <c r="U573" i="1" s="1"/>
  <c r="P574" i="1"/>
  <c r="Q574" i="1"/>
  <c r="R574" i="1"/>
  <c r="T574" i="1"/>
  <c r="U574" i="1" s="1"/>
  <c r="P575" i="1"/>
  <c r="Q575" i="1"/>
  <c r="R575" i="1"/>
  <c r="T575" i="1"/>
  <c r="U575" i="1" s="1"/>
  <c r="P576" i="1"/>
  <c r="Q576" i="1"/>
  <c r="R576" i="1"/>
  <c r="T576" i="1"/>
  <c r="U576" i="1" s="1"/>
  <c r="P577" i="1"/>
  <c r="Q577" i="1"/>
  <c r="R577" i="1"/>
  <c r="T577" i="1"/>
  <c r="U577" i="1" s="1"/>
  <c r="P578" i="1"/>
  <c r="Q578" i="1"/>
  <c r="R578" i="1"/>
  <c r="T578" i="1"/>
  <c r="U578" i="1" s="1"/>
  <c r="P579" i="1"/>
  <c r="Q579" i="1"/>
  <c r="R579" i="1"/>
  <c r="T579" i="1"/>
  <c r="U579" i="1" s="1"/>
  <c r="P580" i="1"/>
  <c r="Q580" i="1"/>
  <c r="R580" i="1"/>
  <c r="T580" i="1"/>
  <c r="U580" i="1" s="1"/>
  <c r="P581" i="1"/>
  <c r="Q581" i="1"/>
  <c r="R581" i="1"/>
  <c r="T581" i="1"/>
  <c r="U581" i="1" s="1"/>
  <c r="P582" i="1"/>
  <c r="Q582" i="1"/>
  <c r="R582" i="1"/>
  <c r="T582" i="1"/>
  <c r="U582" i="1" s="1"/>
  <c r="P583" i="1"/>
  <c r="Q583" i="1"/>
  <c r="R583" i="1"/>
  <c r="T583" i="1"/>
  <c r="U583" i="1" s="1"/>
  <c r="P584" i="1"/>
  <c r="Q584" i="1"/>
  <c r="R584" i="1"/>
  <c r="T584" i="1"/>
  <c r="U584" i="1" s="1"/>
  <c r="P585" i="1"/>
  <c r="Q585" i="1"/>
  <c r="R585" i="1"/>
  <c r="T585" i="1"/>
  <c r="U585" i="1" s="1"/>
  <c r="P586" i="1"/>
  <c r="Q586" i="1"/>
  <c r="R586" i="1"/>
  <c r="T586" i="1"/>
  <c r="U586" i="1" s="1"/>
  <c r="P587" i="1"/>
  <c r="Q587" i="1"/>
  <c r="R587" i="1"/>
  <c r="T587" i="1"/>
  <c r="U587" i="1" s="1"/>
  <c r="P588" i="1"/>
  <c r="Q588" i="1"/>
  <c r="R588" i="1"/>
  <c r="T588" i="1"/>
  <c r="U588" i="1" s="1"/>
  <c r="P589" i="1"/>
  <c r="Q589" i="1"/>
  <c r="R589" i="1"/>
  <c r="T589" i="1"/>
  <c r="U589" i="1" s="1"/>
  <c r="P590" i="1"/>
  <c r="Q590" i="1"/>
  <c r="R590" i="1"/>
  <c r="T590" i="1"/>
  <c r="U590" i="1" s="1"/>
  <c r="P591" i="1"/>
  <c r="Q591" i="1"/>
  <c r="R591" i="1"/>
  <c r="T591" i="1"/>
  <c r="U591" i="1" s="1"/>
  <c r="P592" i="1"/>
  <c r="Q592" i="1"/>
  <c r="R592" i="1"/>
  <c r="T592" i="1"/>
  <c r="U592" i="1" s="1"/>
  <c r="P593" i="1"/>
  <c r="Q593" i="1"/>
  <c r="R593" i="1"/>
  <c r="T593" i="1"/>
  <c r="U593" i="1" s="1"/>
  <c r="P594" i="1"/>
  <c r="Q594" i="1"/>
  <c r="R594" i="1"/>
  <c r="T594" i="1"/>
  <c r="U594" i="1" s="1"/>
  <c r="P595" i="1"/>
  <c r="Q595" i="1"/>
  <c r="R595" i="1"/>
  <c r="T595" i="1"/>
  <c r="U595" i="1" s="1"/>
  <c r="P596" i="1"/>
  <c r="Q596" i="1"/>
  <c r="R596" i="1"/>
  <c r="T596" i="1"/>
  <c r="U596" i="1" s="1"/>
  <c r="P597" i="1"/>
  <c r="Q597" i="1"/>
  <c r="R597" i="1"/>
  <c r="T597" i="1"/>
  <c r="U597" i="1" s="1"/>
  <c r="P598" i="1"/>
  <c r="Q598" i="1"/>
  <c r="R598" i="1"/>
  <c r="T598" i="1"/>
  <c r="U598" i="1" s="1"/>
  <c r="P599" i="1"/>
  <c r="Q599" i="1"/>
  <c r="R599" i="1"/>
  <c r="T599" i="1"/>
  <c r="U599" i="1" s="1"/>
  <c r="P600" i="1"/>
  <c r="Q600" i="1"/>
  <c r="R600" i="1"/>
  <c r="T600" i="1"/>
  <c r="U600" i="1" s="1"/>
  <c r="P601" i="1"/>
  <c r="Q601" i="1"/>
  <c r="R601" i="1"/>
  <c r="T601" i="1"/>
  <c r="U601" i="1" s="1"/>
  <c r="P602" i="1"/>
  <c r="Q602" i="1"/>
  <c r="R602" i="1"/>
  <c r="T602" i="1"/>
  <c r="U602" i="1" s="1"/>
  <c r="P603" i="1"/>
  <c r="Q603" i="1"/>
  <c r="R603" i="1"/>
  <c r="T603" i="1"/>
  <c r="U603" i="1" s="1"/>
  <c r="P604" i="1"/>
  <c r="Q604" i="1"/>
  <c r="R604" i="1"/>
  <c r="T604" i="1"/>
  <c r="U604" i="1" s="1"/>
  <c r="P605" i="1"/>
  <c r="Q605" i="1"/>
  <c r="R605" i="1"/>
  <c r="T605" i="1"/>
  <c r="U605" i="1" s="1"/>
  <c r="P606" i="1"/>
  <c r="Q606" i="1"/>
  <c r="R606" i="1"/>
  <c r="T606" i="1"/>
  <c r="U606" i="1" s="1"/>
  <c r="P607" i="1"/>
  <c r="Q607" i="1"/>
  <c r="R607" i="1"/>
  <c r="T607" i="1"/>
  <c r="U607" i="1" s="1"/>
  <c r="P608" i="1"/>
  <c r="Q608" i="1"/>
  <c r="R608" i="1"/>
  <c r="T608" i="1"/>
  <c r="U608" i="1" s="1"/>
  <c r="P609" i="1"/>
  <c r="Q609" i="1"/>
  <c r="R609" i="1"/>
  <c r="T609" i="1"/>
  <c r="U609" i="1" s="1"/>
  <c r="P610" i="1"/>
  <c r="Q610" i="1"/>
  <c r="R610" i="1"/>
  <c r="T610" i="1"/>
  <c r="U610" i="1" s="1"/>
  <c r="P611" i="1"/>
  <c r="Q611" i="1"/>
  <c r="R611" i="1"/>
  <c r="T611" i="1"/>
  <c r="U611" i="1" s="1"/>
  <c r="P612" i="1"/>
  <c r="Q612" i="1"/>
  <c r="R612" i="1"/>
  <c r="T612" i="1"/>
  <c r="U612" i="1" s="1"/>
  <c r="P613" i="1"/>
  <c r="Q613" i="1"/>
  <c r="R613" i="1"/>
  <c r="T613" i="1"/>
  <c r="U613" i="1" s="1"/>
  <c r="P614" i="1"/>
  <c r="Q614" i="1"/>
  <c r="R614" i="1"/>
  <c r="T614" i="1"/>
  <c r="U614" i="1" s="1"/>
  <c r="P615" i="1"/>
  <c r="Q615" i="1"/>
  <c r="R615" i="1"/>
  <c r="T615" i="1"/>
  <c r="U615" i="1" s="1"/>
  <c r="P616" i="1"/>
  <c r="Q616" i="1"/>
  <c r="R616" i="1"/>
  <c r="T616" i="1"/>
  <c r="U616" i="1" s="1"/>
  <c r="P617" i="1"/>
  <c r="Q617" i="1"/>
  <c r="R617" i="1"/>
  <c r="T617" i="1"/>
  <c r="U617" i="1" s="1"/>
  <c r="P618" i="1"/>
  <c r="Q618" i="1"/>
  <c r="R618" i="1"/>
  <c r="T618" i="1"/>
  <c r="U618" i="1" s="1"/>
  <c r="P619" i="1"/>
  <c r="Q619" i="1"/>
  <c r="R619" i="1"/>
  <c r="T619" i="1"/>
  <c r="U619" i="1" s="1"/>
  <c r="P620" i="1"/>
  <c r="Q620" i="1"/>
  <c r="R620" i="1"/>
  <c r="T620" i="1"/>
  <c r="U620" i="1" s="1"/>
  <c r="P621" i="1"/>
  <c r="Q621" i="1"/>
  <c r="R621" i="1"/>
  <c r="T621" i="1"/>
  <c r="U621" i="1" s="1"/>
  <c r="P622" i="1"/>
  <c r="Q622" i="1"/>
  <c r="R622" i="1"/>
  <c r="T622" i="1"/>
  <c r="U622" i="1" s="1"/>
  <c r="P623" i="1"/>
  <c r="Q623" i="1"/>
  <c r="R623" i="1"/>
  <c r="T623" i="1"/>
  <c r="U623" i="1" s="1"/>
  <c r="P624" i="1"/>
  <c r="Q624" i="1"/>
  <c r="R624" i="1"/>
  <c r="T624" i="1"/>
  <c r="U624" i="1" s="1"/>
  <c r="P625" i="1"/>
  <c r="Q625" i="1"/>
  <c r="R625" i="1"/>
  <c r="T625" i="1"/>
  <c r="U625" i="1" s="1"/>
  <c r="P626" i="1"/>
  <c r="Q626" i="1"/>
  <c r="R626" i="1"/>
  <c r="T626" i="1"/>
  <c r="U626" i="1" s="1"/>
  <c r="P627" i="1"/>
  <c r="Q627" i="1"/>
  <c r="R627" i="1"/>
  <c r="T627" i="1"/>
  <c r="U627" i="1" s="1"/>
  <c r="P628" i="1"/>
  <c r="Q628" i="1"/>
  <c r="R628" i="1"/>
  <c r="T628" i="1"/>
  <c r="U628" i="1" s="1"/>
  <c r="P629" i="1"/>
  <c r="Q629" i="1"/>
  <c r="R629" i="1"/>
  <c r="T629" i="1"/>
  <c r="U629" i="1" s="1"/>
  <c r="P630" i="1"/>
  <c r="Q630" i="1"/>
  <c r="R630" i="1"/>
  <c r="T630" i="1"/>
  <c r="U630" i="1" s="1"/>
  <c r="P31" i="1"/>
  <c r="Q31" i="1"/>
  <c r="R31" i="1"/>
  <c r="T31" i="1"/>
  <c r="U31" i="1" s="1"/>
  <c r="P631" i="1"/>
  <c r="Q631" i="1"/>
  <c r="R631" i="1"/>
  <c r="T631" i="1"/>
  <c r="U631" i="1" s="1"/>
  <c r="P632" i="1"/>
  <c r="Q632" i="1"/>
  <c r="R632" i="1"/>
  <c r="T632" i="1"/>
  <c r="U632" i="1" s="1"/>
  <c r="P633" i="1"/>
  <c r="Q633" i="1"/>
  <c r="R633" i="1"/>
  <c r="T633" i="1"/>
  <c r="U633" i="1" s="1"/>
  <c r="P32" i="1"/>
  <c r="Q32" i="1"/>
  <c r="R32" i="1"/>
  <c r="T32" i="1"/>
  <c r="U32" i="1" s="1"/>
  <c r="P634" i="1"/>
  <c r="Q634" i="1"/>
  <c r="R634" i="1"/>
  <c r="T634" i="1"/>
  <c r="U634" i="1" s="1"/>
  <c r="W64" i="1"/>
  <c r="X64" i="1" s="1"/>
  <c r="W65" i="1"/>
  <c r="X65" i="1" s="1"/>
  <c r="W66" i="1"/>
  <c r="X66" i="1" s="1"/>
  <c r="W67" i="1"/>
  <c r="X67" i="1" s="1"/>
  <c r="W68" i="1"/>
  <c r="X68" i="1" s="1"/>
  <c r="W69" i="1"/>
  <c r="X69" i="1" s="1"/>
  <c r="W70" i="1"/>
  <c r="X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4" i="1"/>
  <c r="X104" i="1" s="1"/>
  <c r="W105" i="1"/>
  <c r="X105" i="1" s="1"/>
  <c r="W106" i="1"/>
  <c r="X106" i="1" s="1"/>
  <c r="W107" i="1"/>
  <c r="X107" i="1" s="1"/>
  <c r="W108" i="1"/>
  <c r="X108" i="1" s="1"/>
  <c r="W109" i="1"/>
  <c r="X109" i="1" s="1"/>
  <c r="W110" i="1"/>
  <c r="X110" i="1" s="1"/>
  <c r="W111" i="1"/>
  <c r="X111" i="1" s="1"/>
  <c r="W112" i="1"/>
  <c r="X112" i="1" s="1"/>
  <c r="W113" i="1"/>
  <c r="X113" i="1" s="1"/>
  <c r="W114" i="1"/>
  <c r="X114" i="1" s="1"/>
  <c r="W115" i="1"/>
  <c r="X115" i="1" s="1"/>
  <c r="W116" i="1"/>
  <c r="X116" i="1" s="1"/>
  <c r="W117" i="1"/>
  <c r="X117" i="1" s="1"/>
  <c r="W118" i="1"/>
  <c r="X118" i="1" s="1"/>
  <c r="W119" i="1"/>
  <c r="X119" i="1" s="1"/>
  <c r="W120" i="1"/>
  <c r="X120" i="1" s="1"/>
  <c r="W121" i="1"/>
  <c r="X121" i="1" s="1"/>
  <c r="W122" i="1"/>
  <c r="X122" i="1" s="1"/>
  <c r="W123" i="1"/>
  <c r="X123" i="1" s="1"/>
  <c r="W124" i="1"/>
  <c r="X124" i="1" s="1"/>
  <c r="W125" i="1"/>
  <c r="X125" i="1" s="1"/>
  <c r="W126" i="1"/>
  <c r="X126" i="1" s="1"/>
  <c r="W127" i="1"/>
  <c r="X127" i="1" s="1"/>
  <c r="W128" i="1"/>
  <c r="X128" i="1" s="1"/>
  <c r="W129" i="1"/>
  <c r="X129" i="1" s="1"/>
  <c r="W130" i="1"/>
  <c r="X130" i="1" s="1"/>
  <c r="W131" i="1"/>
  <c r="X131" i="1" s="1"/>
  <c r="W132" i="1"/>
  <c r="X132" i="1" s="1"/>
  <c r="W133" i="1"/>
  <c r="X133" i="1" s="1"/>
  <c r="W134" i="1"/>
  <c r="X134" i="1" s="1"/>
  <c r="W135" i="1"/>
  <c r="X135" i="1" s="1"/>
  <c r="W136" i="1"/>
  <c r="X136" i="1" s="1"/>
  <c r="W137" i="1"/>
  <c r="X137" i="1" s="1"/>
  <c r="W138" i="1"/>
  <c r="X138" i="1" s="1"/>
  <c r="W139" i="1"/>
  <c r="X139" i="1" s="1"/>
  <c r="W140" i="1"/>
  <c r="X140" i="1" s="1"/>
  <c r="W141" i="1"/>
  <c r="X141" i="1" s="1"/>
  <c r="W142" i="1"/>
  <c r="X142" i="1" s="1"/>
  <c r="W143" i="1"/>
  <c r="X143" i="1" s="1"/>
  <c r="W144" i="1"/>
  <c r="X144" i="1" s="1"/>
  <c r="W145" i="1"/>
  <c r="X145" i="1" s="1"/>
  <c r="W146" i="1"/>
  <c r="X146" i="1" s="1"/>
  <c r="W147" i="1"/>
  <c r="X147" i="1" s="1"/>
  <c r="W148" i="1"/>
  <c r="X148" i="1" s="1"/>
  <c r="W149" i="1"/>
  <c r="X149" i="1" s="1"/>
  <c r="W150" i="1"/>
  <c r="X150" i="1" s="1"/>
  <c r="W151" i="1"/>
  <c r="X151" i="1" s="1"/>
  <c r="W152" i="1"/>
  <c r="X152" i="1" s="1"/>
  <c r="W153" i="1"/>
  <c r="X153" i="1" s="1"/>
  <c r="W154" i="1"/>
  <c r="X154" i="1" s="1"/>
  <c r="W155" i="1"/>
  <c r="X155" i="1" s="1"/>
  <c r="W156" i="1"/>
  <c r="X156" i="1" s="1"/>
  <c r="W157" i="1"/>
  <c r="X157" i="1" s="1"/>
  <c r="W158" i="1"/>
  <c r="X158" i="1" s="1"/>
  <c r="W159" i="1"/>
  <c r="X159" i="1" s="1"/>
  <c r="W160" i="1"/>
  <c r="X160" i="1" s="1"/>
  <c r="W161" i="1"/>
  <c r="X161" i="1" s="1"/>
  <c r="W162" i="1"/>
  <c r="X162" i="1" s="1"/>
  <c r="W163" i="1"/>
  <c r="X163" i="1" s="1"/>
  <c r="W164" i="1"/>
  <c r="X164" i="1" s="1"/>
  <c r="W165" i="1"/>
  <c r="X165" i="1" s="1"/>
  <c r="W166" i="1"/>
  <c r="X166" i="1" s="1"/>
  <c r="W167" i="1"/>
  <c r="X167" i="1" s="1"/>
  <c r="W168" i="1"/>
  <c r="X168" i="1" s="1"/>
  <c r="W169" i="1"/>
  <c r="X169" i="1" s="1"/>
  <c r="W170" i="1"/>
  <c r="X170" i="1" s="1"/>
  <c r="W171" i="1"/>
  <c r="X171" i="1" s="1"/>
  <c r="W172" i="1"/>
  <c r="X172" i="1" s="1"/>
  <c r="W173" i="1"/>
  <c r="X173" i="1" s="1"/>
  <c r="W174" i="1"/>
  <c r="X174" i="1" s="1"/>
  <c r="W175" i="1"/>
  <c r="X175" i="1" s="1"/>
  <c r="W176" i="1"/>
  <c r="X176" i="1" s="1"/>
  <c r="W177" i="1"/>
  <c r="X177" i="1" s="1"/>
  <c r="W178" i="1"/>
  <c r="X178" i="1" s="1"/>
  <c r="W179" i="1"/>
  <c r="X179" i="1" s="1"/>
  <c r="W180" i="1"/>
  <c r="X180" i="1" s="1"/>
  <c r="W181" i="1"/>
  <c r="X181" i="1" s="1"/>
  <c r="W182" i="1"/>
  <c r="X182" i="1" s="1"/>
  <c r="W183" i="1"/>
  <c r="X183" i="1" s="1"/>
  <c r="W184" i="1"/>
  <c r="X184" i="1" s="1"/>
  <c r="W185" i="1"/>
  <c r="X185" i="1" s="1"/>
  <c r="W186" i="1"/>
  <c r="X186" i="1" s="1"/>
  <c r="W187" i="1"/>
  <c r="X187" i="1" s="1"/>
  <c r="W188" i="1"/>
  <c r="X188" i="1" s="1"/>
  <c r="W189" i="1"/>
  <c r="X189" i="1" s="1"/>
  <c r="W190" i="1"/>
  <c r="X190" i="1" s="1"/>
  <c r="W191" i="1"/>
  <c r="X191" i="1" s="1"/>
  <c r="W192" i="1"/>
  <c r="X192" i="1" s="1"/>
  <c r="W193" i="1"/>
  <c r="X193" i="1" s="1"/>
  <c r="W194" i="1"/>
  <c r="X194" i="1" s="1"/>
  <c r="W195" i="1"/>
  <c r="X195" i="1" s="1"/>
  <c r="W196" i="1"/>
  <c r="X196" i="1" s="1"/>
  <c r="W197" i="1"/>
  <c r="X197" i="1" s="1"/>
  <c r="W198" i="1"/>
  <c r="X198" i="1" s="1"/>
  <c r="W199" i="1"/>
  <c r="X199" i="1" s="1"/>
  <c r="W200" i="1"/>
  <c r="X200" i="1" s="1"/>
  <c r="W201" i="1"/>
  <c r="X201" i="1" s="1"/>
  <c r="W202" i="1"/>
  <c r="X202" i="1" s="1"/>
  <c r="W203" i="1"/>
  <c r="X203" i="1" s="1"/>
  <c r="W204" i="1"/>
  <c r="X204" i="1" s="1"/>
  <c r="W205" i="1"/>
  <c r="X205" i="1" s="1"/>
  <c r="W206" i="1"/>
  <c r="X206" i="1" s="1"/>
  <c r="W210" i="1"/>
  <c r="X210" i="1" s="1"/>
  <c r="W211" i="1"/>
  <c r="X211" i="1" s="1"/>
  <c r="W212" i="1"/>
  <c r="X212" i="1" s="1"/>
  <c r="W213" i="1"/>
  <c r="X213" i="1" s="1"/>
  <c r="W214" i="1"/>
  <c r="X214" i="1" s="1"/>
  <c r="W12" i="1"/>
  <c r="X12" i="1" s="1"/>
  <c r="W215" i="1"/>
  <c r="X215" i="1" s="1"/>
  <c r="W216" i="1"/>
  <c r="X216" i="1" s="1"/>
  <c r="W217" i="1"/>
  <c r="X217" i="1" s="1"/>
  <c r="W13" i="1"/>
  <c r="X13" i="1" s="1"/>
  <c r="W218" i="1"/>
  <c r="X218" i="1" s="1"/>
  <c r="W219" i="1"/>
  <c r="X219" i="1" s="1"/>
  <c r="W220" i="1"/>
  <c r="X220" i="1" s="1"/>
  <c r="W221" i="1"/>
  <c r="X221" i="1" s="1"/>
  <c r="W222" i="1"/>
  <c r="X222" i="1" s="1"/>
  <c r="W223" i="1"/>
  <c r="X223" i="1" s="1"/>
  <c r="W224" i="1"/>
  <c r="X224" i="1" s="1"/>
  <c r="W225" i="1"/>
  <c r="X225" i="1" s="1"/>
  <c r="W226" i="1"/>
  <c r="X226" i="1" s="1"/>
  <c r="W227" i="1"/>
  <c r="X227" i="1" s="1"/>
  <c r="W228" i="1"/>
  <c r="X228" i="1" s="1"/>
  <c r="W229" i="1"/>
  <c r="X229" i="1" s="1"/>
  <c r="W230" i="1"/>
  <c r="X230" i="1" s="1"/>
  <c r="W231" i="1"/>
  <c r="X231" i="1" s="1"/>
  <c r="W232" i="1"/>
  <c r="X232" i="1" s="1"/>
  <c r="W233" i="1"/>
  <c r="X233" i="1" s="1"/>
  <c r="W234" i="1"/>
  <c r="X234" i="1" s="1"/>
  <c r="W235" i="1"/>
  <c r="X235" i="1" s="1"/>
  <c r="W236" i="1"/>
  <c r="X236" i="1" s="1"/>
  <c r="W237" i="1"/>
  <c r="X237" i="1" s="1"/>
  <c r="W238" i="1"/>
  <c r="X238" i="1" s="1"/>
  <c r="W239" i="1"/>
  <c r="X239" i="1" s="1"/>
  <c r="W240" i="1"/>
  <c r="X240" i="1" s="1"/>
  <c r="W241" i="1"/>
  <c r="X241" i="1" s="1"/>
  <c r="W242" i="1"/>
  <c r="X242" i="1" s="1"/>
  <c r="W243" i="1"/>
  <c r="X243" i="1" s="1"/>
  <c r="W244" i="1"/>
  <c r="X244" i="1" s="1"/>
  <c r="W245" i="1"/>
  <c r="X245" i="1" s="1"/>
  <c r="W246" i="1"/>
  <c r="X246" i="1" s="1"/>
  <c r="W247" i="1"/>
  <c r="X247" i="1" s="1"/>
  <c r="W248" i="1"/>
  <c r="X248" i="1" s="1"/>
  <c r="W249" i="1"/>
  <c r="X249" i="1" s="1"/>
  <c r="W250" i="1"/>
  <c r="X250" i="1" s="1"/>
  <c r="W251" i="1"/>
  <c r="X251" i="1" s="1"/>
  <c r="W252" i="1"/>
  <c r="X252" i="1" s="1"/>
  <c r="W253" i="1"/>
  <c r="X253" i="1" s="1"/>
  <c r="W254" i="1"/>
  <c r="X254" i="1" s="1"/>
  <c r="W255" i="1"/>
  <c r="X255" i="1" s="1"/>
  <c r="W256" i="1"/>
  <c r="X256" i="1" s="1"/>
  <c r="W257" i="1"/>
  <c r="X257" i="1" s="1"/>
  <c r="W258" i="1"/>
  <c r="X258" i="1" s="1"/>
  <c r="W259" i="1"/>
  <c r="X259" i="1" s="1"/>
  <c r="W260" i="1"/>
  <c r="X260" i="1" s="1"/>
  <c r="W261" i="1"/>
  <c r="X261" i="1" s="1"/>
  <c r="W262" i="1"/>
  <c r="X262" i="1" s="1"/>
  <c r="W263" i="1"/>
  <c r="X263" i="1" s="1"/>
  <c r="W264" i="1"/>
  <c r="X264" i="1" s="1"/>
  <c r="W265" i="1"/>
  <c r="X265" i="1" s="1"/>
  <c r="W266" i="1"/>
  <c r="X266" i="1" s="1"/>
  <c r="W267" i="1"/>
  <c r="X267" i="1" s="1"/>
  <c r="W268" i="1"/>
  <c r="X268" i="1" s="1"/>
  <c r="W269" i="1"/>
  <c r="X269" i="1" s="1"/>
  <c r="W270" i="1"/>
  <c r="X270" i="1" s="1"/>
  <c r="W271" i="1"/>
  <c r="X271" i="1" s="1"/>
  <c r="W273" i="1"/>
  <c r="X273" i="1" s="1"/>
  <c r="W274" i="1"/>
  <c r="X274" i="1" s="1"/>
  <c r="W275" i="1"/>
  <c r="X275" i="1" s="1"/>
  <c r="W276" i="1"/>
  <c r="X276" i="1" s="1"/>
  <c r="W277" i="1"/>
  <c r="X277" i="1" s="1"/>
  <c r="W278" i="1"/>
  <c r="X278" i="1" s="1"/>
  <c r="W279" i="1"/>
  <c r="X279" i="1" s="1"/>
  <c r="W280" i="1"/>
  <c r="X280" i="1" s="1"/>
  <c r="W281" i="1"/>
  <c r="X281" i="1" s="1"/>
  <c r="W282" i="1"/>
  <c r="X282" i="1" s="1"/>
  <c r="W14" i="1"/>
  <c r="X14" i="1" s="1"/>
  <c r="W283" i="1"/>
  <c r="X283" i="1" s="1"/>
  <c r="W284" i="1"/>
  <c r="X284" i="1" s="1"/>
  <c r="W15" i="1"/>
  <c r="X15" i="1" s="1"/>
  <c r="W285" i="1"/>
  <c r="X285" i="1" s="1"/>
  <c r="W286" i="1"/>
  <c r="X286" i="1" s="1"/>
  <c r="W287" i="1"/>
  <c r="X287" i="1" s="1"/>
  <c r="W288" i="1"/>
  <c r="X288" i="1" s="1"/>
  <c r="W16" i="1"/>
  <c r="X16" i="1" s="1"/>
  <c r="W289" i="1"/>
  <c r="X289" i="1" s="1"/>
  <c r="W17" i="1"/>
  <c r="X17" i="1" s="1"/>
  <c r="W18" i="1"/>
  <c r="X18" i="1" s="1"/>
  <c r="W19" i="1"/>
  <c r="X19" i="1" s="1"/>
  <c r="W20" i="1"/>
  <c r="X20" i="1" s="1"/>
  <c r="W290" i="1"/>
  <c r="X290" i="1" s="1"/>
  <c r="W21" i="1"/>
  <c r="X21" i="1" s="1"/>
  <c r="W291" i="1"/>
  <c r="X291" i="1" s="1"/>
  <c r="W292" i="1"/>
  <c r="X292" i="1" s="1"/>
  <c r="W293" i="1"/>
  <c r="X293" i="1" s="1"/>
  <c r="W294" i="1"/>
  <c r="X294" i="1" s="1"/>
  <c r="W295" i="1"/>
  <c r="X295" i="1" s="1"/>
  <c r="W296" i="1"/>
  <c r="X296" i="1" s="1"/>
  <c r="W22" i="1"/>
  <c r="X22" i="1" s="1"/>
  <c r="W297" i="1"/>
  <c r="X297" i="1" s="1"/>
  <c r="W298" i="1"/>
  <c r="X298" i="1" s="1"/>
  <c r="W299" i="1"/>
  <c r="X299" i="1" s="1"/>
  <c r="W300" i="1"/>
  <c r="X300" i="1" s="1"/>
  <c r="W301" i="1"/>
  <c r="X301" i="1" s="1"/>
  <c r="W302" i="1"/>
  <c r="X302" i="1" s="1"/>
  <c r="W303" i="1"/>
  <c r="X303" i="1" s="1"/>
  <c r="W23" i="1"/>
  <c r="X23" i="1" s="1"/>
  <c r="W24" i="1"/>
  <c r="X24" i="1" s="1"/>
  <c r="W304" i="1"/>
  <c r="X304" i="1" s="1"/>
  <c r="W305" i="1"/>
  <c r="X305" i="1" s="1"/>
  <c r="W306" i="1"/>
  <c r="X306" i="1" s="1"/>
  <c r="W307" i="1"/>
  <c r="X307" i="1" s="1"/>
  <c r="W308" i="1"/>
  <c r="X308" i="1" s="1"/>
  <c r="W309" i="1"/>
  <c r="X309" i="1" s="1"/>
  <c r="W310" i="1"/>
  <c r="X310" i="1" s="1"/>
  <c r="W311" i="1"/>
  <c r="X311" i="1" s="1"/>
  <c r="W312" i="1"/>
  <c r="X312" i="1" s="1"/>
  <c r="W313" i="1"/>
  <c r="X313" i="1" s="1"/>
  <c r="W314" i="1"/>
  <c r="X314" i="1" s="1"/>
  <c r="W315" i="1"/>
  <c r="X315" i="1" s="1"/>
  <c r="W316" i="1"/>
  <c r="X316" i="1" s="1"/>
  <c r="W317" i="1"/>
  <c r="X317" i="1" s="1"/>
  <c r="W318" i="1"/>
  <c r="X318" i="1" s="1"/>
  <c r="W319" i="1"/>
  <c r="X319" i="1" s="1"/>
  <c r="W320" i="1"/>
  <c r="X320" i="1" s="1"/>
  <c r="W321" i="1"/>
  <c r="X321" i="1" s="1"/>
  <c r="W322" i="1"/>
  <c r="X322" i="1" s="1"/>
  <c r="W323" i="1"/>
  <c r="X323" i="1" s="1"/>
  <c r="W324" i="1"/>
  <c r="X324" i="1" s="1"/>
  <c r="W325" i="1"/>
  <c r="X325" i="1" s="1"/>
  <c r="W326" i="1"/>
  <c r="X326" i="1" s="1"/>
  <c r="W327" i="1"/>
  <c r="X327" i="1" s="1"/>
  <c r="W328" i="1"/>
  <c r="X328" i="1" s="1"/>
  <c r="W329" i="1"/>
  <c r="X329" i="1" s="1"/>
  <c r="W330" i="1"/>
  <c r="X330" i="1" s="1"/>
  <c r="W331" i="1"/>
  <c r="X331" i="1" s="1"/>
  <c r="W332" i="1"/>
  <c r="X332" i="1" s="1"/>
  <c r="W333" i="1"/>
  <c r="X333" i="1" s="1"/>
  <c r="W334" i="1"/>
  <c r="X334" i="1" s="1"/>
  <c r="W335" i="1"/>
  <c r="X335" i="1" s="1"/>
  <c r="W336" i="1"/>
  <c r="X336" i="1" s="1"/>
  <c r="W337" i="1"/>
  <c r="X337" i="1" s="1"/>
  <c r="W338" i="1"/>
  <c r="X338" i="1" s="1"/>
  <c r="W339" i="1"/>
  <c r="X339" i="1" s="1"/>
  <c r="W340" i="1"/>
  <c r="X340" i="1" s="1"/>
  <c r="W341" i="1"/>
  <c r="X341" i="1" s="1"/>
  <c r="W342" i="1"/>
  <c r="X342" i="1" s="1"/>
  <c r="W343" i="1"/>
  <c r="X343" i="1" s="1"/>
  <c r="W344" i="1"/>
  <c r="X344" i="1" s="1"/>
  <c r="W345" i="1"/>
  <c r="X345" i="1" s="1"/>
  <c r="W346" i="1"/>
  <c r="X346" i="1" s="1"/>
  <c r="W347" i="1"/>
  <c r="X347" i="1" s="1"/>
  <c r="W348" i="1"/>
  <c r="X348" i="1" s="1"/>
  <c r="W349" i="1"/>
  <c r="X349" i="1" s="1"/>
  <c r="W350" i="1"/>
  <c r="X350" i="1" s="1"/>
  <c r="W351" i="1"/>
  <c r="X351" i="1" s="1"/>
  <c r="W352" i="1"/>
  <c r="X352" i="1" s="1"/>
  <c r="W353" i="1"/>
  <c r="X353" i="1" s="1"/>
  <c r="W354" i="1"/>
  <c r="X354" i="1" s="1"/>
  <c r="W355" i="1"/>
  <c r="X355" i="1" s="1"/>
  <c r="W356" i="1"/>
  <c r="X356" i="1" s="1"/>
  <c r="W357" i="1"/>
  <c r="X357" i="1" s="1"/>
  <c r="W358" i="1"/>
  <c r="X358" i="1" s="1"/>
  <c r="W359" i="1"/>
  <c r="X359" i="1" s="1"/>
  <c r="W360" i="1"/>
  <c r="X360" i="1" s="1"/>
  <c r="W361" i="1"/>
  <c r="X361" i="1" s="1"/>
  <c r="W362" i="1"/>
  <c r="X362" i="1" s="1"/>
  <c r="W363" i="1"/>
  <c r="X363" i="1" s="1"/>
  <c r="W364" i="1"/>
  <c r="X364" i="1" s="1"/>
  <c r="W365" i="1"/>
  <c r="X365" i="1" s="1"/>
  <c r="W366" i="1"/>
  <c r="X366" i="1" s="1"/>
  <c r="W367" i="1"/>
  <c r="X367" i="1" s="1"/>
  <c r="W368" i="1"/>
  <c r="X368" i="1" s="1"/>
  <c r="W369" i="1"/>
  <c r="X369" i="1" s="1"/>
  <c r="W370" i="1"/>
  <c r="X370" i="1" s="1"/>
  <c r="W371" i="1"/>
  <c r="X371" i="1" s="1"/>
  <c r="W372" i="1"/>
  <c r="X372" i="1" s="1"/>
  <c r="W373" i="1"/>
  <c r="X373" i="1" s="1"/>
  <c r="W374" i="1"/>
  <c r="X374" i="1" s="1"/>
  <c r="W376" i="1"/>
  <c r="X376" i="1" s="1"/>
  <c r="W377" i="1"/>
  <c r="X377" i="1" s="1"/>
  <c r="W378" i="1"/>
  <c r="X378" i="1" s="1"/>
  <c r="W379" i="1"/>
  <c r="X379" i="1" s="1"/>
  <c r="W380" i="1"/>
  <c r="X380" i="1" s="1"/>
  <c r="W381" i="1"/>
  <c r="X381" i="1" s="1"/>
  <c r="W382" i="1"/>
  <c r="X382" i="1" s="1"/>
  <c r="W383" i="1"/>
  <c r="X383" i="1" s="1"/>
  <c r="W384" i="1"/>
  <c r="X384" i="1" s="1"/>
  <c r="W385" i="1"/>
  <c r="X385" i="1" s="1"/>
  <c r="W386" i="1"/>
  <c r="X386" i="1" s="1"/>
  <c r="W387" i="1"/>
  <c r="X387" i="1" s="1"/>
  <c r="W388" i="1"/>
  <c r="X388" i="1" s="1"/>
  <c r="W389" i="1"/>
  <c r="X389" i="1" s="1"/>
  <c r="W390" i="1"/>
  <c r="X390" i="1" s="1"/>
  <c r="W391" i="1"/>
  <c r="X391" i="1" s="1"/>
  <c r="W392" i="1"/>
  <c r="X392" i="1" s="1"/>
  <c r="W393" i="1"/>
  <c r="X393" i="1" s="1"/>
  <c r="W394" i="1"/>
  <c r="X394" i="1" s="1"/>
  <c r="W395" i="1"/>
  <c r="X395" i="1" s="1"/>
  <c r="W396" i="1"/>
  <c r="X396" i="1" s="1"/>
  <c r="W397" i="1"/>
  <c r="X397" i="1" s="1"/>
  <c r="W398" i="1"/>
  <c r="X398" i="1" s="1"/>
  <c r="W399" i="1"/>
  <c r="X399" i="1" s="1"/>
  <c r="W400" i="1"/>
  <c r="X400" i="1" s="1"/>
  <c r="W401" i="1"/>
  <c r="X401" i="1" s="1"/>
  <c r="W402" i="1"/>
  <c r="X402" i="1" s="1"/>
  <c r="W403" i="1"/>
  <c r="X403" i="1" s="1"/>
  <c r="W404" i="1"/>
  <c r="X404" i="1" s="1"/>
  <c r="W405" i="1"/>
  <c r="X405" i="1" s="1"/>
  <c r="W406" i="1"/>
  <c r="X406" i="1" s="1"/>
  <c r="W407" i="1"/>
  <c r="X407" i="1" s="1"/>
  <c r="W408" i="1"/>
  <c r="X408" i="1" s="1"/>
  <c r="W409" i="1"/>
  <c r="X409" i="1" s="1"/>
  <c r="W410" i="1"/>
  <c r="X410" i="1" s="1"/>
  <c r="W411" i="1"/>
  <c r="X411" i="1" s="1"/>
  <c r="W412" i="1"/>
  <c r="X412" i="1" s="1"/>
  <c r="W413" i="1"/>
  <c r="X413" i="1" s="1"/>
  <c r="W414" i="1"/>
  <c r="X414" i="1" s="1"/>
  <c r="W415" i="1"/>
  <c r="X415" i="1" s="1"/>
  <c r="W416" i="1"/>
  <c r="X416" i="1" s="1"/>
  <c r="W417" i="1"/>
  <c r="X417" i="1" s="1"/>
  <c r="W418" i="1"/>
  <c r="X418" i="1" s="1"/>
  <c r="W419" i="1"/>
  <c r="X419" i="1" s="1"/>
  <c r="W420" i="1"/>
  <c r="X420" i="1" s="1"/>
  <c r="W421" i="1"/>
  <c r="X421" i="1" s="1"/>
  <c r="W25" i="1"/>
  <c r="X25" i="1" s="1"/>
  <c r="W423" i="1"/>
  <c r="X423" i="1" s="1"/>
  <c r="W424" i="1"/>
  <c r="X424" i="1" s="1"/>
  <c r="W425" i="1"/>
  <c r="X425" i="1" s="1"/>
  <c r="W426" i="1"/>
  <c r="X426" i="1" s="1"/>
  <c r="W427" i="1"/>
  <c r="X427" i="1" s="1"/>
  <c r="W428" i="1"/>
  <c r="X428" i="1" s="1"/>
  <c r="W429" i="1"/>
  <c r="X429" i="1" s="1"/>
  <c r="W430" i="1"/>
  <c r="X430" i="1" s="1"/>
  <c r="W431" i="1"/>
  <c r="X431" i="1" s="1"/>
  <c r="W432" i="1"/>
  <c r="X432" i="1" s="1"/>
  <c r="W433" i="1"/>
  <c r="X433" i="1" s="1"/>
  <c r="W434" i="1"/>
  <c r="X434" i="1" s="1"/>
  <c r="W435" i="1"/>
  <c r="X435" i="1" s="1"/>
  <c r="W436" i="1"/>
  <c r="X436" i="1" s="1"/>
  <c r="W437" i="1"/>
  <c r="X437" i="1" s="1"/>
  <c r="W438" i="1"/>
  <c r="X438" i="1" s="1"/>
  <c r="W439" i="1"/>
  <c r="X439" i="1" s="1"/>
  <c r="W440" i="1"/>
  <c r="X440" i="1" s="1"/>
  <c r="W441" i="1"/>
  <c r="X441" i="1" s="1"/>
  <c r="W442" i="1"/>
  <c r="X442" i="1" s="1"/>
  <c r="W443" i="1"/>
  <c r="X443" i="1" s="1"/>
  <c r="W444" i="1"/>
  <c r="X444" i="1" s="1"/>
  <c r="W445" i="1"/>
  <c r="X445" i="1" s="1"/>
  <c r="W446" i="1"/>
  <c r="X446" i="1" s="1"/>
  <c r="W447" i="1"/>
  <c r="X447" i="1" s="1"/>
  <c r="W448" i="1"/>
  <c r="X448" i="1" s="1"/>
  <c r="W449" i="1"/>
  <c r="X449" i="1" s="1"/>
  <c r="W450" i="1"/>
  <c r="X450" i="1" s="1"/>
  <c r="W451" i="1"/>
  <c r="X451" i="1" s="1"/>
  <c r="W452" i="1"/>
  <c r="X452" i="1" s="1"/>
  <c r="W453" i="1"/>
  <c r="X453" i="1" s="1"/>
  <c r="W454" i="1"/>
  <c r="X454" i="1" s="1"/>
  <c r="W455" i="1"/>
  <c r="X455" i="1" s="1"/>
  <c r="W456" i="1"/>
  <c r="X456" i="1" s="1"/>
  <c r="W457" i="1"/>
  <c r="X457" i="1" s="1"/>
  <c r="W458" i="1"/>
  <c r="X458" i="1" s="1"/>
  <c r="W459" i="1"/>
  <c r="X459" i="1" s="1"/>
  <c r="W460" i="1"/>
  <c r="X460" i="1" s="1"/>
  <c r="W461" i="1"/>
  <c r="X461" i="1" s="1"/>
  <c r="W462" i="1"/>
  <c r="X462" i="1" s="1"/>
  <c r="W463" i="1"/>
  <c r="X463" i="1" s="1"/>
  <c r="W464" i="1"/>
  <c r="X464" i="1" s="1"/>
  <c r="W465" i="1"/>
  <c r="X465" i="1" s="1"/>
  <c r="W466" i="1"/>
  <c r="X466" i="1" s="1"/>
  <c r="W467" i="1"/>
  <c r="X467" i="1" s="1"/>
  <c r="W468" i="1"/>
  <c r="X468" i="1" s="1"/>
  <c r="W469" i="1"/>
  <c r="X469" i="1" s="1"/>
  <c r="W470" i="1"/>
  <c r="X470" i="1" s="1"/>
  <c r="W471" i="1"/>
  <c r="X471" i="1" s="1"/>
  <c r="W472" i="1"/>
  <c r="X472" i="1" s="1"/>
  <c r="W473" i="1"/>
  <c r="X473" i="1" s="1"/>
  <c r="W474" i="1"/>
  <c r="X474" i="1" s="1"/>
  <c r="W475" i="1"/>
  <c r="X475" i="1" s="1"/>
  <c r="W476" i="1"/>
  <c r="X476" i="1" s="1"/>
  <c r="W477" i="1"/>
  <c r="X477" i="1" s="1"/>
  <c r="W478" i="1"/>
  <c r="X478" i="1" s="1"/>
  <c r="W479" i="1"/>
  <c r="X479" i="1" s="1"/>
  <c r="W480" i="1"/>
  <c r="X480" i="1" s="1"/>
  <c r="W481" i="1"/>
  <c r="X481" i="1" s="1"/>
  <c r="W482" i="1"/>
  <c r="X482" i="1" s="1"/>
  <c r="W483" i="1"/>
  <c r="X483" i="1" s="1"/>
  <c r="W484" i="1"/>
  <c r="X484" i="1" s="1"/>
  <c r="W485" i="1"/>
  <c r="X485" i="1" s="1"/>
  <c r="W486" i="1"/>
  <c r="X486" i="1" s="1"/>
  <c r="W487" i="1"/>
  <c r="X487" i="1" s="1"/>
  <c r="W488" i="1"/>
  <c r="X488" i="1" s="1"/>
  <c r="W506" i="1"/>
  <c r="X506" i="1" s="1"/>
  <c r="W507" i="1"/>
  <c r="X507" i="1" s="1"/>
  <c r="W508" i="1"/>
  <c r="X508" i="1" s="1"/>
  <c r="W509" i="1"/>
  <c r="X509" i="1" s="1"/>
  <c r="W510" i="1"/>
  <c r="X510" i="1" s="1"/>
  <c r="W511" i="1"/>
  <c r="X511" i="1" s="1"/>
  <c r="W512" i="1"/>
  <c r="X512" i="1" s="1"/>
  <c r="W513" i="1"/>
  <c r="X513" i="1" s="1"/>
  <c r="W514" i="1"/>
  <c r="X514" i="1" s="1"/>
  <c r="W515" i="1"/>
  <c r="X515" i="1" s="1"/>
  <c r="W27" i="1"/>
  <c r="X27" i="1" s="1"/>
  <c r="W516" i="1"/>
  <c r="X516" i="1" s="1"/>
  <c r="W517" i="1"/>
  <c r="X517" i="1" s="1"/>
  <c r="W518" i="1"/>
  <c r="X518" i="1" s="1"/>
  <c r="W519" i="1"/>
  <c r="X519" i="1" s="1"/>
  <c r="W28" i="1"/>
  <c r="X28" i="1" s="1"/>
  <c r="W520" i="1"/>
  <c r="X520" i="1" s="1"/>
  <c r="W521" i="1"/>
  <c r="X521" i="1" s="1"/>
  <c r="W522" i="1"/>
  <c r="X522" i="1" s="1"/>
  <c r="W523" i="1"/>
  <c r="X523" i="1" s="1"/>
  <c r="W524" i="1"/>
  <c r="X524" i="1" s="1"/>
  <c r="W525" i="1"/>
  <c r="X525" i="1" s="1"/>
  <c r="W526" i="1"/>
  <c r="X526" i="1" s="1"/>
  <c r="W527" i="1"/>
  <c r="X527" i="1" s="1"/>
  <c r="W528" i="1"/>
  <c r="X528" i="1" s="1"/>
  <c r="W529" i="1"/>
  <c r="X529" i="1" s="1"/>
  <c r="W530" i="1"/>
  <c r="X530" i="1" s="1"/>
  <c r="W531" i="1"/>
  <c r="X531" i="1" s="1"/>
  <c r="W532" i="1"/>
  <c r="X532" i="1" s="1"/>
  <c r="W533" i="1"/>
  <c r="X533" i="1" s="1"/>
  <c r="W534" i="1"/>
  <c r="X534" i="1" s="1"/>
  <c r="W535" i="1"/>
  <c r="X535" i="1" s="1"/>
  <c r="W536" i="1"/>
  <c r="X536" i="1" s="1"/>
  <c r="W537" i="1"/>
  <c r="X537" i="1" s="1"/>
  <c r="W538" i="1"/>
  <c r="X538" i="1" s="1"/>
  <c r="W539" i="1"/>
  <c r="X539" i="1" s="1"/>
  <c r="W540" i="1"/>
  <c r="X540" i="1" s="1"/>
  <c r="W541" i="1"/>
  <c r="X541" i="1" s="1"/>
  <c r="W542" i="1"/>
  <c r="X542" i="1" s="1"/>
  <c r="W543" i="1"/>
  <c r="X543" i="1" s="1"/>
  <c r="W544" i="1"/>
  <c r="X544" i="1" s="1"/>
  <c r="W545" i="1"/>
  <c r="X545" i="1" s="1"/>
  <c r="W546" i="1"/>
  <c r="X546" i="1" s="1"/>
  <c r="W547" i="1"/>
  <c r="X547" i="1" s="1"/>
  <c r="W548" i="1"/>
  <c r="X548" i="1" s="1"/>
  <c r="W549" i="1"/>
  <c r="X549" i="1" s="1"/>
  <c r="W550" i="1"/>
  <c r="X550" i="1" s="1"/>
  <c r="W551" i="1"/>
  <c r="X551" i="1" s="1"/>
  <c r="W552" i="1"/>
  <c r="X552" i="1" s="1"/>
  <c r="W553" i="1"/>
  <c r="X553" i="1" s="1"/>
  <c r="W554" i="1"/>
  <c r="X554" i="1" s="1"/>
  <c r="W556" i="1"/>
  <c r="X556" i="1" s="1"/>
  <c r="W557" i="1"/>
  <c r="X557" i="1" s="1"/>
  <c r="W558" i="1"/>
  <c r="X558" i="1" s="1"/>
  <c r="W559" i="1"/>
  <c r="X559" i="1" s="1"/>
  <c r="W560" i="1"/>
  <c r="X560" i="1" s="1"/>
  <c r="W561" i="1"/>
  <c r="X561" i="1" s="1"/>
  <c r="W562" i="1"/>
  <c r="X562" i="1" s="1"/>
  <c r="W563" i="1"/>
  <c r="X563" i="1" s="1"/>
  <c r="W564" i="1"/>
  <c r="X564" i="1" s="1"/>
  <c r="W29" i="1"/>
  <c r="X29" i="1" s="1"/>
  <c r="W565" i="1"/>
  <c r="X565" i="1" s="1"/>
  <c r="W566" i="1"/>
  <c r="X566" i="1" s="1"/>
  <c r="W567" i="1"/>
  <c r="X567" i="1" s="1"/>
  <c r="W568" i="1"/>
  <c r="X568" i="1" s="1"/>
  <c r="W569" i="1"/>
  <c r="X569" i="1" s="1"/>
  <c r="W570" i="1"/>
  <c r="X570" i="1" s="1"/>
  <c r="W571" i="1"/>
  <c r="X571" i="1" s="1"/>
  <c r="W572" i="1"/>
  <c r="X572" i="1" s="1"/>
  <c r="W573" i="1"/>
  <c r="X573" i="1" s="1"/>
  <c r="W574" i="1"/>
  <c r="X574" i="1" s="1"/>
  <c r="W575" i="1"/>
  <c r="X575" i="1" s="1"/>
  <c r="W576" i="1"/>
  <c r="X576" i="1" s="1"/>
  <c r="W577" i="1"/>
  <c r="X577" i="1" s="1"/>
  <c r="W578" i="1"/>
  <c r="X578" i="1" s="1"/>
  <c r="W579" i="1"/>
  <c r="X579" i="1" s="1"/>
  <c r="W580" i="1"/>
  <c r="X580" i="1" s="1"/>
  <c r="W581" i="1"/>
  <c r="X581" i="1" s="1"/>
  <c r="W582" i="1"/>
  <c r="X582" i="1" s="1"/>
  <c r="W583" i="1"/>
  <c r="X583" i="1" s="1"/>
  <c r="W584" i="1"/>
  <c r="X584" i="1" s="1"/>
  <c r="W585" i="1"/>
  <c r="X585" i="1" s="1"/>
  <c r="W586" i="1"/>
  <c r="X586" i="1" s="1"/>
  <c r="W587" i="1"/>
  <c r="X587" i="1" s="1"/>
  <c r="W588" i="1"/>
  <c r="X588" i="1" s="1"/>
  <c r="W589" i="1"/>
  <c r="X589" i="1" s="1"/>
  <c r="W590" i="1"/>
  <c r="X590" i="1" s="1"/>
  <c r="W591" i="1"/>
  <c r="X591" i="1" s="1"/>
  <c r="W592" i="1"/>
  <c r="X592" i="1" s="1"/>
  <c r="W593" i="1"/>
  <c r="X593" i="1" s="1"/>
  <c r="W594" i="1"/>
  <c r="X594" i="1" s="1"/>
  <c r="W595" i="1"/>
  <c r="X595" i="1" s="1"/>
  <c r="W596" i="1"/>
  <c r="X596" i="1" s="1"/>
  <c r="W597" i="1"/>
  <c r="X597" i="1" s="1"/>
  <c r="W598" i="1"/>
  <c r="X598" i="1" s="1"/>
  <c r="W599" i="1"/>
  <c r="X599" i="1" s="1"/>
  <c r="W600" i="1"/>
  <c r="X600" i="1" s="1"/>
  <c r="W601" i="1"/>
  <c r="X601" i="1" s="1"/>
  <c r="W602" i="1"/>
  <c r="X602" i="1" s="1"/>
  <c r="W603" i="1"/>
  <c r="X603" i="1" s="1"/>
  <c r="W604" i="1"/>
  <c r="X604" i="1" s="1"/>
  <c r="W605" i="1"/>
  <c r="X605" i="1" s="1"/>
  <c r="W606" i="1"/>
  <c r="X606" i="1" s="1"/>
  <c r="W607" i="1"/>
  <c r="X607" i="1" s="1"/>
  <c r="W608" i="1"/>
  <c r="X608" i="1" s="1"/>
  <c r="W609" i="1"/>
  <c r="X609" i="1" s="1"/>
  <c r="W610" i="1"/>
  <c r="X610" i="1" s="1"/>
  <c r="W611" i="1"/>
  <c r="X611" i="1" s="1"/>
  <c r="W612" i="1"/>
  <c r="X612" i="1" s="1"/>
  <c r="W613" i="1"/>
  <c r="X613" i="1" s="1"/>
  <c r="W614" i="1"/>
  <c r="X614" i="1" s="1"/>
  <c r="W615" i="1"/>
  <c r="X615" i="1" s="1"/>
  <c r="W616" i="1"/>
  <c r="X616" i="1" s="1"/>
  <c r="W617" i="1"/>
  <c r="X617" i="1" s="1"/>
  <c r="W618" i="1"/>
  <c r="X618" i="1" s="1"/>
  <c r="W619" i="1"/>
  <c r="X619" i="1" s="1"/>
  <c r="W620" i="1"/>
  <c r="X620" i="1" s="1"/>
  <c r="W621" i="1"/>
  <c r="X621" i="1" s="1"/>
  <c r="W622" i="1"/>
  <c r="X622" i="1" s="1"/>
  <c r="W623" i="1"/>
  <c r="X623" i="1" s="1"/>
  <c r="W624" i="1"/>
  <c r="X624" i="1" s="1"/>
  <c r="W625" i="1"/>
  <c r="X625" i="1" s="1"/>
  <c r="W626" i="1"/>
  <c r="X626" i="1" s="1"/>
  <c r="W627" i="1"/>
  <c r="X627" i="1" s="1"/>
  <c r="W628" i="1"/>
  <c r="X628" i="1" s="1"/>
  <c r="W629" i="1"/>
  <c r="X629" i="1" s="1"/>
  <c r="W630" i="1"/>
  <c r="X630" i="1" s="1"/>
  <c r="W31" i="1"/>
  <c r="X31" i="1" s="1"/>
  <c r="W631" i="1"/>
  <c r="X631" i="1" s="1"/>
  <c r="W632" i="1"/>
  <c r="X632" i="1" s="1"/>
  <c r="W633" i="1"/>
  <c r="X633" i="1" s="1"/>
  <c r="W32" i="1"/>
  <c r="X32" i="1" s="1"/>
  <c r="W634" i="1"/>
  <c r="X634" i="1" s="1"/>
  <c r="Q33" i="1"/>
  <c r="Q635" i="1"/>
  <c r="Q636" i="1"/>
  <c r="Q637" i="1"/>
  <c r="Q638" i="1"/>
  <c r="Q639" i="1"/>
  <c r="Q640" i="1"/>
  <c r="Q641" i="1"/>
  <c r="Q642" i="1"/>
  <c r="Q643" i="1"/>
  <c r="Q644" i="1"/>
  <c r="Q3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35" i="1"/>
  <c r="Q671" i="1"/>
  <c r="Q672" i="1"/>
  <c r="Q673" i="1"/>
  <c r="Q674" i="1"/>
  <c r="Q675" i="1"/>
  <c r="Q676" i="1"/>
  <c r="Q36" i="1"/>
  <c r="Q37"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R33" i="1"/>
  <c r="R635" i="1"/>
  <c r="R636" i="1"/>
  <c r="R637" i="1"/>
  <c r="R638" i="1"/>
  <c r="R639" i="1"/>
  <c r="R640" i="1"/>
  <c r="R641" i="1"/>
  <c r="R642" i="1"/>
  <c r="R643" i="1"/>
  <c r="R644" i="1"/>
  <c r="R3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35" i="1"/>
  <c r="R671" i="1"/>
  <c r="R672" i="1"/>
  <c r="R673" i="1"/>
  <c r="R674" i="1"/>
  <c r="R675" i="1"/>
  <c r="R676" i="1"/>
  <c r="R36" i="1"/>
  <c r="R37"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P33" i="1"/>
  <c r="P635" i="1"/>
  <c r="P636" i="1"/>
  <c r="P637" i="1"/>
  <c r="P638" i="1"/>
  <c r="P639" i="1"/>
  <c r="P640" i="1"/>
  <c r="P641" i="1"/>
  <c r="P642" i="1"/>
  <c r="P643" i="1"/>
  <c r="P644" i="1"/>
  <c r="P3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35" i="1"/>
  <c r="P671" i="1"/>
  <c r="P672" i="1"/>
  <c r="P673" i="1"/>
  <c r="P674" i="1"/>
  <c r="P675" i="1"/>
  <c r="P676" i="1"/>
  <c r="P36" i="1"/>
  <c r="P37"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T33" i="1"/>
  <c r="U33" i="1" s="1"/>
  <c r="T635" i="1"/>
  <c r="U635" i="1" s="1"/>
  <c r="T636" i="1"/>
  <c r="U636" i="1" s="1"/>
  <c r="T637" i="1"/>
  <c r="U637" i="1" s="1"/>
  <c r="T638" i="1"/>
  <c r="U638" i="1" s="1"/>
  <c r="T639" i="1"/>
  <c r="U639" i="1" s="1"/>
  <c r="T640" i="1"/>
  <c r="U640" i="1" s="1"/>
  <c r="T641" i="1"/>
  <c r="U641" i="1" s="1"/>
  <c r="T642" i="1"/>
  <c r="U642" i="1" s="1"/>
  <c r="T643" i="1"/>
  <c r="U643" i="1" s="1"/>
  <c r="T644" i="1"/>
  <c r="U644" i="1" s="1"/>
  <c r="T34" i="1"/>
  <c r="U34" i="1" s="1"/>
  <c r="T645" i="1"/>
  <c r="U645" i="1" s="1"/>
  <c r="T646" i="1"/>
  <c r="U646" i="1" s="1"/>
  <c r="T647" i="1"/>
  <c r="U647" i="1" s="1"/>
  <c r="T648" i="1"/>
  <c r="U648" i="1" s="1"/>
  <c r="T649" i="1"/>
  <c r="U649" i="1" s="1"/>
  <c r="T650" i="1"/>
  <c r="U650" i="1" s="1"/>
  <c r="T651" i="1"/>
  <c r="U651" i="1" s="1"/>
  <c r="T652" i="1"/>
  <c r="U652" i="1" s="1"/>
  <c r="T653" i="1"/>
  <c r="U653" i="1" s="1"/>
  <c r="T654" i="1"/>
  <c r="U654" i="1" s="1"/>
  <c r="T655" i="1"/>
  <c r="U655" i="1" s="1"/>
  <c r="T656" i="1"/>
  <c r="U656" i="1" s="1"/>
  <c r="T657" i="1"/>
  <c r="U657" i="1" s="1"/>
  <c r="T658" i="1"/>
  <c r="U658" i="1" s="1"/>
  <c r="T659" i="1"/>
  <c r="U659" i="1" s="1"/>
  <c r="T660" i="1"/>
  <c r="U660" i="1" s="1"/>
  <c r="T661" i="1"/>
  <c r="U661" i="1" s="1"/>
  <c r="T662" i="1"/>
  <c r="U662" i="1" s="1"/>
  <c r="T663" i="1"/>
  <c r="U663" i="1" s="1"/>
  <c r="T664" i="1"/>
  <c r="U664" i="1" s="1"/>
  <c r="T665" i="1"/>
  <c r="U665" i="1" s="1"/>
  <c r="T666" i="1"/>
  <c r="U666" i="1" s="1"/>
  <c r="T667" i="1"/>
  <c r="U667" i="1" s="1"/>
  <c r="T668" i="1"/>
  <c r="U668" i="1" s="1"/>
  <c r="T669" i="1"/>
  <c r="U669" i="1" s="1"/>
  <c r="T670" i="1"/>
  <c r="U670" i="1" s="1"/>
  <c r="T35" i="1"/>
  <c r="U35" i="1" s="1"/>
  <c r="T671" i="1"/>
  <c r="U671" i="1" s="1"/>
  <c r="T672" i="1"/>
  <c r="U672" i="1" s="1"/>
  <c r="T673" i="1"/>
  <c r="U673" i="1" s="1"/>
  <c r="T674" i="1"/>
  <c r="U674" i="1" s="1"/>
  <c r="T675" i="1"/>
  <c r="U675" i="1" s="1"/>
  <c r="T676" i="1"/>
  <c r="U676" i="1" s="1"/>
  <c r="T36" i="1"/>
  <c r="U36" i="1" s="1"/>
  <c r="T37" i="1"/>
  <c r="U37" i="1" s="1"/>
  <c r="T677" i="1"/>
  <c r="U677" i="1" s="1"/>
  <c r="T678" i="1"/>
  <c r="U678" i="1" s="1"/>
  <c r="T679" i="1"/>
  <c r="U679" i="1" s="1"/>
  <c r="T680" i="1"/>
  <c r="U680" i="1" s="1"/>
  <c r="T681" i="1"/>
  <c r="U681" i="1" s="1"/>
  <c r="T682" i="1"/>
  <c r="U682" i="1" s="1"/>
  <c r="T683" i="1"/>
  <c r="U683" i="1" s="1"/>
  <c r="T684" i="1"/>
  <c r="U684" i="1" s="1"/>
  <c r="T685" i="1"/>
  <c r="U685" i="1" s="1"/>
  <c r="T686" i="1"/>
  <c r="U686" i="1" s="1"/>
  <c r="T687" i="1"/>
  <c r="U687" i="1" s="1"/>
  <c r="T688" i="1"/>
  <c r="U688" i="1" s="1"/>
  <c r="T689" i="1"/>
  <c r="U689" i="1" s="1"/>
  <c r="T690" i="1"/>
  <c r="U690" i="1" s="1"/>
  <c r="T691" i="1"/>
  <c r="U691" i="1" s="1"/>
  <c r="T692" i="1"/>
  <c r="U692" i="1" s="1"/>
  <c r="T693" i="1"/>
  <c r="U693" i="1" s="1"/>
  <c r="T694" i="1"/>
  <c r="U694" i="1" s="1"/>
  <c r="T695" i="1"/>
  <c r="U695" i="1" s="1"/>
  <c r="T696" i="1"/>
  <c r="U696" i="1" s="1"/>
  <c r="T697" i="1"/>
  <c r="U697" i="1" s="1"/>
  <c r="T698" i="1"/>
  <c r="U698" i="1" s="1"/>
  <c r="T699" i="1"/>
  <c r="U699" i="1" s="1"/>
  <c r="T700" i="1"/>
  <c r="U700" i="1" s="1"/>
  <c r="T701" i="1"/>
  <c r="U701" i="1" s="1"/>
  <c r="T702" i="1"/>
  <c r="U702" i="1" s="1"/>
  <c r="T703" i="1"/>
  <c r="U703" i="1" s="1"/>
  <c r="M37" i="9"/>
  <c r="M36" i="9"/>
  <c r="M35" i="9"/>
  <c r="M34" i="9"/>
  <c r="M33" i="9"/>
  <c r="M32" i="9"/>
  <c r="M31" i="9"/>
  <c r="M30" i="9"/>
  <c r="M29" i="9"/>
  <c r="M28" i="9"/>
  <c r="M27" i="9"/>
  <c r="M26" i="9"/>
  <c r="M7" i="9"/>
  <c r="M8" i="9"/>
  <c r="M9" i="9"/>
  <c r="M10" i="9"/>
  <c r="M11" i="9"/>
  <c r="M12" i="9"/>
  <c r="M13" i="9"/>
  <c r="M14" i="9"/>
  <c r="M15" i="9"/>
  <c r="M16" i="9"/>
  <c r="M17" i="9"/>
  <c r="M18" i="9"/>
  <c r="M19" i="9"/>
  <c r="M6" i="9"/>
  <c r="L20" i="9"/>
  <c r="F20" i="9"/>
  <c r="W33" i="1"/>
  <c r="X33" i="1" s="1"/>
  <c r="W635" i="1"/>
  <c r="X635" i="1" s="1"/>
  <c r="W636" i="1"/>
  <c r="X636" i="1" s="1"/>
  <c r="W637" i="1"/>
  <c r="X637" i="1" s="1"/>
  <c r="W638" i="1"/>
  <c r="X638" i="1" s="1"/>
  <c r="W639" i="1"/>
  <c r="X639" i="1" s="1"/>
  <c r="W640" i="1"/>
  <c r="X640" i="1" s="1"/>
  <c r="W641" i="1"/>
  <c r="X641" i="1" s="1"/>
  <c r="W642" i="1"/>
  <c r="X642" i="1" s="1"/>
  <c r="W643" i="1"/>
  <c r="X643" i="1" s="1"/>
  <c r="W644" i="1"/>
  <c r="X644" i="1" s="1"/>
  <c r="W34" i="1"/>
  <c r="X34" i="1" s="1"/>
  <c r="W645" i="1"/>
  <c r="X645" i="1" s="1"/>
  <c r="W646" i="1"/>
  <c r="X646" i="1" s="1"/>
  <c r="W647" i="1"/>
  <c r="X647" i="1" s="1"/>
  <c r="W648" i="1"/>
  <c r="X648" i="1" s="1"/>
  <c r="W649" i="1"/>
  <c r="X649" i="1" s="1"/>
  <c r="W650" i="1"/>
  <c r="X650" i="1" s="1"/>
  <c r="W651" i="1"/>
  <c r="X651" i="1" s="1"/>
  <c r="W652" i="1"/>
  <c r="X652" i="1" s="1"/>
  <c r="W653" i="1"/>
  <c r="X653" i="1" s="1"/>
  <c r="W654" i="1"/>
  <c r="X654" i="1" s="1"/>
  <c r="W655" i="1"/>
  <c r="X655" i="1" s="1"/>
  <c r="W656" i="1"/>
  <c r="X656" i="1" s="1"/>
  <c r="W657" i="1"/>
  <c r="X657" i="1" s="1"/>
  <c r="W658" i="1"/>
  <c r="X658" i="1" s="1"/>
  <c r="W659" i="1"/>
  <c r="X659" i="1" s="1"/>
  <c r="W660" i="1"/>
  <c r="X660" i="1" s="1"/>
  <c r="W661" i="1"/>
  <c r="X661" i="1" s="1"/>
  <c r="W662" i="1"/>
  <c r="X662" i="1" s="1"/>
  <c r="W663" i="1"/>
  <c r="X663" i="1" s="1"/>
  <c r="W664" i="1"/>
  <c r="X664" i="1" s="1"/>
  <c r="W665" i="1"/>
  <c r="X665" i="1" s="1"/>
  <c r="W666" i="1"/>
  <c r="X666" i="1" s="1"/>
  <c r="W667" i="1"/>
  <c r="X667" i="1" s="1"/>
  <c r="W668" i="1"/>
  <c r="X668" i="1" s="1"/>
  <c r="W669" i="1"/>
  <c r="X669" i="1" s="1"/>
  <c r="W670" i="1"/>
  <c r="X670" i="1" s="1"/>
  <c r="W35" i="1"/>
  <c r="X35" i="1" s="1"/>
  <c r="W671" i="1"/>
  <c r="X671" i="1" s="1"/>
  <c r="W672" i="1"/>
  <c r="X672" i="1" s="1"/>
  <c r="W673" i="1"/>
  <c r="X673" i="1" s="1"/>
  <c r="W674" i="1"/>
  <c r="X674" i="1" s="1"/>
  <c r="W675" i="1"/>
  <c r="X675" i="1" s="1"/>
  <c r="W676" i="1"/>
  <c r="X676" i="1" s="1"/>
  <c r="W36" i="1"/>
  <c r="X36" i="1" s="1"/>
  <c r="W37" i="1"/>
  <c r="X37" i="1" s="1"/>
  <c r="W677" i="1"/>
  <c r="X677" i="1" s="1"/>
  <c r="W678" i="1"/>
  <c r="X678" i="1" s="1"/>
  <c r="W679" i="1"/>
  <c r="X679" i="1" s="1"/>
  <c r="W680" i="1"/>
  <c r="X680" i="1" s="1"/>
  <c r="W681" i="1"/>
  <c r="X681" i="1" s="1"/>
  <c r="W682" i="1"/>
  <c r="X682" i="1" s="1"/>
  <c r="W683" i="1"/>
  <c r="X683" i="1" s="1"/>
  <c r="W684" i="1"/>
  <c r="X684" i="1" s="1"/>
  <c r="W685" i="1"/>
  <c r="X685" i="1" s="1"/>
  <c r="W686" i="1"/>
  <c r="X686" i="1" s="1"/>
  <c r="W687" i="1"/>
  <c r="X687" i="1" s="1"/>
  <c r="W688" i="1"/>
  <c r="X688" i="1" s="1"/>
  <c r="W689" i="1"/>
  <c r="X689" i="1" s="1"/>
  <c r="W690" i="1"/>
  <c r="X690" i="1" s="1"/>
  <c r="W691" i="1"/>
  <c r="X691" i="1" s="1"/>
  <c r="W692" i="1"/>
  <c r="X692" i="1" s="1"/>
  <c r="W693" i="1"/>
  <c r="X693" i="1" s="1"/>
  <c r="W694" i="1"/>
  <c r="X694" i="1" s="1"/>
  <c r="W695" i="1"/>
  <c r="X695" i="1" s="1"/>
  <c r="W696" i="1"/>
  <c r="X696" i="1" s="1"/>
  <c r="W697" i="1"/>
  <c r="X697" i="1" s="1"/>
  <c r="W698" i="1"/>
  <c r="X698" i="1" s="1"/>
  <c r="W699" i="1"/>
  <c r="X699" i="1" s="1"/>
  <c r="W700" i="1"/>
  <c r="X700" i="1" s="1"/>
  <c r="W701" i="1"/>
  <c r="X701" i="1" s="1"/>
  <c r="W702" i="1"/>
  <c r="X702" i="1" s="1"/>
  <c r="W703" i="1"/>
  <c r="X703" i="1" s="1"/>
  <c r="M20" i="9"/>
  <c r="D37" i="6"/>
  <c r="G86" i="2"/>
  <c r="G76" i="2"/>
  <c r="G70" i="2"/>
  <c r="G51" i="2"/>
  <c r="G45" i="2"/>
  <c r="G32" i="2"/>
  <c r="P4" i="1" l="1"/>
  <c r="P5" i="1"/>
  <c r="V5" i="1" s="1"/>
  <c r="S4" i="1"/>
  <c r="Y344" i="1"/>
  <c r="AA344" i="1" s="1"/>
  <c r="Y285" i="1"/>
  <c r="AA285" i="1" s="1"/>
  <c r="Y499" i="1"/>
  <c r="AA499" i="1" s="1"/>
  <c r="Y26" i="1"/>
  <c r="AA26" i="1" s="1"/>
  <c r="Z68" i="1"/>
  <c r="Y149" i="1"/>
  <c r="AA149" i="1" s="1"/>
  <c r="Y126" i="1"/>
  <c r="AA126" i="1" s="1"/>
  <c r="Y145" i="1"/>
  <c r="AA145" i="1" s="1"/>
  <c r="Y141" i="1"/>
  <c r="AA141" i="1" s="1"/>
  <c r="Y114" i="1"/>
  <c r="AA114" i="1" s="1"/>
  <c r="Y153" i="1"/>
  <c r="AA153" i="1" s="1"/>
  <c r="Z447" i="1"/>
  <c r="Z22" i="1"/>
  <c r="Z230" i="1"/>
  <c r="Z81" i="1"/>
  <c r="Y201" i="1"/>
  <c r="AA201" i="1" s="1"/>
  <c r="Y197" i="1"/>
  <c r="AA197" i="1" s="1"/>
  <c r="Y193" i="1"/>
  <c r="AA193" i="1" s="1"/>
  <c r="Y189" i="1"/>
  <c r="AA189" i="1" s="1"/>
  <c r="Y710" i="1"/>
  <c r="AA710" i="1" s="1"/>
  <c r="Z444" i="1"/>
  <c r="Z426" i="1"/>
  <c r="Z412" i="1"/>
  <c r="Z377" i="1"/>
  <c r="Z376" i="1"/>
  <c r="Z371" i="1"/>
  <c r="Z364" i="1"/>
  <c r="Z357" i="1"/>
  <c r="Z234" i="1"/>
  <c r="Z222" i="1"/>
  <c r="Z13" i="1"/>
  <c r="Z214" i="1"/>
  <c r="Z163" i="1"/>
  <c r="Y278" i="1"/>
  <c r="AA278" i="1" s="1"/>
  <c r="Y513" i="1"/>
  <c r="AA513" i="1" s="1"/>
  <c r="Y543" i="1"/>
  <c r="AA543" i="1" s="1"/>
  <c r="Y28" i="1"/>
  <c r="AA28" i="1" s="1"/>
  <c r="Z183" i="1"/>
  <c r="Z138" i="1"/>
  <c r="Z136" i="1"/>
  <c r="Z133" i="1"/>
  <c r="Z114" i="1"/>
  <c r="Z93" i="1"/>
  <c r="Z70" i="1"/>
  <c r="Y166" i="1"/>
  <c r="AA166" i="1" s="1"/>
  <c r="Y274" i="1"/>
  <c r="AA274" i="1" s="1"/>
  <c r="Z208" i="1"/>
  <c r="Z177" i="1"/>
  <c r="Z171" i="1"/>
  <c r="Z170" i="1"/>
  <c r="Z151" i="1"/>
  <c r="Z147" i="1"/>
  <c r="Z135" i="1"/>
  <c r="Z116" i="1"/>
  <c r="Z111" i="1"/>
  <c r="Z95" i="1"/>
  <c r="Z94" i="1"/>
  <c r="Z73" i="1"/>
  <c r="Z69" i="1"/>
  <c r="Z494" i="1"/>
  <c r="Y577" i="1"/>
  <c r="AA577" i="1" s="1"/>
  <c r="Y474" i="1"/>
  <c r="AA474" i="1" s="1"/>
  <c r="Y403" i="1"/>
  <c r="AA403" i="1" s="1"/>
  <c r="Y370" i="1"/>
  <c r="AA370" i="1" s="1"/>
  <c r="Y354" i="1"/>
  <c r="AA354" i="1" s="1"/>
  <c r="Y350" i="1"/>
  <c r="AA350" i="1" s="1"/>
  <c r="Y339" i="1"/>
  <c r="AA339" i="1" s="1"/>
  <c r="Y307" i="1"/>
  <c r="AA307" i="1" s="1"/>
  <c r="Y265" i="1"/>
  <c r="AA265" i="1" s="1"/>
  <c r="Y212" i="1"/>
  <c r="AA212" i="1" s="1"/>
  <c r="Y173" i="1"/>
  <c r="AA173" i="1" s="1"/>
  <c r="Y161" i="1"/>
  <c r="AA161" i="1" s="1"/>
  <c r="Y106" i="1"/>
  <c r="AA106" i="1" s="1"/>
  <c r="Y495" i="1"/>
  <c r="AA495" i="1" s="1"/>
  <c r="Y491" i="1"/>
  <c r="AA491" i="1" s="1"/>
  <c r="Y291" i="1"/>
  <c r="AA291" i="1" s="1"/>
  <c r="Y288" i="1"/>
  <c r="AA288" i="1" s="1"/>
  <c r="Y419" i="1"/>
  <c r="AA419" i="1" s="1"/>
  <c r="Y415" i="1"/>
  <c r="AA415" i="1" s="1"/>
  <c r="Y130" i="1"/>
  <c r="AA130" i="1" s="1"/>
  <c r="Y397" i="1"/>
  <c r="AA397" i="1" s="1"/>
  <c r="Y364" i="1"/>
  <c r="AA364" i="1" s="1"/>
  <c r="Y356" i="1"/>
  <c r="AA356" i="1" s="1"/>
  <c r="Y337" i="1"/>
  <c r="AA337" i="1" s="1"/>
  <c r="Y303" i="1"/>
  <c r="AA303" i="1" s="1"/>
  <c r="Y20" i="1"/>
  <c r="AA20" i="1" s="1"/>
  <c r="Y280" i="1"/>
  <c r="AA280" i="1" s="1"/>
  <c r="Z506" i="1"/>
  <c r="Y355" i="1"/>
  <c r="AA355" i="1" s="1"/>
  <c r="Y688" i="1"/>
  <c r="AA688" i="1" s="1"/>
  <c r="Y37" i="1"/>
  <c r="AA37" i="1" s="1"/>
  <c r="Y667" i="1"/>
  <c r="AA667" i="1" s="1"/>
  <c r="Y655" i="1"/>
  <c r="AA655" i="1" s="1"/>
  <c r="Y647" i="1"/>
  <c r="AA647" i="1" s="1"/>
  <c r="Z543" i="1"/>
  <c r="Z534" i="1"/>
  <c r="Z533" i="1"/>
  <c r="Z530" i="1"/>
  <c r="Z526" i="1"/>
  <c r="Z521" i="1"/>
  <c r="Z28" i="1"/>
  <c r="Z27" i="1"/>
  <c r="Z514" i="1"/>
  <c r="Y684" i="1"/>
  <c r="AA684" i="1" s="1"/>
  <c r="Y663" i="1"/>
  <c r="AA663" i="1" s="1"/>
  <c r="Y651" i="1"/>
  <c r="AA651" i="1" s="1"/>
  <c r="Y692" i="1"/>
  <c r="AA692" i="1" s="1"/>
  <c r="Y680" i="1"/>
  <c r="AA680" i="1" s="1"/>
  <c r="Y674" i="1"/>
  <c r="AA674" i="1" s="1"/>
  <c r="Y659" i="1"/>
  <c r="AA659" i="1" s="1"/>
  <c r="Y644" i="1"/>
  <c r="AA644" i="1" s="1"/>
  <c r="Y234" i="1"/>
  <c r="AA234" i="1" s="1"/>
  <c r="Y702" i="1"/>
  <c r="AA702" i="1" s="1"/>
  <c r="Y252" i="1"/>
  <c r="AA252" i="1" s="1"/>
  <c r="Y184" i="1"/>
  <c r="AA184" i="1" s="1"/>
  <c r="Y65" i="1"/>
  <c r="AA65" i="1" s="1"/>
  <c r="Z486" i="1"/>
  <c r="Z484" i="1"/>
  <c r="Z481" i="1"/>
  <c r="Z480" i="1"/>
  <c r="Z476" i="1"/>
  <c r="Z472" i="1"/>
  <c r="Z469" i="1"/>
  <c r="Z463" i="1"/>
  <c r="Z461" i="1"/>
  <c r="Z456" i="1"/>
  <c r="Z453" i="1"/>
  <c r="Z452" i="1"/>
  <c r="Z445" i="1"/>
  <c r="Z442" i="1"/>
  <c r="Z438" i="1"/>
  <c r="Z437" i="1"/>
  <c r="Z436" i="1"/>
  <c r="Z435" i="1"/>
  <c r="Z432" i="1"/>
  <c r="Z431" i="1"/>
  <c r="Z430" i="1"/>
  <c r="Z429" i="1"/>
  <c r="Z428" i="1"/>
  <c r="Z427" i="1"/>
  <c r="Z424" i="1"/>
  <c r="Z423" i="1"/>
  <c r="Z418" i="1"/>
  <c r="Z417" i="1"/>
  <c r="Z416" i="1"/>
  <c r="Z415" i="1"/>
  <c r="Z414" i="1"/>
  <c r="Z413" i="1"/>
  <c r="Z411" i="1"/>
  <c r="Z410" i="1"/>
  <c r="Z409" i="1"/>
  <c r="Z408" i="1"/>
  <c r="Z407" i="1"/>
  <c r="Z402" i="1"/>
  <c r="Z401" i="1"/>
  <c r="Z400" i="1"/>
  <c r="Z399" i="1"/>
  <c r="Z378" i="1"/>
  <c r="Z373" i="1"/>
  <c r="Z372" i="1"/>
  <c r="Z370" i="1"/>
  <c r="Z369" i="1"/>
  <c r="Z368" i="1"/>
  <c r="Z367" i="1"/>
  <c r="Z366" i="1"/>
  <c r="Z365" i="1"/>
  <c r="Z363" i="1"/>
  <c r="Z362" i="1"/>
  <c r="Z361" i="1"/>
  <c r="Z360" i="1"/>
  <c r="Z359" i="1"/>
  <c r="Z358" i="1"/>
  <c r="Z356" i="1"/>
  <c r="Z355" i="1"/>
  <c r="Z354" i="1"/>
  <c r="Z353" i="1"/>
  <c r="Z351" i="1"/>
  <c r="Z349" i="1"/>
  <c r="Z348" i="1"/>
  <c r="Z347" i="1"/>
  <c r="Z346" i="1"/>
  <c r="Z345" i="1"/>
  <c r="Z344" i="1"/>
  <c r="Z342" i="1"/>
  <c r="Z341" i="1"/>
  <c r="Z340" i="1"/>
  <c r="Z339" i="1"/>
  <c r="Z338" i="1"/>
  <c r="Z337" i="1"/>
  <c r="Z336" i="1"/>
  <c r="Z335" i="1"/>
  <c r="Z331" i="1"/>
  <c r="Z328" i="1"/>
  <c r="Z322" i="1"/>
  <c r="Z311" i="1"/>
  <c r="Z304" i="1"/>
  <c r="Z24" i="1"/>
  <c r="Z295" i="1"/>
  <c r="Z21" i="1"/>
  <c r="Z16" i="1"/>
  <c r="Y116" i="1"/>
  <c r="AA116" i="1" s="1"/>
  <c r="Y349" i="1"/>
  <c r="AA349" i="1" s="1"/>
  <c r="Y431" i="1"/>
  <c r="AA431" i="1" s="1"/>
  <c r="Z15" i="1"/>
  <c r="Z283" i="1"/>
  <c r="Z14" i="1"/>
  <c r="Z282" i="1"/>
  <c r="Z281" i="1"/>
  <c r="Z280" i="1"/>
  <c r="Z279" i="1"/>
  <c r="Z278" i="1"/>
  <c r="Z277" i="1"/>
  <c r="Z276" i="1"/>
  <c r="Z275" i="1"/>
  <c r="Z273" i="1"/>
  <c r="Z271" i="1"/>
  <c r="Z270" i="1"/>
  <c r="Z269" i="1"/>
  <c r="Z268" i="1"/>
  <c r="Z266" i="1"/>
  <c r="Z265" i="1"/>
  <c r="Z264" i="1"/>
  <c r="Z263" i="1"/>
  <c r="Z262" i="1"/>
  <c r="Z261" i="1"/>
  <c r="Z260" i="1"/>
  <c r="Z259" i="1"/>
  <c r="Z258" i="1"/>
  <c r="Z257" i="1"/>
  <c r="Z256" i="1"/>
  <c r="Z255" i="1"/>
  <c r="Z254" i="1"/>
  <c r="Z253" i="1"/>
  <c r="Z251" i="1"/>
  <c r="Z250" i="1"/>
  <c r="Z249" i="1"/>
  <c r="Z248" i="1"/>
  <c r="Z247" i="1"/>
  <c r="Z246" i="1"/>
  <c r="Z245" i="1"/>
  <c r="Z243" i="1"/>
  <c r="Z242" i="1"/>
  <c r="Z240" i="1"/>
  <c r="Z239" i="1"/>
  <c r="Z238" i="1"/>
  <c r="Z236" i="1"/>
  <c r="Z235" i="1"/>
  <c r="Z233" i="1"/>
  <c r="Z232" i="1"/>
  <c r="Z231" i="1"/>
  <c r="Z229" i="1"/>
  <c r="Z228" i="1"/>
  <c r="Z225" i="1"/>
  <c r="Z224" i="1"/>
  <c r="Z223" i="1"/>
  <c r="Z221" i="1"/>
  <c r="Z220" i="1"/>
  <c r="Z219" i="1"/>
  <c r="Z218" i="1"/>
  <c r="Z217" i="1"/>
  <c r="Z216" i="1"/>
  <c r="Z215" i="1"/>
  <c r="Z12" i="1"/>
  <c r="Z213" i="1"/>
  <c r="Z212" i="1"/>
  <c r="Z211" i="1"/>
  <c r="Z210" i="1"/>
  <c r="Z209" i="1"/>
  <c r="Z207" i="1"/>
  <c r="Z206" i="1"/>
  <c r="Z204" i="1"/>
  <c r="Z203" i="1"/>
  <c r="Z202" i="1"/>
  <c r="Z201" i="1"/>
  <c r="Z199" i="1"/>
  <c r="Z197" i="1"/>
  <c r="Z196" i="1"/>
  <c r="Z195" i="1"/>
  <c r="Z194" i="1"/>
  <c r="Z193" i="1"/>
  <c r="Z192" i="1"/>
  <c r="Z191" i="1"/>
  <c r="Z190" i="1"/>
  <c r="Z189" i="1"/>
  <c r="Z188" i="1"/>
  <c r="Z187" i="1"/>
  <c r="Z186" i="1"/>
  <c r="Z185" i="1"/>
  <c r="Z184" i="1"/>
  <c r="Z182" i="1"/>
  <c r="Z180" i="1"/>
  <c r="Z179" i="1"/>
  <c r="Z175" i="1"/>
  <c r="Z174" i="1"/>
  <c r="Z173" i="1"/>
  <c r="Z172" i="1"/>
  <c r="Z169" i="1"/>
  <c r="Z168" i="1"/>
  <c r="Z167" i="1"/>
  <c r="Z166" i="1"/>
  <c r="Z165" i="1"/>
  <c r="Z162" i="1"/>
  <c r="Z161" i="1"/>
  <c r="Z160" i="1"/>
  <c r="Z159" i="1"/>
  <c r="Z158" i="1"/>
  <c r="Z156" i="1"/>
  <c r="Z155" i="1"/>
  <c r="Z154" i="1"/>
  <c r="Z152" i="1"/>
  <c r="Z150" i="1"/>
  <c r="Z149" i="1"/>
  <c r="Z146" i="1"/>
  <c r="Z145" i="1"/>
  <c r="Z144" i="1"/>
  <c r="Z142" i="1"/>
  <c r="Z140" i="1"/>
  <c r="Z139" i="1"/>
  <c r="Z137" i="1"/>
  <c r="Z134" i="1"/>
  <c r="Z132" i="1"/>
  <c r="Z131" i="1"/>
  <c r="Z130" i="1"/>
  <c r="Z129" i="1"/>
  <c r="Z128" i="1"/>
  <c r="Z127" i="1"/>
  <c r="Z126" i="1"/>
  <c r="Z125" i="1"/>
  <c r="Z123" i="1"/>
  <c r="Z121" i="1"/>
  <c r="Z119" i="1"/>
  <c r="Z118" i="1"/>
  <c r="Z117" i="1"/>
  <c r="Z115" i="1"/>
  <c r="Z113" i="1"/>
  <c r="Z112" i="1"/>
  <c r="Z110" i="1"/>
  <c r="Z109" i="1"/>
  <c r="Z108" i="1"/>
  <c r="Z107" i="1"/>
  <c r="Z106" i="1"/>
  <c r="Z105" i="1"/>
  <c r="Z103" i="1"/>
  <c r="Z101" i="1"/>
  <c r="Z100" i="1"/>
  <c r="Z99" i="1"/>
  <c r="Z98" i="1"/>
  <c r="Z97" i="1"/>
  <c r="Z96" i="1"/>
  <c r="Z92" i="1"/>
  <c r="Z91" i="1"/>
  <c r="Z90" i="1"/>
  <c r="Z89" i="1"/>
  <c r="Z88" i="1"/>
  <c r="Z87" i="1"/>
  <c r="Z86" i="1"/>
  <c r="Z85" i="1"/>
  <c r="Z84" i="1"/>
  <c r="Z83" i="1"/>
  <c r="Z82" i="1"/>
  <c r="Z79" i="1"/>
  <c r="Z78" i="1"/>
  <c r="Z77" i="1"/>
  <c r="Z76" i="1"/>
  <c r="Z75" i="1"/>
  <c r="Z74" i="1"/>
  <c r="Z71" i="1"/>
  <c r="Z67" i="1"/>
  <c r="Z66" i="1"/>
  <c r="Z65" i="1"/>
  <c r="Y208" i="1"/>
  <c r="AA208" i="1" s="1"/>
  <c r="Y636" i="1"/>
  <c r="AA636" i="1" s="1"/>
  <c r="Y555" i="1"/>
  <c r="AA555" i="1" s="1"/>
  <c r="Y358" i="1"/>
  <c r="AA358" i="1" s="1"/>
  <c r="Y331" i="1"/>
  <c r="AA331" i="1" s="1"/>
  <c r="Y137" i="1"/>
  <c r="AA137" i="1" s="1"/>
  <c r="Y90" i="1"/>
  <c r="AA90" i="1" s="1"/>
  <c r="Y82" i="1"/>
  <c r="AA82" i="1" s="1"/>
  <c r="Y78" i="1"/>
  <c r="AA78" i="1" s="1"/>
  <c r="Y681" i="1"/>
  <c r="AA681" i="1" s="1"/>
  <c r="Y660" i="1"/>
  <c r="AA660" i="1" s="1"/>
  <c r="Z656" i="1"/>
  <c r="Y409" i="1"/>
  <c r="AA409" i="1" s="1"/>
  <c r="Y263" i="1"/>
  <c r="AA263" i="1" s="1"/>
  <c r="Y251" i="1"/>
  <c r="AA251" i="1" s="1"/>
  <c r="Y243" i="1"/>
  <c r="AA243" i="1" s="1"/>
  <c r="Y239" i="1"/>
  <c r="AA239" i="1" s="1"/>
  <c r="Y231" i="1"/>
  <c r="AA231" i="1" s="1"/>
  <c r="Y155" i="1"/>
  <c r="AA155" i="1" s="1"/>
  <c r="Y108" i="1"/>
  <c r="AA108" i="1" s="1"/>
  <c r="Y553" i="1"/>
  <c r="AA553" i="1" s="1"/>
  <c r="Y511" i="1"/>
  <c r="AA511" i="1" s="1"/>
  <c r="Z505" i="1"/>
  <c r="Z502" i="1"/>
  <c r="Z498" i="1"/>
  <c r="Z490" i="1"/>
  <c r="Y458" i="1"/>
  <c r="AA458" i="1" s="1"/>
  <c r="Y222" i="1"/>
  <c r="AA222" i="1" s="1"/>
  <c r="Y74" i="1"/>
  <c r="AA74" i="1" s="1"/>
  <c r="Y632" i="1"/>
  <c r="AA632" i="1" s="1"/>
  <c r="Y767" i="1"/>
  <c r="AA767" i="1" s="1"/>
  <c r="Y353" i="1"/>
  <c r="AA353" i="1" s="1"/>
  <c r="Y259" i="1"/>
  <c r="AA259" i="1" s="1"/>
  <c r="Y217" i="1"/>
  <c r="AA217" i="1" s="1"/>
  <c r="Y214" i="1"/>
  <c r="AA214" i="1" s="1"/>
  <c r="Y203" i="1"/>
  <c r="AA203" i="1" s="1"/>
  <c r="Y191" i="1"/>
  <c r="AA191" i="1" s="1"/>
  <c r="Y187" i="1"/>
  <c r="AA187" i="1" s="1"/>
  <c r="Y171" i="1"/>
  <c r="AA171" i="1" s="1"/>
  <c r="Y120" i="1"/>
  <c r="AA120" i="1" s="1"/>
  <c r="Y100" i="1"/>
  <c r="AA100" i="1" s="1"/>
  <c r="Z631" i="1"/>
  <c r="Z626" i="1"/>
  <c r="Z624" i="1"/>
  <c r="Z620" i="1"/>
  <c r="Z611" i="1"/>
  <c r="Z609" i="1"/>
  <c r="Y290" i="1"/>
  <c r="AA290" i="1" s="1"/>
  <c r="Y325" i="1"/>
  <c r="AA325" i="1" s="1"/>
  <c r="Y313" i="1"/>
  <c r="AA313" i="1" s="1"/>
  <c r="Y441" i="1"/>
  <c r="AA441" i="1" s="1"/>
  <c r="Y586" i="1"/>
  <c r="AA586" i="1" s="1"/>
  <c r="Y496" i="1"/>
  <c r="AA496" i="1" s="1"/>
  <c r="Y207" i="1"/>
  <c r="AA207" i="1" s="1"/>
  <c r="Y182" i="1"/>
  <c r="AA182" i="1" s="1"/>
  <c r="Y138" i="1"/>
  <c r="AA138" i="1" s="1"/>
  <c r="Y103" i="1"/>
  <c r="AA103" i="1" s="1"/>
  <c r="Z599" i="1"/>
  <c r="Z598" i="1"/>
  <c r="Z596" i="1"/>
  <c r="Z595" i="1"/>
  <c r="Z589" i="1"/>
  <c r="Z575" i="1"/>
  <c r="Z573" i="1"/>
  <c r="Z570" i="1"/>
  <c r="Z568" i="1"/>
  <c r="Z560" i="1"/>
  <c r="Z559" i="1"/>
  <c r="Z556" i="1"/>
  <c r="Z503" i="1"/>
  <c r="Z496" i="1"/>
  <c r="Z493" i="1"/>
  <c r="Z492" i="1"/>
  <c r="Z489" i="1"/>
  <c r="Z487" i="1"/>
  <c r="Z485" i="1"/>
  <c r="Z479" i="1"/>
  <c r="Z477" i="1"/>
  <c r="Z474" i="1"/>
  <c r="Z473" i="1"/>
  <c r="Z471" i="1"/>
  <c r="Z470" i="1"/>
  <c r="Z468" i="1"/>
  <c r="Z467" i="1"/>
  <c r="Z466" i="1"/>
  <c r="Z465" i="1"/>
  <c r="Z458" i="1"/>
  <c r="Z454" i="1"/>
  <c r="Z451" i="1"/>
  <c r="Z450" i="1"/>
  <c r="Z449" i="1"/>
  <c r="Z448" i="1"/>
  <c r="Z446" i="1"/>
  <c r="Z443" i="1"/>
  <c r="Z441" i="1"/>
  <c r="Z440" i="1"/>
  <c r="Z421" i="1"/>
  <c r="Z405" i="1"/>
  <c r="Z394" i="1"/>
  <c r="Z388" i="1"/>
  <c r="Z327" i="1"/>
  <c r="Z310" i="1"/>
  <c r="Z303" i="1"/>
  <c r="Z300" i="1"/>
  <c r="Z297" i="1"/>
  <c r="Z289" i="1"/>
  <c r="Z287" i="1"/>
  <c r="Z267" i="1"/>
  <c r="Z684" i="1"/>
  <c r="Y250" i="1"/>
  <c r="AA250" i="1" s="1"/>
  <c r="Y213" i="1"/>
  <c r="AA213" i="1" s="1"/>
  <c r="Y198" i="1"/>
  <c r="AA198" i="1" s="1"/>
  <c r="Y194" i="1"/>
  <c r="AA194" i="1" s="1"/>
  <c r="Y162" i="1"/>
  <c r="AA162" i="1" s="1"/>
  <c r="Y150" i="1"/>
  <c r="AA150" i="1" s="1"/>
  <c r="Y87" i="1"/>
  <c r="AA87" i="1" s="1"/>
  <c r="Y621" i="1"/>
  <c r="AA621" i="1" s="1"/>
  <c r="Y562" i="1"/>
  <c r="AA562" i="1" s="1"/>
  <c r="Y558" i="1"/>
  <c r="AA558" i="1" s="1"/>
  <c r="Z553" i="1"/>
  <c r="Z499" i="1"/>
  <c r="Y486" i="1"/>
  <c r="AA486" i="1" s="1"/>
  <c r="Y478" i="1"/>
  <c r="AA478" i="1" s="1"/>
  <c r="Y405" i="1"/>
  <c r="AA405" i="1" s="1"/>
  <c r="Y399" i="1"/>
  <c r="AA399" i="1" s="1"/>
  <c r="Z766" i="1"/>
  <c r="Y69" i="1"/>
  <c r="AA69" i="1" s="1"/>
  <c r="Y81" i="1"/>
  <c r="AA81" i="1" s="1"/>
  <c r="Y696" i="1"/>
  <c r="AA696" i="1" s="1"/>
  <c r="Y640" i="1"/>
  <c r="AA640" i="1" s="1"/>
  <c r="Z737" i="1"/>
  <c r="Y408" i="1"/>
  <c r="AA408" i="1" s="1"/>
  <c r="Y242" i="1"/>
  <c r="AA242" i="1" s="1"/>
  <c r="Y31" i="1"/>
  <c r="AA31" i="1" s="1"/>
  <c r="Y615" i="1"/>
  <c r="AA615" i="1" s="1"/>
  <c r="Y258" i="1"/>
  <c r="AA258" i="1" s="1"/>
  <c r="Y401" i="1"/>
  <c r="AA401" i="1" s="1"/>
  <c r="Y254" i="1"/>
  <c r="AA254" i="1" s="1"/>
  <c r="Y226" i="1"/>
  <c r="AA226" i="1" s="1"/>
  <c r="Y220" i="1"/>
  <c r="AA220" i="1" s="1"/>
  <c r="Y127" i="1"/>
  <c r="AA127" i="1" s="1"/>
  <c r="Y700" i="1"/>
  <c r="AA700" i="1" s="1"/>
  <c r="Y351" i="1"/>
  <c r="AA351" i="1" s="1"/>
  <c r="Y294" i="1"/>
  <c r="AA294" i="1" s="1"/>
  <c r="Y70" i="1"/>
  <c r="AA70" i="1" s="1"/>
  <c r="Y229" i="1"/>
  <c r="AA229" i="1" s="1"/>
  <c r="Y177" i="1"/>
  <c r="AA177" i="1" s="1"/>
  <c r="Y67" i="1"/>
  <c r="AA67" i="1" s="1"/>
  <c r="Y91" i="1"/>
  <c r="AA91" i="1" s="1"/>
  <c r="Y367" i="1"/>
  <c r="AA367" i="1" s="1"/>
  <c r="Y591" i="1"/>
  <c r="AA591" i="1" s="1"/>
  <c r="Y276" i="1"/>
  <c r="AA276" i="1" s="1"/>
  <c r="Y554" i="1"/>
  <c r="AA554" i="1" s="1"/>
  <c r="Y538" i="1"/>
  <c r="AA538" i="1" s="1"/>
  <c r="Y531" i="1"/>
  <c r="AA531" i="1" s="1"/>
  <c r="Y526" i="1"/>
  <c r="AA526" i="1" s="1"/>
  <c r="Y522" i="1"/>
  <c r="AA522" i="1" s="1"/>
  <c r="Y512" i="1"/>
  <c r="AA512" i="1" s="1"/>
  <c r="Y393" i="1"/>
  <c r="AA393" i="1" s="1"/>
  <c r="Y381" i="1"/>
  <c r="AA381" i="1" s="1"/>
  <c r="Y619" i="1"/>
  <c r="AA619" i="1" s="1"/>
  <c r="Y599" i="1"/>
  <c r="AA599" i="1" s="1"/>
  <c r="Y583" i="1"/>
  <c r="AA583" i="1" s="1"/>
  <c r="Y574" i="1"/>
  <c r="AA574" i="1" s="1"/>
  <c r="Y186" i="1"/>
  <c r="AA186" i="1" s="1"/>
  <c r="Y179" i="1"/>
  <c r="AA179" i="1" s="1"/>
  <c r="Y34" i="1"/>
  <c r="AA34" i="1" s="1"/>
  <c r="Y480" i="1"/>
  <c r="AA480" i="1" s="1"/>
  <c r="Y468" i="1"/>
  <c r="AA468" i="1" s="1"/>
  <c r="Y439" i="1"/>
  <c r="AA439" i="1" s="1"/>
  <c r="Y395" i="1"/>
  <c r="AA395" i="1" s="1"/>
  <c r="Y332" i="1"/>
  <c r="AA332" i="1" s="1"/>
  <c r="Y323" i="1"/>
  <c r="AA323" i="1" s="1"/>
  <c r="Y315" i="1"/>
  <c r="AA315" i="1" s="1"/>
  <c r="Y32" i="1"/>
  <c r="AA32" i="1" s="1"/>
  <c r="Y607" i="1"/>
  <c r="AA607" i="1" s="1"/>
  <c r="Y575" i="1"/>
  <c r="AA575" i="1" s="1"/>
  <c r="Y372" i="1"/>
  <c r="AA372" i="1" s="1"/>
  <c r="Y371" i="1"/>
  <c r="AA371" i="1" s="1"/>
  <c r="Y503" i="1"/>
  <c r="AA503" i="1" s="1"/>
  <c r="Y275" i="1"/>
  <c r="AA275" i="1" s="1"/>
  <c r="Y255" i="1"/>
  <c r="AA255" i="1" s="1"/>
  <c r="Y237" i="1"/>
  <c r="AA237" i="1" s="1"/>
  <c r="Y210" i="1"/>
  <c r="AA210" i="1" s="1"/>
  <c r="Y205" i="1"/>
  <c r="AA205" i="1" s="1"/>
  <c r="Y195" i="1"/>
  <c r="AA195" i="1" s="1"/>
  <c r="Y178" i="1"/>
  <c r="AA178" i="1" s="1"/>
  <c r="Y66" i="1"/>
  <c r="AA66" i="1" s="1"/>
  <c r="Y159" i="1"/>
  <c r="AA159" i="1" s="1"/>
  <c r="Y133" i="1"/>
  <c r="AA133" i="1" s="1"/>
  <c r="Y124" i="1"/>
  <c r="AA124" i="1" s="1"/>
  <c r="Y111" i="1"/>
  <c r="AA111" i="1" s="1"/>
  <c r="Y324" i="1"/>
  <c r="AA324" i="1" s="1"/>
  <c r="Y71" i="1"/>
  <c r="AA71" i="1" s="1"/>
  <c r="Y225" i="1"/>
  <c r="AA225" i="1" s="1"/>
  <c r="Y86" i="1"/>
  <c r="AA86" i="1" s="1"/>
  <c r="Y83" i="1"/>
  <c r="AA83" i="1" s="1"/>
  <c r="Y650" i="1"/>
  <c r="AA650" i="1" s="1"/>
  <c r="Z768" i="1"/>
  <c r="Y776" i="1"/>
  <c r="AA776" i="1" s="1"/>
  <c r="Y790" i="1"/>
  <c r="AA790" i="1" s="1"/>
  <c r="Y321" i="1"/>
  <c r="AA321" i="1" s="1"/>
  <c r="Y131" i="1"/>
  <c r="AA131" i="1" s="1"/>
  <c r="Y677" i="1"/>
  <c r="AA677" i="1" s="1"/>
  <c r="Y668" i="1"/>
  <c r="AA668" i="1" s="1"/>
  <c r="Y92" i="1"/>
  <c r="AA92" i="1" s="1"/>
  <c r="Y76" i="1"/>
  <c r="AA76" i="1" s="1"/>
  <c r="Y679" i="1"/>
  <c r="AA679" i="1" s="1"/>
  <c r="Y670" i="1"/>
  <c r="AA670" i="1" s="1"/>
  <c r="Y658" i="1"/>
  <c r="AA658" i="1" s="1"/>
  <c r="Y643" i="1"/>
  <c r="AA643" i="1" s="1"/>
  <c r="Y637" i="1"/>
  <c r="AA637" i="1" s="1"/>
  <c r="Y368" i="1"/>
  <c r="AA368" i="1" s="1"/>
  <c r="Y352" i="1"/>
  <c r="AA352" i="1" s="1"/>
  <c r="Y333" i="1"/>
  <c r="AA333" i="1" s="1"/>
  <c r="Y147" i="1"/>
  <c r="AA147" i="1" s="1"/>
  <c r="Y112" i="1"/>
  <c r="AA112" i="1" s="1"/>
  <c r="Y603" i="1"/>
  <c r="AA603" i="1" s="1"/>
  <c r="Y594" i="1"/>
  <c r="AA594" i="1" s="1"/>
  <c r="Y587" i="1"/>
  <c r="AA587" i="1" s="1"/>
  <c r="Y556" i="1"/>
  <c r="AA556" i="1" s="1"/>
  <c r="Y497" i="1"/>
  <c r="AA497" i="1" s="1"/>
  <c r="Y483" i="1"/>
  <c r="AA483" i="1" s="1"/>
  <c r="Y476" i="1"/>
  <c r="AA476" i="1" s="1"/>
  <c r="Y464" i="1"/>
  <c r="AA464" i="1" s="1"/>
  <c r="Y455" i="1"/>
  <c r="AA455" i="1" s="1"/>
  <c r="Y451" i="1"/>
  <c r="AA451" i="1" s="1"/>
  <c r="Y449" i="1"/>
  <c r="AA449" i="1" s="1"/>
  <c r="Y392" i="1"/>
  <c r="AA392" i="1" s="1"/>
  <c r="Y389" i="1"/>
  <c r="AA389" i="1" s="1"/>
  <c r="Y380" i="1"/>
  <c r="AA380" i="1" s="1"/>
  <c r="Y376" i="1"/>
  <c r="AA376" i="1" s="1"/>
  <c r="Y341" i="1"/>
  <c r="AA341" i="1" s="1"/>
  <c r="Y309" i="1"/>
  <c r="AA309" i="1" s="1"/>
  <c r="Y72" i="1"/>
  <c r="AA72" i="1" s="1"/>
  <c r="Y135" i="1"/>
  <c r="AA135" i="1" s="1"/>
  <c r="Y129" i="1"/>
  <c r="AA129" i="1" s="1"/>
  <c r="Y119" i="1"/>
  <c r="AA119" i="1" s="1"/>
  <c r="Y653" i="1"/>
  <c r="AA653" i="1" s="1"/>
  <c r="Z700" i="1"/>
  <c r="Z696" i="1"/>
  <c r="Z692" i="1"/>
  <c r="Z688" i="1"/>
  <c r="Z680" i="1"/>
  <c r="Z37" i="1"/>
  <c r="Z674" i="1"/>
  <c r="Z35" i="1"/>
  <c r="Z667" i="1"/>
  <c r="Z663" i="1"/>
  <c r="Z659" i="1"/>
  <c r="Z651" i="1"/>
  <c r="Z647" i="1"/>
  <c r="Z640" i="1"/>
  <c r="Z636" i="1"/>
  <c r="Z691" i="1"/>
  <c r="Z654" i="1"/>
  <c r="Z650" i="1"/>
  <c r="Z646" i="1"/>
  <c r="Z635" i="1"/>
  <c r="Z694" i="1"/>
  <c r="Z690" i="1"/>
  <c r="Z682" i="1"/>
  <c r="Z676" i="1"/>
  <c r="Z672" i="1"/>
  <c r="Z669" i="1"/>
  <c r="Z653" i="1"/>
  <c r="Z638" i="1"/>
  <c r="Z33" i="1"/>
  <c r="Y624" i="1"/>
  <c r="AA624" i="1" s="1"/>
  <c r="Y604" i="1"/>
  <c r="AA604" i="1" s="1"/>
  <c r="Y596" i="1"/>
  <c r="AA596" i="1" s="1"/>
  <c r="Y592" i="1"/>
  <c r="AA592" i="1" s="1"/>
  <c r="Y588" i="1"/>
  <c r="AA588" i="1" s="1"/>
  <c r="Y580" i="1"/>
  <c r="AA580" i="1" s="1"/>
  <c r="Y572" i="1"/>
  <c r="AA572" i="1" s="1"/>
  <c r="Y561" i="1"/>
  <c r="AA561" i="1" s="1"/>
  <c r="Y557" i="1"/>
  <c r="AA557" i="1" s="1"/>
  <c r="Y548" i="1"/>
  <c r="AA548" i="1" s="1"/>
  <c r="Y536" i="1"/>
  <c r="AA536" i="1" s="1"/>
  <c r="Y528" i="1"/>
  <c r="AA528" i="1" s="1"/>
  <c r="Y524" i="1"/>
  <c r="AA524" i="1" s="1"/>
  <c r="Y460" i="1"/>
  <c r="AA460" i="1" s="1"/>
  <c r="Y417" i="1"/>
  <c r="AA417" i="1" s="1"/>
  <c r="Y283" i="1"/>
  <c r="AA283" i="1" s="1"/>
  <c r="Y547" i="1"/>
  <c r="AA547" i="1" s="1"/>
  <c r="Y516" i="1"/>
  <c r="AA516" i="1" s="1"/>
  <c r="Y566" i="1"/>
  <c r="AA566" i="1" s="1"/>
  <c r="Y27" i="1"/>
  <c r="AA27" i="1" s="1"/>
  <c r="Y471" i="1"/>
  <c r="AA471" i="1" s="1"/>
  <c r="Y463" i="1"/>
  <c r="AA463" i="1" s="1"/>
  <c r="Y456" i="1"/>
  <c r="AA456" i="1" s="1"/>
  <c r="Y448" i="1"/>
  <c r="AA448" i="1" s="1"/>
  <c r="Y219" i="1"/>
  <c r="AA219" i="1" s="1"/>
  <c r="Y118" i="1"/>
  <c r="AA118" i="1" s="1"/>
  <c r="Y115" i="1"/>
  <c r="AA115" i="1" s="1"/>
  <c r="Y520" i="1"/>
  <c r="AA520" i="1" s="1"/>
  <c r="Y517" i="1"/>
  <c r="AA517" i="1" s="1"/>
  <c r="Y481" i="1"/>
  <c r="AA481" i="1" s="1"/>
  <c r="Y477" i="1"/>
  <c r="AA477" i="1" s="1"/>
  <c r="Y469" i="1"/>
  <c r="AA469" i="1" s="1"/>
  <c r="Y465" i="1"/>
  <c r="AA465" i="1" s="1"/>
  <c r="Y457" i="1"/>
  <c r="AA457" i="1" s="1"/>
  <c r="Y450" i="1"/>
  <c r="AA450" i="1" s="1"/>
  <c r="Y438" i="1"/>
  <c r="AA438" i="1" s="1"/>
  <c r="Y434" i="1"/>
  <c r="AA434" i="1" s="1"/>
  <c r="Y430" i="1"/>
  <c r="AA430" i="1" s="1"/>
  <c r="Y25" i="1"/>
  <c r="AA25" i="1" s="1"/>
  <c r="Y414" i="1"/>
  <c r="AA414" i="1" s="1"/>
  <c r="Y410" i="1"/>
  <c r="AA410" i="1" s="1"/>
  <c r="Y406" i="1"/>
  <c r="AA406" i="1" s="1"/>
  <c r="Y398" i="1"/>
  <c r="AA398" i="1" s="1"/>
  <c r="Y394" i="1"/>
  <c r="AA394" i="1" s="1"/>
  <c r="Y382" i="1"/>
  <c r="AA382" i="1" s="1"/>
  <c r="Y378" i="1"/>
  <c r="AA378" i="1" s="1"/>
  <c r="Y373" i="1"/>
  <c r="AA373" i="1" s="1"/>
  <c r="Y365" i="1"/>
  <c r="AA365" i="1" s="1"/>
  <c r="Y361" i="1"/>
  <c r="AA361" i="1" s="1"/>
  <c r="Y346" i="1"/>
  <c r="AA346" i="1" s="1"/>
  <c r="Y342" i="1"/>
  <c r="AA342" i="1" s="1"/>
  <c r="Y330" i="1"/>
  <c r="AA330" i="1" s="1"/>
  <c r="Y314" i="1"/>
  <c r="AA314" i="1" s="1"/>
  <c r="Y23" i="1"/>
  <c r="AA23" i="1" s="1"/>
  <c r="Y300" i="1"/>
  <c r="AA300" i="1" s="1"/>
  <c r="Y22" i="1"/>
  <c r="AA22" i="1" s="1"/>
  <c r="Y17" i="1"/>
  <c r="AA17" i="1" s="1"/>
  <c r="Y281" i="1"/>
  <c r="AA281" i="1" s="1"/>
  <c r="Y277" i="1"/>
  <c r="AA277" i="1" s="1"/>
  <c r="Y273" i="1"/>
  <c r="AA273" i="1" s="1"/>
  <c r="Y260" i="1"/>
  <c r="AA260" i="1" s="1"/>
  <c r="Y256" i="1"/>
  <c r="AA256" i="1" s="1"/>
  <c r="Y248" i="1"/>
  <c r="AA248" i="1" s="1"/>
  <c r="Y240" i="1"/>
  <c r="AA240" i="1" s="1"/>
  <c r="Y236" i="1"/>
  <c r="AA236" i="1" s="1"/>
  <c r="Y228" i="1"/>
  <c r="AA228" i="1" s="1"/>
  <c r="Y221" i="1"/>
  <c r="AA221" i="1" s="1"/>
  <c r="Y211" i="1"/>
  <c r="AA211" i="1" s="1"/>
  <c r="Y204" i="1"/>
  <c r="AA204" i="1" s="1"/>
  <c r="Y200" i="1"/>
  <c r="AA200" i="1" s="1"/>
  <c r="Y192" i="1"/>
  <c r="AA192" i="1" s="1"/>
  <c r="Y188" i="1"/>
  <c r="AA188" i="1" s="1"/>
  <c r="Y172" i="1"/>
  <c r="AA172" i="1" s="1"/>
  <c r="Y164" i="1"/>
  <c r="AA164" i="1" s="1"/>
  <c r="Y152" i="1"/>
  <c r="AA152" i="1" s="1"/>
  <c r="Y144" i="1"/>
  <c r="AA144" i="1" s="1"/>
  <c r="Y128" i="1"/>
  <c r="AA128" i="1" s="1"/>
  <c r="Y125" i="1"/>
  <c r="AA125" i="1" s="1"/>
  <c r="Y105" i="1"/>
  <c r="AA105" i="1" s="1"/>
  <c r="Y97" i="1"/>
  <c r="AA97" i="1" s="1"/>
  <c r="Y93" i="1"/>
  <c r="AA93" i="1" s="1"/>
  <c r="Y77" i="1"/>
  <c r="AA77" i="1" s="1"/>
  <c r="Y73" i="1"/>
  <c r="AA73" i="1" s="1"/>
  <c r="Z634" i="1"/>
  <c r="Z32" i="1"/>
  <c r="Z31" i="1"/>
  <c r="Z630" i="1"/>
  <c r="Z628" i="1"/>
  <c r="Z627" i="1"/>
  <c r="Z625" i="1"/>
  <c r="Z623" i="1"/>
  <c r="Z622" i="1"/>
  <c r="Z621" i="1"/>
  <c r="Z619" i="1"/>
  <c r="Z618" i="1"/>
  <c r="Z615" i="1"/>
  <c r="Z614" i="1"/>
  <c r="Z613" i="1"/>
  <c r="Z610" i="1"/>
  <c r="Z608" i="1"/>
  <c r="Z607" i="1"/>
  <c r="Z606" i="1"/>
  <c r="Z605" i="1"/>
  <c r="Z604" i="1"/>
  <c r="Z597" i="1"/>
  <c r="Z594" i="1"/>
  <c r="Z593" i="1"/>
  <c r="Z592" i="1"/>
  <c r="Z591" i="1"/>
  <c r="Z590" i="1"/>
  <c r="Y714" i="1"/>
  <c r="AA714" i="1" s="1"/>
  <c r="Y717" i="1"/>
  <c r="AA717" i="1" s="1"/>
  <c r="Z731" i="1"/>
  <c r="Z734" i="1"/>
  <c r="Y733" i="1"/>
  <c r="AA733" i="1" s="1"/>
  <c r="Y736" i="1"/>
  <c r="AA736" i="1" s="1"/>
  <c r="Y737" i="1"/>
  <c r="AA737" i="1" s="1"/>
  <c r="Y746" i="1"/>
  <c r="AA746" i="1" s="1"/>
  <c r="Y758" i="1"/>
  <c r="AA758" i="1" s="1"/>
  <c r="Y771" i="1"/>
  <c r="AA771" i="1" s="1"/>
  <c r="Z588" i="1"/>
  <c r="Z587" i="1"/>
  <c r="Z585" i="1"/>
  <c r="Z583" i="1"/>
  <c r="Z582" i="1"/>
  <c r="Z581" i="1"/>
  <c r="Z580" i="1"/>
  <c r="Z579" i="1"/>
  <c r="Z574" i="1"/>
  <c r="Z572" i="1"/>
  <c r="Z569" i="1"/>
  <c r="Z566" i="1"/>
  <c r="Z29" i="1"/>
  <c r="Z564" i="1"/>
  <c r="Z563" i="1"/>
  <c r="Z562" i="1"/>
  <c r="Z561" i="1"/>
  <c r="Z558" i="1"/>
  <c r="Z557" i="1"/>
  <c r="Z555" i="1"/>
  <c r="Z554" i="1"/>
  <c r="Z552" i="1"/>
  <c r="Z551" i="1"/>
  <c r="Z550" i="1"/>
  <c r="Z549" i="1"/>
  <c r="Z548" i="1"/>
  <c r="Z547" i="1"/>
  <c r="Z546" i="1"/>
  <c r="Z545" i="1"/>
  <c r="Z544" i="1"/>
  <c r="Z542" i="1"/>
  <c r="Z541" i="1"/>
  <c r="Z540" i="1"/>
  <c r="Z539" i="1"/>
  <c r="Z538" i="1"/>
  <c r="Z537" i="1"/>
  <c r="Z536" i="1"/>
  <c r="Z535" i="1"/>
  <c r="Z532" i="1"/>
  <c r="Z531" i="1"/>
  <c r="Z529" i="1"/>
  <c r="Z528" i="1"/>
  <c r="Z527" i="1"/>
  <c r="Z525" i="1"/>
  <c r="Z524" i="1"/>
  <c r="Z523" i="1"/>
  <c r="Z522" i="1"/>
  <c r="Z520" i="1"/>
  <c r="Z519" i="1"/>
  <c r="Z518" i="1"/>
  <c r="Z517" i="1"/>
  <c r="Z516" i="1"/>
  <c r="Z515" i="1"/>
  <c r="Z513" i="1"/>
  <c r="Z512" i="1"/>
  <c r="Z511" i="1"/>
  <c r="Z510" i="1"/>
  <c r="Z509" i="1"/>
  <c r="Z508" i="1"/>
  <c r="Z507" i="1"/>
  <c r="Z26" i="1"/>
  <c r="Z497" i="1"/>
  <c r="Z495" i="1"/>
  <c r="Z491" i="1"/>
  <c r="Z483" i="1"/>
  <c r="Z478" i="1"/>
  <c r="Z475" i="1"/>
  <c r="Z464" i="1"/>
  <c r="Z462" i="1"/>
  <c r="Z457" i="1"/>
  <c r="Z455" i="1"/>
  <c r="Z439" i="1"/>
  <c r="Z434" i="1"/>
  <c r="Z433" i="1"/>
  <c r="Z425" i="1"/>
  <c r="Z25" i="1"/>
  <c r="Z420" i="1"/>
  <c r="Z419" i="1"/>
  <c r="Z403" i="1"/>
  <c r="Z717" i="1"/>
  <c r="Y785" i="1"/>
  <c r="AA785" i="1" s="1"/>
  <c r="Y426" i="1"/>
  <c r="AA426" i="1" s="1"/>
  <c r="Y334" i="1"/>
  <c r="AA334" i="1" s="1"/>
  <c r="Y89" i="1"/>
  <c r="AA89" i="1" s="1"/>
  <c r="Y232" i="1"/>
  <c r="AA232" i="1" s="1"/>
  <c r="Y535" i="1"/>
  <c r="AA535" i="1" s="1"/>
  <c r="Y429" i="1"/>
  <c r="AA429" i="1" s="1"/>
  <c r="Y421" i="1"/>
  <c r="AA421" i="1" s="1"/>
  <c r="Y151" i="1"/>
  <c r="AA151" i="1" s="1"/>
  <c r="Z629" i="1"/>
  <c r="Z576" i="1"/>
  <c r="Z567" i="1"/>
  <c r="Y527" i="1"/>
  <c r="AA527" i="1" s="1"/>
  <c r="Z501" i="1"/>
  <c r="Z488" i="1"/>
  <c r="Z482" i="1"/>
  <c r="Z460" i="1"/>
  <c r="Z459" i="1"/>
  <c r="Z406" i="1"/>
  <c r="Z395" i="1"/>
  <c r="Z393" i="1"/>
  <c r="Z386" i="1"/>
  <c r="Z381" i="1"/>
  <c r="Y544" i="1"/>
  <c r="AA544" i="1" s="1"/>
  <c r="Y386" i="1"/>
  <c r="AA386" i="1" s="1"/>
  <c r="Y121" i="1"/>
  <c r="AA121" i="1" s="1"/>
  <c r="Z699" i="1"/>
  <c r="Z577" i="1"/>
  <c r="Y652" i="1"/>
  <c r="AA652" i="1" s="1"/>
  <c r="Y611" i="1"/>
  <c r="AA611" i="1" s="1"/>
  <c r="Y602" i="1"/>
  <c r="AA602" i="1" s="1"/>
  <c r="Y564" i="1"/>
  <c r="AA564" i="1" s="1"/>
  <c r="Y530" i="1"/>
  <c r="AA530" i="1" s="1"/>
  <c r="Y519" i="1"/>
  <c r="AA519" i="1" s="1"/>
  <c r="Y437" i="1"/>
  <c r="AA437" i="1" s="1"/>
  <c r="Y215" i="1"/>
  <c r="AA215" i="1" s="1"/>
  <c r="Y143" i="1"/>
  <c r="AA143" i="1" s="1"/>
  <c r="Y84" i="1"/>
  <c r="AA84" i="1" s="1"/>
  <c r="Y675" i="1"/>
  <c r="AA675" i="1" s="1"/>
  <c r="Y616" i="1"/>
  <c r="AA616" i="1" s="1"/>
  <c r="Y584" i="1"/>
  <c r="AA584" i="1" s="1"/>
  <c r="Y446" i="1"/>
  <c r="AA446" i="1" s="1"/>
  <c r="Y369" i="1"/>
  <c r="AA369" i="1" s="1"/>
  <c r="Y559" i="1"/>
  <c r="AA559" i="1" s="1"/>
  <c r="Y567" i="1"/>
  <c r="AA567" i="1" s="1"/>
  <c r="Y539" i="1"/>
  <c r="AA539" i="1" s="1"/>
  <c r="Y267" i="1"/>
  <c r="AA267" i="1" s="1"/>
  <c r="Z612" i="1"/>
  <c r="Z603" i="1"/>
  <c r="Z584" i="1"/>
  <c r="Y360" i="1"/>
  <c r="AA360" i="1" s="1"/>
  <c r="Y348" i="1"/>
  <c r="AA348" i="1" s="1"/>
  <c r="Y68" i="1"/>
  <c r="AA68" i="1" s="1"/>
  <c r="Y316" i="1"/>
  <c r="AA316" i="1" s="1"/>
  <c r="Y620" i="1"/>
  <c r="AA620" i="1" s="1"/>
  <c r="Y532" i="1"/>
  <c r="AA532" i="1" s="1"/>
  <c r="Y418" i="1"/>
  <c r="AA418" i="1" s="1"/>
  <c r="Z379" i="1"/>
  <c r="Z350" i="1"/>
  <c r="Z326" i="1"/>
  <c r="Z318" i="1"/>
  <c r="Y693" i="1"/>
  <c r="AA693" i="1" s="1"/>
  <c r="Y689" i="1"/>
  <c r="AA689" i="1" s="1"/>
  <c r="Y416" i="1"/>
  <c r="AA416" i="1" s="1"/>
  <c r="Y64" i="1"/>
  <c r="AA64" i="1" s="1"/>
  <c r="Y329" i="1"/>
  <c r="AA329" i="1" s="1"/>
  <c r="Y320" i="1"/>
  <c r="AA320" i="1" s="1"/>
  <c r="Y317" i="1"/>
  <c r="AA317" i="1" s="1"/>
  <c r="Y304" i="1"/>
  <c r="AA304" i="1" s="1"/>
  <c r="Y202" i="1"/>
  <c r="AA202" i="1" s="1"/>
  <c r="Y199" i="1"/>
  <c r="AA199" i="1" s="1"/>
  <c r="Y190" i="1"/>
  <c r="AA190" i="1" s="1"/>
  <c r="Y180" i="1"/>
  <c r="AA180" i="1" s="1"/>
  <c r="Y174" i="1"/>
  <c r="AA174" i="1" s="1"/>
  <c r="Y163" i="1"/>
  <c r="AA163" i="1" s="1"/>
  <c r="Y160" i="1"/>
  <c r="AA160" i="1" s="1"/>
  <c r="Y158" i="1"/>
  <c r="AA158" i="1" s="1"/>
  <c r="Y136" i="1"/>
  <c r="AA136" i="1" s="1"/>
  <c r="Y109" i="1"/>
  <c r="AA109" i="1" s="1"/>
  <c r="Y107" i="1"/>
  <c r="AA107" i="1" s="1"/>
  <c r="Y104" i="1"/>
  <c r="AA104" i="1" s="1"/>
  <c r="Y98" i="1"/>
  <c r="AA98" i="1" s="1"/>
  <c r="Y95" i="1"/>
  <c r="AA95" i="1" s="1"/>
  <c r="Y88" i="1"/>
  <c r="AA88" i="1" s="1"/>
  <c r="Y85" i="1"/>
  <c r="AA85" i="1" s="1"/>
  <c r="Y79" i="1"/>
  <c r="AA79" i="1" s="1"/>
  <c r="Y698" i="1"/>
  <c r="AA698" i="1" s="1"/>
  <c r="Y694" i="1"/>
  <c r="AA694" i="1" s="1"/>
  <c r="Y690" i="1"/>
  <c r="AA690" i="1" s="1"/>
  <c r="Y678" i="1"/>
  <c r="AA678" i="1" s="1"/>
  <c r="Y676" i="1"/>
  <c r="AA676" i="1" s="1"/>
  <c r="Y672" i="1"/>
  <c r="AA672" i="1" s="1"/>
  <c r="Y669" i="1"/>
  <c r="AA669" i="1" s="1"/>
  <c r="Y657" i="1"/>
  <c r="AA657" i="1" s="1"/>
  <c r="Y649" i="1"/>
  <c r="AA649" i="1" s="1"/>
  <c r="Y642" i="1"/>
  <c r="AA642" i="1" s="1"/>
  <c r="Y638" i="1"/>
  <c r="AA638" i="1" s="1"/>
  <c r="Y33" i="1"/>
  <c r="AA33" i="1" s="1"/>
  <c r="Z701" i="1"/>
  <c r="Z693" i="1"/>
  <c r="Z689" i="1"/>
  <c r="Z681" i="1"/>
  <c r="Z677" i="1"/>
  <c r="Z668" i="1"/>
  <c r="Z664" i="1"/>
  <c r="Z648" i="1"/>
  <c r="Y613" i="1"/>
  <c r="AA613" i="1" s="1"/>
  <c r="Y589" i="1"/>
  <c r="AA589" i="1" s="1"/>
  <c r="Y565" i="1"/>
  <c r="AA565" i="1" s="1"/>
  <c r="Y507" i="1"/>
  <c r="AA507" i="1" s="1"/>
  <c r="Y411" i="1"/>
  <c r="AA411" i="1" s="1"/>
  <c r="Y407" i="1"/>
  <c r="AA407" i="1" s="1"/>
  <c r="Y739" i="1"/>
  <c r="AA739" i="1" s="1"/>
  <c r="Y706" i="1"/>
  <c r="AA706" i="1" s="1"/>
  <c r="Z725" i="1"/>
  <c r="Z729" i="1"/>
  <c r="Z732" i="1"/>
  <c r="Z733" i="1"/>
  <c r="Z735" i="1"/>
  <c r="Z736" i="1"/>
  <c r="Z739" i="1"/>
  <c r="Y724" i="1"/>
  <c r="AA724" i="1" s="1"/>
  <c r="Z781" i="1"/>
  <c r="Y685" i="1"/>
  <c r="AA685" i="1" s="1"/>
  <c r="Y629" i="1"/>
  <c r="AA629" i="1" s="1"/>
  <c r="Y626" i="1"/>
  <c r="AA626" i="1" s="1"/>
  <c r="Y623" i="1"/>
  <c r="AA623" i="1" s="1"/>
  <c r="Y582" i="1"/>
  <c r="AA582" i="1" s="1"/>
  <c r="Y563" i="1"/>
  <c r="AA563" i="1" s="1"/>
  <c r="Y550" i="1"/>
  <c r="AA550" i="1" s="1"/>
  <c r="Y534" i="1"/>
  <c r="AA534" i="1" s="1"/>
  <c r="Y504" i="1"/>
  <c r="AA504" i="1" s="1"/>
  <c r="Y501" i="1"/>
  <c r="AA501" i="1" s="1"/>
  <c r="Y498" i="1"/>
  <c r="AA498" i="1" s="1"/>
  <c r="Y494" i="1"/>
  <c r="AA494" i="1" s="1"/>
  <c r="Y492" i="1"/>
  <c r="AA492" i="1" s="1"/>
  <c r="Y489" i="1"/>
  <c r="AA489" i="1" s="1"/>
  <c r="Y488" i="1"/>
  <c r="AA488" i="1" s="1"/>
  <c r="Y485" i="1"/>
  <c r="AA485" i="1" s="1"/>
  <c r="Y482" i="1"/>
  <c r="AA482" i="1" s="1"/>
  <c r="Y479" i="1"/>
  <c r="AA479" i="1" s="1"/>
  <c r="Y432" i="1"/>
  <c r="AA432" i="1" s="1"/>
  <c r="Y425" i="1"/>
  <c r="AA425" i="1" s="1"/>
  <c r="Y420" i="1"/>
  <c r="AA420" i="1" s="1"/>
  <c r="Y404" i="1"/>
  <c r="AA404" i="1" s="1"/>
  <c r="Y391" i="1"/>
  <c r="AA391" i="1" s="1"/>
  <c r="Y388" i="1"/>
  <c r="AA388" i="1" s="1"/>
  <c r="Y340" i="1"/>
  <c r="AA340" i="1" s="1"/>
  <c r="Y312" i="1"/>
  <c r="AA312" i="1" s="1"/>
  <c r="Y308" i="1"/>
  <c r="AA308" i="1" s="1"/>
  <c r="Y305" i="1"/>
  <c r="AA305" i="1" s="1"/>
  <c r="Y302" i="1"/>
  <c r="AA302" i="1" s="1"/>
  <c r="Y298" i="1"/>
  <c r="AA298" i="1" s="1"/>
  <c r="Y296" i="1"/>
  <c r="AA296" i="1" s="1"/>
  <c r="Y16" i="1"/>
  <c r="AA16" i="1" s="1"/>
  <c r="Y286" i="1"/>
  <c r="AA286" i="1" s="1"/>
  <c r="Y249" i="1"/>
  <c r="AA249" i="1" s="1"/>
  <c r="Y246" i="1"/>
  <c r="AA246" i="1" s="1"/>
  <c r="Y230" i="1"/>
  <c r="AA230" i="1" s="1"/>
  <c r="Y227" i="1"/>
  <c r="AA227" i="1" s="1"/>
  <c r="Z711" i="1"/>
  <c r="Z712" i="1"/>
  <c r="Y708" i="1"/>
  <c r="AA708" i="1" s="1"/>
  <c r="Y719" i="1"/>
  <c r="AA719" i="1" s="1"/>
  <c r="Z726" i="1"/>
  <c r="Z746" i="1"/>
  <c r="Y761" i="1"/>
  <c r="AA761" i="1" s="1"/>
  <c r="Y541" i="1"/>
  <c r="AA541" i="1" s="1"/>
  <c r="Y533" i="1"/>
  <c r="AA533" i="1" s="1"/>
  <c r="Y525" i="1"/>
  <c r="AA525" i="1" s="1"/>
  <c r="Y521" i="1"/>
  <c r="AA521" i="1" s="1"/>
  <c r="Y466" i="1"/>
  <c r="AA466" i="1" s="1"/>
  <c r="Y462" i="1"/>
  <c r="AA462" i="1" s="1"/>
  <c r="Y387" i="1"/>
  <c r="AA387" i="1" s="1"/>
  <c r="Y374" i="1"/>
  <c r="AA374" i="1" s="1"/>
  <c r="Y343" i="1"/>
  <c r="AA343" i="1" s="1"/>
  <c r="Y327" i="1"/>
  <c r="AA327" i="1" s="1"/>
  <c r="Y319" i="1"/>
  <c r="AA319" i="1" s="1"/>
  <c r="Y18" i="1"/>
  <c r="AA18" i="1" s="1"/>
  <c r="Y257" i="1"/>
  <c r="AA257" i="1" s="1"/>
  <c r="Y233" i="1"/>
  <c r="AA233" i="1" s="1"/>
  <c r="Y181" i="1"/>
  <c r="AA181" i="1" s="1"/>
  <c r="Y704" i="1"/>
  <c r="AA704" i="1" s="1"/>
  <c r="Z708" i="1"/>
  <c r="Y38" i="1"/>
  <c r="AA38" i="1" s="1"/>
  <c r="Y753" i="1"/>
  <c r="AA753" i="1" s="1"/>
  <c r="Y755" i="1"/>
  <c r="AA755" i="1" s="1"/>
  <c r="Y765" i="1"/>
  <c r="AA765" i="1" s="1"/>
  <c r="Z767" i="1"/>
  <c r="Y686" i="1"/>
  <c r="AA686" i="1" s="1"/>
  <c r="Y665" i="1"/>
  <c r="AA665" i="1" s="1"/>
  <c r="Y661" i="1"/>
  <c r="AA661" i="1" s="1"/>
  <c r="Y13" i="1"/>
  <c r="AA13" i="1" s="1"/>
  <c r="Y196" i="1"/>
  <c r="AA196" i="1" s="1"/>
  <c r="Y101" i="1"/>
  <c r="AA101" i="1" s="1"/>
  <c r="Y682" i="1"/>
  <c r="AA682" i="1" s="1"/>
  <c r="Y645" i="1"/>
  <c r="AA645" i="1" s="1"/>
  <c r="Y293" i="1"/>
  <c r="AA293" i="1" s="1"/>
  <c r="Y648" i="1"/>
  <c r="AA648" i="1" s="1"/>
  <c r="Y551" i="1"/>
  <c r="AA551" i="1" s="1"/>
  <c r="Y631" i="1"/>
  <c r="AA631" i="1" s="1"/>
  <c r="Y608" i="1"/>
  <c r="AA608" i="1" s="1"/>
  <c r="Y29" i="1"/>
  <c r="AA29" i="1" s="1"/>
  <c r="Y318" i="1"/>
  <c r="AA318" i="1" s="1"/>
  <c r="Y514" i="1"/>
  <c r="AA514" i="1" s="1"/>
  <c r="Y328" i="1"/>
  <c r="AA328" i="1" s="1"/>
  <c r="Y223" i="1"/>
  <c r="AA223" i="1" s="1"/>
  <c r="Y176" i="1"/>
  <c r="AA176" i="1" s="1"/>
  <c r="Y132" i="1"/>
  <c r="AA132" i="1" s="1"/>
  <c r="Y123" i="1"/>
  <c r="AA123" i="1" s="1"/>
  <c r="Y627" i="1"/>
  <c r="AA627" i="1" s="1"/>
  <c r="Y612" i="1"/>
  <c r="AA612" i="1" s="1"/>
  <c r="Y606" i="1"/>
  <c r="AA606" i="1" s="1"/>
  <c r="Y597" i="1"/>
  <c r="AA597" i="1" s="1"/>
  <c r="Y581" i="1"/>
  <c r="AA581" i="1" s="1"/>
  <c r="Y571" i="1"/>
  <c r="AA571" i="1" s="1"/>
  <c r="Y568" i="1"/>
  <c r="AA568" i="1" s="1"/>
  <c r="Y560" i="1"/>
  <c r="AA560" i="1" s="1"/>
  <c r="Y459" i="1"/>
  <c r="AA459" i="1" s="1"/>
  <c r="Y444" i="1"/>
  <c r="AA444" i="1" s="1"/>
  <c r="Y428" i="1"/>
  <c r="AA428" i="1" s="1"/>
  <c r="Y335" i="1"/>
  <c r="AA335" i="1" s="1"/>
  <c r="Y270" i="1"/>
  <c r="AA270" i="1" s="1"/>
  <c r="Y209" i="1"/>
  <c r="AA209" i="1" s="1"/>
  <c r="Y697" i="1"/>
  <c r="AA697" i="1" s="1"/>
  <c r="Y617" i="1"/>
  <c r="AA617" i="1" s="1"/>
  <c r="Y609" i="1"/>
  <c r="AA609" i="1" s="1"/>
  <c r="Y146" i="1"/>
  <c r="AA146" i="1" s="1"/>
  <c r="Y140" i="1"/>
  <c r="AA140" i="1" s="1"/>
  <c r="Y699" i="1"/>
  <c r="AA699" i="1" s="1"/>
  <c r="Y639" i="1"/>
  <c r="AA639" i="1" s="1"/>
  <c r="Y635" i="1"/>
  <c r="AA635" i="1" s="1"/>
  <c r="Y605" i="1"/>
  <c r="AA605" i="1" s="1"/>
  <c r="Y518" i="1"/>
  <c r="AA518" i="1" s="1"/>
  <c r="Y427" i="1"/>
  <c r="AA427" i="1" s="1"/>
  <c r="Y241" i="1"/>
  <c r="AA241" i="1" s="1"/>
  <c r="Y169" i="1"/>
  <c r="AA169" i="1" s="1"/>
  <c r="Y183" i="1"/>
  <c r="AA183" i="1" s="1"/>
  <c r="Y139" i="1"/>
  <c r="AA139" i="1" s="1"/>
  <c r="Y662" i="1"/>
  <c r="AA662" i="1" s="1"/>
  <c r="Y585" i="1"/>
  <c r="AA585" i="1" s="1"/>
  <c r="Y546" i="1"/>
  <c r="AA546" i="1" s="1"/>
  <c r="Y484" i="1"/>
  <c r="AA484" i="1" s="1"/>
  <c r="Y472" i="1"/>
  <c r="AA472" i="1" s="1"/>
  <c r="Y470" i="1"/>
  <c r="AA470" i="1" s="1"/>
  <c r="Y443" i="1"/>
  <c r="AA443" i="1" s="1"/>
  <c r="Y440" i="1"/>
  <c r="AA440" i="1" s="1"/>
  <c r="Y400" i="1"/>
  <c r="AA400" i="1" s="1"/>
  <c r="Y379" i="1"/>
  <c r="AA379" i="1" s="1"/>
  <c r="Y175" i="1"/>
  <c r="AA175" i="1" s="1"/>
  <c r="Y366" i="1"/>
  <c r="AA366" i="1" s="1"/>
  <c r="Y269" i="1"/>
  <c r="AA269" i="1" s="1"/>
  <c r="Y110" i="1"/>
  <c r="AA110" i="1" s="1"/>
  <c r="Z716" i="1"/>
  <c r="Z718" i="1"/>
  <c r="Y721" i="1"/>
  <c r="AA721" i="1" s="1"/>
  <c r="Y720" i="1"/>
  <c r="AA720" i="1" s="1"/>
  <c r="Z719" i="1"/>
  <c r="Y730" i="1"/>
  <c r="AA730" i="1" s="1"/>
  <c r="Y740" i="1"/>
  <c r="AA740" i="1" s="1"/>
  <c r="Z741" i="1"/>
  <c r="Z744" i="1"/>
  <c r="Y744" i="1"/>
  <c r="AA744" i="1" s="1"/>
  <c r="Y786" i="1"/>
  <c r="AA786" i="1" s="1"/>
  <c r="Y673" i="1"/>
  <c r="AA673" i="1" s="1"/>
  <c r="Y598" i="1"/>
  <c r="AA598" i="1" s="1"/>
  <c r="Y595" i="1"/>
  <c r="AA595" i="1" s="1"/>
  <c r="Y579" i="1"/>
  <c r="AA579" i="1" s="1"/>
  <c r="Y576" i="1"/>
  <c r="AA576" i="1" s="1"/>
  <c r="Y523" i="1"/>
  <c r="AA523" i="1" s="1"/>
  <c r="Y505" i="1"/>
  <c r="AA505" i="1" s="1"/>
  <c r="Y502" i="1"/>
  <c r="AA502" i="1" s="1"/>
  <c r="Y500" i="1"/>
  <c r="AA500" i="1" s="1"/>
  <c r="Y493" i="1"/>
  <c r="AA493" i="1" s="1"/>
  <c r="Y490" i="1"/>
  <c r="AA490" i="1" s="1"/>
  <c r="Y487" i="1"/>
  <c r="AA487" i="1" s="1"/>
  <c r="Y445" i="1"/>
  <c r="AA445" i="1" s="1"/>
  <c r="Y442" i="1"/>
  <c r="AA442" i="1" s="1"/>
  <c r="Y436" i="1"/>
  <c r="AA436" i="1" s="1"/>
  <c r="Y424" i="1"/>
  <c r="AA424" i="1" s="1"/>
  <c r="Y422" i="1"/>
  <c r="AA422" i="1" s="1"/>
  <c r="Y413" i="1"/>
  <c r="AA413" i="1" s="1"/>
  <c r="Y390" i="1"/>
  <c r="AA390" i="1" s="1"/>
  <c r="Y384" i="1"/>
  <c r="AA384" i="1" s="1"/>
  <c r="Y336" i="1"/>
  <c r="AA336" i="1" s="1"/>
  <c r="Y362" i="1"/>
  <c r="AA362" i="1" s="1"/>
  <c r="Y287" i="1"/>
  <c r="AA287" i="1" s="1"/>
  <c r="Y282" i="1"/>
  <c r="AA282" i="1" s="1"/>
  <c r="Y279" i="1"/>
  <c r="AA279" i="1" s="1"/>
  <c r="Y271" i="1"/>
  <c r="AA271" i="1" s="1"/>
  <c r="Y268" i="1"/>
  <c r="AA268" i="1" s="1"/>
  <c r="Y266" i="1"/>
  <c r="AA266" i="1" s="1"/>
  <c r="Y247" i="1"/>
  <c r="AA247" i="1" s="1"/>
  <c r="Y244" i="1"/>
  <c r="AA244" i="1" s="1"/>
  <c r="Y238" i="1"/>
  <c r="AA238" i="1" s="1"/>
  <c r="Y218" i="1"/>
  <c r="AA218" i="1" s="1"/>
  <c r="Y206" i="1"/>
  <c r="AA206" i="1" s="1"/>
  <c r="Y167" i="1"/>
  <c r="AA167" i="1" s="1"/>
  <c r="Y154" i="1"/>
  <c r="AA154" i="1" s="1"/>
  <c r="Y134" i="1"/>
  <c r="AA134" i="1" s="1"/>
  <c r="Y99" i="1"/>
  <c r="AA99" i="1" s="1"/>
  <c r="Y96" i="1"/>
  <c r="AA96" i="1" s="1"/>
  <c r="Y80" i="1"/>
  <c r="AA80" i="1" s="1"/>
  <c r="Y713" i="1"/>
  <c r="AA713" i="1" s="1"/>
  <c r="Z730" i="1"/>
  <c r="Z738" i="1"/>
  <c r="Y735" i="1"/>
  <c r="AA735" i="1" s="1"/>
  <c r="Z740" i="1"/>
  <c r="Z743" i="1"/>
  <c r="Y763" i="1"/>
  <c r="AA763" i="1" s="1"/>
  <c r="Y272" i="1"/>
  <c r="AA272" i="1" s="1"/>
  <c r="Z769" i="1"/>
  <c r="Z776" i="1"/>
  <c r="Y780" i="1"/>
  <c r="AA780" i="1" s="1"/>
  <c r="Z783" i="1"/>
  <c r="Z784" i="1"/>
  <c r="Z375" i="1"/>
  <c r="Y375" i="1"/>
  <c r="AA375" i="1" s="1"/>
  <c r="Z706" i="1"/>
  <c r="Z707" i="1"/>
  <c r="Z709" i="1"/>
  <c r="Z710" i="1"/>
  <c r="Y715" i="1"/>
  <c r="AA715" i="1" s="1"/>
  <c r="Z721" i="1"/>
  <c r="Y742" i="1"/>
  <c r="AA742" i="1" s="1"/>
  <c r="Y743" i="1"/>
  <c r="AA743" i="1" s="1"/>
  <c r="Y750" i="1"/>
  <c r="AA750" i="1" s="1"/>
  <c r="Z752" i="1"/>
  <c r="Z761" i="1"/>
  <c r="Y540" i="1"/>
  <c r="AA540" i="1" s="1"/>
  <c r="Y165" i="1"/>
  <c r="AA165" i="1" s="1"/>
  <c r="Y148" i="1"/>
  <c r="AA148" i="1" s="1"/>
  <c r="Y75" i="1"/>
  <c r="AA75" i="1" s="1"/>
  <c r="Y510" i="1"/>
  <c r="AA510" i="1" s="1"/>
  <c r="Y473" i="1"/>
  <c r="AA473" i="1" s="1"/>
  <c r="Y467" i="1"/>
  <c r="AA467" i="1" s="1"/>
  <c r="Y402" i="1"/>
  <c r="AA402" i="1" s="1"/>
  <c r="Y338" i="1"/>
  <c r="AA338" i="1" s="1"/>
  <c r="Y322" i="1"/>
  <c r="AA322" i="1" s="1"/>
  <c r="Y156" i="1"/>
  <c r="AA156" i="1" s="1"/>
  <c r="Y691" i="1"/>
  <c r="AA691" i="1" s="1"/>
  <c r="Y683" i="1"/>
  <c r="AA683" i="1" s="1"/>
  <c r="Y36" i="1"/>
  <c r="AA36" i="1" s="1"/>
  <c r="Z679" i="1"/>
  <c r="Z639" i="1"/>
  <c r="Y157" i="1"/>
  <c r="AA157" i="1" s="1"/>
  <c r="Y168" i="1"/>
  <c r="AA168" i="1" s="1"/>
  <c r="Y701" i="1"/>
  <c r="AA701" i="1" s="1"/>
  <c r="Y671" i="1"/>
  <c r="AA671" i="1" s="1"/>
  <c r="Y664" i="1"/>
  <c r="AA664" i="1" s="1"/>
  <c r="Y656" i="1"/>
  <c r="AA656" i="1" s="1"/>
  <c r="Y641" i="1"/>
  <c r="AA641" i="1" s="1"/>
  <c r="Y628" i="1"/>
  <c r="AA628" i="1" s="1"/>
  <c r="Y593" i="1"/>
  <c r="AA593" i="1" s="1"/>
  <c r="Y573" i="1"/>
  <c r="AA573" i="1" s="1"/>
  <c r="Y549" i="1"/>
  <c r="AA549" i="1" s="1"/>
  <c r="Y435" i="1"/>
  <c r="AA435" i="1" s="1"/>
  <c r="Y383" i="1"/>
  <c r="AA383" i="1" s="1"/>
  <c r="Y15" i="1"/>
  <c r="AA15" i="1" s="1"/>
  <c r="Y224" i="1"/>
  <c r="AA224" i="1" s="1"/>
  <c r="Z703" i="1"/>
  <c r="Z36" i="1"/>
  <c r="Y625" i="1"/>
  <c r="AA625" i="1" s="1"/>
  <c r="Y600" i="1"/>
  <c r="AA600" i="1" s="1"/>
  <c r="Y578" i="1"/>
  <c r="AA578" i="1" s="1"/>
  <c r="Y537" i="1"/>
  <c r="AA537" i="1" s="1"/>
  <c r="Y529" i="1"/>
  <c r="AA529" i="1" s="1"/>
  <c r="Y515" i="1"/>
  <c r="AA515" i="1" s="1"/>
  <c r="Y423" i="1"/>
  <c r="AA423" i="1" s="1"/>
  <c r="Y261" i="1"/>
  <c r="AA261" i="1" s="1"/>
  <c r="Y347" i="1"/>
  <c r="AA347" i="1" s="1"/>
  <c r="Y253" i="1"/>
  <c r="AA253" i="1" s="1"/>
  <c r="Y245" i="1"/>
  <c r="AA245" i="1" s="1"/>
  <c r="Y12" i="1"/>
  <c r="AA12" i="1" s="1"/>
  <c r="Y185" i="1"/>
  <c r="AA185" i="1" s="1"/>
  <c r="Y170" i="1"/>
  <c r="AA170" i="1" s="1"/>
  <c r="Y113" i="1"/>
  <c r="AA113" i="1" s="1"/>
  <c r="Y94" i="1"/>
  <c r="AA94" i="1" s="1"/>
  <c r="Y311" i="1"/>
  <c r="AA311" i="1" s="1"/>
  <c r="Y21" i="1"/>
  <c r="AA21" i="1" s="1"/>
  <c r="Y102" i="1"/>
  <c r="AA102" i="1" s="1"/>
  <c r="Z695" i="1"/>
  <c r="Z687" i="1"/>
  <c r="Z683" i="1"/>
  <c r="Z673" i="1"/>
  <c r="Z670" i="1"/>
  <c r="Z666" i="1"/>
  <c r="Z662" i="1"/>
  <c r="Z658" i="1"/>
  <c r="Z643" i="1"/>
  <c r="Z702" i="1"/>
  <c r="Z678" i="1"/>
  <c r="Z665" i="1"/>
  <c r="Z661" i="1"/>
  <c r="Z649" i="1"/>
  <c r="Z645" i="1"/>
  <c r="Z697" i="1"/>
  <c r="Z685" i="1"/>
  <c r="Z675" i="1"/>
  <c r="Z671" i="1"/>
  <c r="Z660" i="1"/>
  <c r="Z652" i="1"/>
  <c r="Z34" i="1"/>
  <c r="Z641" i="1"/>
  <c r="Z637" i="1"/>
  <c r="Y433" i="1"/>
  <c r="AA433" i="1" s="1"/>
  <c r="Y385" i="1"/>
  <c r="AA385" i="1" s="1"/>
  <c r="Y345" i="1"/>
  <c r="AA345" i="1" s="1"/>
  <c r="Y289" i="1"/>
  <c r="AA289" i="1" s="1"/>
  <c r="Y630" i="1"/>
  <c r="AA630" i="1" s="1"/>
  <c r="Y610" i="1"/>
  <c r="AA610" i="1" s="1"/>
  <c r="Y569" i="1"/>
  <c r="AA569" i="1" s="1"/>
  <c r="Y545" i="1"/>
  <c r="AA545" i="1" s="1"/>
  <c r="Y542" i="1"/>
  <c r="AA542" i="1" s="1"/>
  <c r="Y508" i="1"/>
  <c r="AA508" i="1" s="1"/>
  <c r="Y475" i="1"/>
  <c r="AA475" i="1" s="1"/>
  <c r="Y461" i="1"/>
  <c r="AA461" i="1" s="1"/>
  <c r="Y453" i="1"/>
  <c r="AA453" i="1" s="1"/>
  <c r="Y24" i="1"/>
  <c r="AA24" i="1" s="1"/>
  <c r="Y357" i="1"/>
  <c r="AA357" i="1" s="1"/>
  <c r="Y310" i="1"/>
  <c r="AA310" i="1" s="1"/>
  <c r="Y299" i="1"/>
  <c r="AA299" i="1" s="1"/>
  <c r="Y297" i="1"/>
  <c r="AA297" i="1" s="1"/>
  <c r="Y295" i="1"/>
  <c r="AA295" i="1" s="1"/>
  <c r="Y292" i="1"/>
  <c r="AA292" i="1" s="1"/>
  <c r="Y216" i="1"/>
  <c r="AA216" i="1" s="1"/>
  <c r="Y142" i="1"/>
  <c r="AA142" i="1" s="1"/>
  <c r="Y122" i="1"/>
  <c r="AA122" i="1" s="1"/>
  <c r="Y117" i="1"/>
  <c r="AA117" i="1" s="1"/>
  <c r="Y634" i="1"/>
  <c r="AA634" i="1" s="1"/>
  <c r="Y633" i="1"/>
  <c r="AA633" i="1" s="1"/>
  <c r="Y622" i="1"/>
  <c r="AA622" i="1" s="1"/>
  <c r="Y614" i="1"/>
  <c r="AA614" i="1" s="1"/>
  <c r="Y601" i="1"/>
  <c r="AA601" i="1" s="1"/>
  <c r="Y590" i="1"/>
  <c r="AA590" i="1" s="1"/>
  <c r="Y570" i="1"/>
  <c r="AA570" i="1" s="1"/>
  <c r="Y509" i="1"/>
  <c r="AA509" i="1" s="1"/>
  <c r="Y454" i="1"/>
  <c r="AA454" i="1" s="1"/>
  <c r="Y447" i="1"/>
  <c r="AA447" i="1" s="1"/>
  <c r="Y412" i="1"/>
  <c r="AA412" i="1" s="1"/>
  <c r="Y396" i="1"/>
  <c r="AA396" i="1" s="1"/>
  <c r="Y363" i="1"/>
  <c r="AA363" i="1" s="1"/>
  <c r="Y359" i="1"/>
  <c r="AA359" i="1" s="1"/>
  <c r="Y326" i="1"/>
  <c r="AA326" i="1" s="1"/>
  <c r="Y306" i="1"/>
  <c r="AA306" i="1" s="1"/>
  <c r="Y19" i="1"/>
  <c r="AA19" i="1" s="1"/>
  <c r="Y284" i="1"/>
  <c r="AA284" i="1" s="1"/>
  <c r="Y14" i="1"/>
  <c r="AA14" i="1" s="1"/>
  <c r="Y262" i="1"/>
  <c r="AA262" i="1" s="1"/>
  <c r="Y235" i="1"/>
  <c r="AA235" i="1" s="1"/>
  <c r="Z655" i="1"/>
  <c r="Z644" i="1"/>
  <c r="Z272" i="1"/>
  <c r="Z704" i="1"/>
  <c r="Y705" i="1"/>
  <c r="AA705" i="1" s="1"/>
  <c r="Z713" i="1"/>
  <c r="Y723" i="1"/>
  <c r="AA723" i="1" s="1"/>
  <c r="Y727" i="1"/>
  <c r="AA727" i="1" s="1"/>
  <c r="Y731" i="1"/>
  <c r="AA731" i="1" s="1"/>
  <c r="Y734" i="1"/>
  <c r="AA734" i="1" s="1"/>
  <c r="Z742" i="1"/>
  <c r="Z748" i="1"/>
  <c r="Z751" i="1"/>
  <c r="Y754" i="1"/>
  <c r="AA754" i="1" s="1"/>
  <c r="Z757" i="1"/>
  <c r="Z758" i="1"/>
  <c r="Z763" i="1"/>
  <c r="Z764" i="1"/>
  <c r="Y772" i="1"/>
  <c r="AA772" i="1" s="1"/>
  <c r="Z773" i="1"/>
  <c r="Y775" i="1"/>
  <c r="AA775" i="1" s="1"/>
  <c r="Z775" i="1"/>
  <c r="Y778" i="1"/>
  <c r="AA778" i="1" s="1"/>
  <c r="Y784" i="1"/>
  <c r="AA784" i="1" s="1"/>
  <c r="Y787" i="1"/>
  <c r="AA787" i="1" s="1"/>
  <c r="Y747" i="1"/>
  <c r="AA747" i="1" s="1"/>
  <c r="Z749" i="1"/>
  <c r="Y751" i="1"/>
  <c r="AA751" i="1" s="1"/>
  <c r="Z754" i="1"/>
  <c r="Y762" i="1"/>
  <c r="AA762" i="1" s="1"/>
  <c r="Y766" i="1"/>
  <c r="AA766" i="1" s="1"/>
  <c r="Z771" i="1"/>
  <c r="Z772" i="1"/>
  <c r="Y777" i="1"/>
  <c r="AA777" i="1" s="1"/>
  <c r="Z778" i="1"/>
  <c r="Y779" i="1"/>
  <c r="AA779" i="1" s="1"/>
  <c r="Z780" i="1"/>
  <c r="Y781" i="1"/>
  <c r="AA781" i="1" s="1"/>
  <c r="Z788" i="1"/>
  <c r="Z782" i="1"/>
  <c r="Y789" i="1"/>
  <c r="AA789" i="1" s="1"/>
  <c r="Y791" i="1"/>
  <c r="AA791" i="1" s="1"/>
  <c r="Z397" i="1"/>
  <c r="Z396" i="1"/>
  <c r="Z385" i="1"/>
  <c r="Z384" i="1"/>
  <c r="Z380" i="1"/>
  <c r="Z374" i="1"/>
  <c r="Z352" i="1"/>
  <c r="Z343" i="1"/>
  <c r="Z334" i="1"/>
  <c r="Z332" i="1"/>
  <c r="Z329" i="1"/>
  <c r="Z319" i="1"/>
  <c r="Z316" i="1"/>
  <c r="Z315" i="1"/>
  <c r="Z314" i="1"/>
  <c r="Z313" i="1"/>
  <c r="Z309" i="1"/>
  <c r="Z299" i="1"/>
  <c r="Z298" i="1"/>
  <c r="Z296" i="1"/>
  <c r="Z291" i="1"/>
  <c r="Z290" i="1"/>
  <c r="Z18" i="1"/>
  <c r="Z285" i="1"/>
  <c r="Z284" i="1"/>
  <c r="Z274" i="1"/>
  <c r="Z252" i="1"/>
  <c r="Z244" i="1"/>
  <c r="Z241" i="1"/>
  <c r="Z237" i="1"/>
  <c r="Z227" i="1"/>
  <c r="Z226" i="1"/>
  <c r="Z205" i="1"/>
  <c r="Z200" i="1"/>
  <c r="Z198" i="1"/>
  <c r="Z181" i="1"/>
  <c r="Z178" i="1"/>
  <c r="Z176" i="1"/>
  <c r="Z164" i="1"/>
  <c r="Z157" i="1"/>
  <c r="Z153" i="1"/>
  <c r="Z148" i="1"/>
  <c r="Z143" i="1"/>
  <c r="Z141" i="1"/>
  <c r="Z124" i="1"/>
  <c r="Z122" i="1"/>
  <c r="Z120" i="1"/>
  <c r="Z104" i="1"/>
  <c r="Z102" i="1"/>
  <c r="Z80" i="1"/>
  <c r="Y711" i="1"/>
  <c r="AA711" i="1" s="1"/>
  <c r="Z745" i="1"/>
  <c r="Z747" i="1"/>
  <c r="Z753" i="1"/>
  <c r="Z759" i="1"/>
  <c r="Y770" i="1"/>
  <c r="AA770" i="1" s="1"/>
  <c r="Z779" i="1"/>
  <c r="Y783" i="1"/>
  <c r="AA783" i="1" s="1"/>
  <c r="Y788" i="1"/>
  <c r="AA788" i="1" s="1"/>
  <c r="Y707" i="1"/>
  <c r="AA707" i="1" s="1"/>
  <c r="Y709" i="1"/>
  <c r="AA709" i="1" s="1"/>
  <c r="Y764" i="1"/>
  <c r="AA764" i="1" s="1"/>
  <c r="Y768" i="1"/>
  <c r="AA768" i="1" s="1"/>
  <c r="Y773" i="1"/>
  <c r="AA773" i="1" s="1"/>
  <c r="Y782" i="1"/>
  <c r="AA782" i="1" s="1"/>
  <c r="Z785" i="1"/>
  <c r="Z787" i="1"/>
  <c r="Z791" i="1"/>
  <c r="Z789" i="1"/>
  <c r="Z786" i="1"/>
  <c r="Z790" i="1"/>
  <c r="Y654" i="1"/>
  <c r="AA654" i="1" s="1"/>
  <c r="Y646" i="1"/>
  <c r="AA646" i="1" s="1"/>
  <c r="Y703" i="1"/>
  <c r="AA703" i="1" s="1"/>
  <c r="Y695" i="1"/>
  <c r="AA695" i="1" s="1"/>
  <c r="Y687" i="1"/>
  <c r="AA687" i="1" s="1"/>
  <c r="Y666" i="1"/>
  <c r="AA666" i="1" s="1"/>
  <c r="Y618" i="1"/>
  <c r="AA618" i="1" s="1"/>
  <c r="Y264" i="1"/>
  <c r="AA264" i="1" s="1"/>
  <c r="Z698" i="1"/>
  <c r="Z686" i="1"/>
  <c r="Z657" i="1"/>
  <c r="Z642" i="1"/>
  <c r="Z633" i="1"/>
  <c r="Z632" i="1"/>
  <c r="Z617" i="1"/>
  <c r="Z616" i="1"/>
  <c r="Z602" i="1"/>
  <c r="Z601" i="1"/>
  <c r="Z600" i="1"/>
  <c r="Z586" i="1"/>
  <c r="Z578" i="1"/>
  <c r="Z571" i="1"/>
  <c r="Z565" i="1"/>
  <c r="Y552" i="1"/>
  <c r="AA552" i="1" s="1"/>
  <c r="Y506" i="1"/>
  <c r="AA506" i="1" s="1"/>
  <c r="Z504" i="1"/>
  <c r="Z500" i="1"/>
  <c r="Y452" i="1"/>
  <c r="AA452" i="1" s="1"/>
  <c r="Y377" i="1"/>
  <c r="AA377" i="1" s="1"/>
  <c r="Y301" i="1"/>
  <c r="AA301" i="1" s="1"/>
  <c r="Y35" i="1"/>
  <c r="AA35" i="1" s="1"/>
  <c r="Z38" i="1"/>
  <c r="Z422" i="1"/>
  <c r="Z404" i="1"/>
  <c r="Z398" i="1"/>
  <c r="Z392" i="1"/>
  <c r="Z391" i="1"/>
  <c r="Z390" i="1"/>
  <c r="Z389" i="1"/>
  <c r="Z387" i="1"/>
  <c r="Z383" i="1"/>
  <c r="Z382" i="1"/>
  <c r="Z333" i="1"/>
  <c r="Z330" i="1"/>
  <c r="Z325" i="1"/>
  <c r="Z324" i="1"/>
  <c r="Z323" i="1"/>
  <c r="Z321" i="1"/>
  <c r="Z320" i="1"/>
  <c r="Z317" i="1"/>
  <c r="Z312" i="1"/>
  <c r="Z308" i="1"/>
  <c r="Z307" i="1"/>
  <c r="Z306" i="1"/>
  <c r="Z305" i="1"/>
  <c r="Z23" i="1"/>
  <c r="Z302" i="1"/>
  <c r="Z301" i="1"/>
  <c r="Z294" i="1"/>
  <c r="Z293" i="1"/>
  <c r="Z292" i="1"/>
  <c r="Z20" i="1"/>
  <c r="Z19" i="1"/>
  <c r="Z17" i="1"/>
  <c r="Z288" i="1"/>
  <c r="Z286" i="1"/>
  <c r="Y712" i="1"/>
  <c r="AA712" i="1" s="1"/>
  <c r="Y749" i="1"/>
  <c r="AA749" i="1" s="1"/>
  <c r="Z750" i="1"/>
  <c r="Y756" i="1"/>
  <c r="AA756" i="1" s="1"/>
  <c r="Y760" i="1"/>
  <c r="AA760" i="1" s="1"/>
  <c r="Z762" i="1"/>
  <c r="Z72" i="1"/>
  <c r="Z64" i="1"/>
  <c r="Z705" i="1"/>
  <c r="Z714" i="1"/>
  <c r="Z715" i="1"/>
  <c r="Y722" i="1"/>
  <c r="AA722" i="1" s="1"/>
  <c r="Z722" i="1"/>
  <c r="Z720" i="1"/>
  <c r="Y728" i="1"/>
  <c r="AA728" i="1" s="1"/>
  <c r="Y732" i="1"/>
  <c r="AA732" i="1" s="1"/>
  <c r="Y769" i="1"/>
  <c r="AA769" i="1" s="1"/>
  <c r="Z770" i="1"/>
  <c r="Y716" i="1"/>
  <c r="AA716" i="1" s="1"/>
  <c r="Y718" i="1"/>
  <c r="AA718" i="1" s="1"/>
  <c r="Z723" i="1"/>
  <c r="Z724" i="1"/>
  <c r="Z727" i="1"/>
  <c r="Z728" i="1"/>
  <c r="Y741" i="1"/>
  <c r="AA741" i="1" s="1"/>
  <c r="Y748" i="1"/>
  <c r="AA748" i="1" s="1"/>
  <c r="Y726" i="1"/>
  <c r="AA726" i="1" s="1"/>
  <c r="Y738" i="1"/>
  <c r="AA738" i="1" s="1"/>
  <c r="Y745" i="1"/>
  <c r="AA745" i="1" s="1"/>
  <c r="Z756" i="1"/>
  <c r="Y757" i="1"/>
  <c r="AA757" i="1" s="1"/>
  <c r="Y759" i="1"/>
  <c r="AA759" i="1" s="1"/>
  <c r="Z760" i="1"/>
  <c r="Y774" i="1"/>
  <c r="AA774" i="1" s="1"/>
  <c r="Y725" i="1"/>
  <c r="AA725" i="1" s="1"/>
  <c r="Y729" i="1"/>
  <c r="AA729" i="1" s="1"/>
  <c r="Y752" i="1"/>
  <c r="AA752" i="1" s="1"/>
  <c r="Z755" i="1"/>
  <c r="Z765" i="1"/>
  <c r="Z774" i="1"/>
  <c r="Z777" i="1"/>
  <c r="P7" i="1" l="1"/>
  <c r="S7" i="1" s="1"/>
  <c r="V4" i="1"/>
</calcChain>
</file>

<file path=xl/sharedStrings.xml><?xml version="1.0" encoding="utf-8"?>
<sst xmlns="http://schemas.openxmlformats.org/spreadsheetml/2006/main" count="11148" uniqueCount="1110">
  <si>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</si>
  <si>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</si>
  <si>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</si>
  <si>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</si>
  <si>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</si>
  <si>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</si>
  <si>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</si>
  <si>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</si>
  <si>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</si>
  <si>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</si>
  <si>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</si>
  <si>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</si>
  <si>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</si>
  <si>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</si>
  <si>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</si>
  <si>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</si>
  <si>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</si>
  <si>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</si>
  <si>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</si>
  <si>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</si>
  <si>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</si>
  <si>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</si>
  <si>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</si>
  <si>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</si>
  <si>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</si>
  <si>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</si>
  <si>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</si>
  <si>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</si>
  <si>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</si>
  <si>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</si>
  <si>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</si>
  <si>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</si>
  <si>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</si>
  <si>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</si>
  <si>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</si>
  <si>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</si>
  <si>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</si>
  <si>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</si>
  <si>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</si>
  <si>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</si>
  <si>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</si>
  <si>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</si>
  <si>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</si>
  <si>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</si>
  <si>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</si>
  <si>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</si>
  <si>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</si>
  <si>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</si>
  <si>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</si>
  <si>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</si>
  <si>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</si>
  <si>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</si>
  <si>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</si>
  <si>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</si>
  <si>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</si>
  <si>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</si>
  <si>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</si>
  <si>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</si>
  <si>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</si>
  <si>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</si>
  <si>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</si>
  <si>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</si>
  <si>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</si>
  <si>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</si>
  <si>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</si>
  <si>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</si>
  <si>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</si>
  <si>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</si>
  <si>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</si>
  <si>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</si>
  <si>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</si>
  <si>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</si>
  <si>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</si>
  <si>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</si>
  <si>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</si>
  <si>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</si>
  <si>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</si>
  <si>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</si>
  <si>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</si>
  <si>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</si>
  <si>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</si>
  <si>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</si>
  <si>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</si>
  <si>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</si>
  <si>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</si>
  <si>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</si>
  <si>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</si>
  <si>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</si>
  <si>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</si>
  <si>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</si>
  <si>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</si>
  <si>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</si>
  <si>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</si>
  <si>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</si>
  <si>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</si>
  <si>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</si>
  <si>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</si>
  <si>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</si>
  <si>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</si>
  <si>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</si>
  <si>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</si>
  <si>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</si>
  <si>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</si>
  <si>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</si>
  <si>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</si>
  <si>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</si>
  <si>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</si>
  <si>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</si>
  <si>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</si>
  <si>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</si>
  <si>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</si>
  <si>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</si>
  <si>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</si>
  <si>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</si>
  <si>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</si>
  <si>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</si>
  <si>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</si>
  <si>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</si>
  <si>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</si>
  <si>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</si>
  <si>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</si>
  <si>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</si>
  <si>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</si>
  <si>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</si>
  <si>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</si>
  <si>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</si>
  <si>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</si>
  <si>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</si>
  <si>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</si>
  <si>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</si>
  <si>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</si>
  <si>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</si>
  <si>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</si>
  <si>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</si>
  <si>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</si>
  <si>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</si>
  <si>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</si>
  <si>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</si>
  <si>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</si>
  <si>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</si>
  <si>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</si>
  <si>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</si>
  <si>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</si>
  <si>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</si>
  <si>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</si>
  <si>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</si>
  <si>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</si>
  <si>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</si>
  <si>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</si>
  <si>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</si>
  <si>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</si>
  <si>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</si>
  <si>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</si>
  <si>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</si>
  <si>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</si>
  <si>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</si>
  <si>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</si>
  <si>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</si>
  <si>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</si>
  <si>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</si>
  <si>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</si>
  <si>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</si>
  <si>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</si>
  <si>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</si>
  <si>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</si>
  <si>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</si>
  <si>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</si>
  <si>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</si>
  <si>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</si>
  <si>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</si>
  <si>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</si>
  <si>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</si>
  <si>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</si>
  <si>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</si>
  <si>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</si>
  <si>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</si>
  <si>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</si>
  <si>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</si>
  <si>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</si>
  <si>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</si>
  <si>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</si>
  <si>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</si>
  <si>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</si>
  <si>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</si>
  <si>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</si>
  <si>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</si>
  <si>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</si>
  <si>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</si>
  <si>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</si>
  <si>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</si>
  <si>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</si>
  <si>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</si>
  <si>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</si>
  <si>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</si>
  <si>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</si>
  <si>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</si>
  <si>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</si>
  <si>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</si>
  <si>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</si>
  <si>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</si>
  <si>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</si>
  <si>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</si>
  <si>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</si>
  <si>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</si>
  <si>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</si>
  <si>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</si>
  <si>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</si>
  <si>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</si>
  <si>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</si>
  <si>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</si>
  <si>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</si>
  <si>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</si>
  <si>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</si>
  <si>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</si>
  <si>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</si>
  <si>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</si>
  <si>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</si>
  <si>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</si>
  <si>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</si>
  <si>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</si>
  <si>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</si>
  <si>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</si>
  <si>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</si>
  <si>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</si>
  <si>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</si>
  <si>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</si>
  <si>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</si>
  <si>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</si>
  <si>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</si>
  <si>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</si>
  <si>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</si>
  <si>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</si>
  <si>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</si>
  <si>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</si>
  <si>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</si>
  <si>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</si>
  <si>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</si>
  <si>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</si>
  <si>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</si>
  <si>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</si>
  <si>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</si>
  <si>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</si>
  <si>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</si>
  <si>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</si>
  <si>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</si>
  <si>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</si>
  <si>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</si>
  <si>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</si>
  <si>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</si>
  <si>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</si>
  <si>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</si>
  <si>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</si>
  <si>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</si>
  <si>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</si>
  <si>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</si>
  <si>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</si>
  <si>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</si>
  <si>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</si>
  <si>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</si>
  <si>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</si>
  <si>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</si>
  <si>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</si>
  <si>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</si>
  <si>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</si>
  <si>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</si>
  <si>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</si>
  <si>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</si>
  <si>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</si>
  <si>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</si>
  <si>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</si>
  <si>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</si>
  <si>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</si>
  <si>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</si>
  <si>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</si>
  <si>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</si>
  <si>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</si>
  <si>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</si>
  <si>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</si>
  <si>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</si>
  <si>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</si>
  <si>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</si>
  <si>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</si>
  <si>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</si>
  <si>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</si>
  <si>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</si>
  <si>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</si>
  <si>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</si>
  <si>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</si>
  <si>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</si>
  <si>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</si>
  <si>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</si>
  <si>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</si>
  <si>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</si>
  <si>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</si>
  <si>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</si>
  <si>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</si>
  <si>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</si>
  <si>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</si>
  <si>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</si>
  <si>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</si>
  <si>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</si>
  <si>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</si>
  <si>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</si>
  <si>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</si>
  <si>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</si>
  <si>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</si>
  <si>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</si>
  <si>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</si>
  <si>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</si>
  <si>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</si>
  <si>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</si>
  <si>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</si>
  <si>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</si>
  <si>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</si>
  <si>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</si>
  <si>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</si>
  <si>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</si>
  <si>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</si>
  <si>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</si>
  <si>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</si>
  <si>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</si>
  <si>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</si>
  <si>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</si>
  <si>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</si>
  <si>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</si>
  <si>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</si>
  <si>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</si>
  <si>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</si>
  <si>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</si>
  <si>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</si>
  <si>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</si>
  <si>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</si>
  <si>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</si>
  <si>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</si>
  <si>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</si>
  <si>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</si>
  <si>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</si>
  <si>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</si>
  <si>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</si>
  <si>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</si>
  <si>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</si>
  <si>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</si>
  <si>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</si>
  <si>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</si>
  <si>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</si>
  <si>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</si>
  <si>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</si>
  <si>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</si>
  <si>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</si>
  <si>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</si>
  <si>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</si>
  <si>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</si>
  <si>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</si>
  <si>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</si>
  <si>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</si>
  <si>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</si>
  <si>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</si>
  <si>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</si>
  <si>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</si>
  <si>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</si>
  <si>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</si>
  <si>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</si>
  <si>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</si>
  <si>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</si>
  <si>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</si>
  <si>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</si>
  <si>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</si>
  <si>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</si>
  <si>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</si>
  <si>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</si>
  <si>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</si>
  <si>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</si>
  <si>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</si>
  <si>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</si>
  <si>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</si>
  <si>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</si>
  <si>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</si>
  <si>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</si>
  <si>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</si>
  <si>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</si>
  <si>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</si>
  <si>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</si>
  <si>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</si>
  <si>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</si>
  <si>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</si>
  <si>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</si>
  <si>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</si>
  <si>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</si>
  <si>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</si>
  <si>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</si>
  <si>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</si>
  <si>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</si>
  <si>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para apoyar el programa de vigilancia epidemiológico al riesgo psicosocial y actividades de seguridad y salud en el trabajo en la Subdirección de Gestión Humana.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</si>
  <si>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</si>
  <si>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</si>
  <si>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</si>
  <si>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</si>
  <si>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</si>
  <si>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</si>
  <si>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</si>
  <si>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</si>
  <si>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</si>
  <si>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</si>
  <si>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</si>
  <si>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</si>
  <si>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</si>
  <si>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N/A</t>
  </si>
  <si>
    <t>N/A-N/A N/A_N/A</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</si>
  <si>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</si>
  <si>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</si>
  <si>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los servicios profesionales jurídicos para apoyar las actividades propias de la gestión contractual que adelanta la UAE Cuerpo Oficial de Bomberos</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</si>
  <si>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</si>
  <si>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</si>
  <si>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43233000;81112200</t>
  </si>
  <si>
    <t>72151607;72103302</t>
  </si>
  <si>
    <t>83121700;83111600;43221700</t>
  </si>
  <si>
    <t>Programado</t>
  </si>
  <si>
    <t>DISTRIBUCIÓN PPTAL PROYECTADA PAA VR 0</t>
  </si>
  <si>
    <t xml:space="preserve">proyecto </t>
  </si>
  <si>
    <t>Diferencia</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</si>
  <si>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</si>
  <si>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</si>
  <si>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</si>
  <si>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</si>
  <si>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</si>
  <si>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</si>
  <si>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</si>
  <si>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 xml:space="preserve">31261500; 31161500; 31161600; 31162300; 31162800; 31171500; 31171700; 39121600; 27121600 </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</si>
  <si>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</si>
  <si>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</si>
  <si>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</si>
  <si>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</si>
  <si>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</si>
  <si>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</si>
  <si>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</si>
  <si>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</si>
  <si>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</si>
  <si>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</si>
  <si>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</si>
  <si>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</si>
  <si>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</si>
  <si>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 xml:space="preserve">                       </t>
  </si>
  <si>
    <t>90101600;90111600;90141700;90151700</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</si>
  <si>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</si>
  <si>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</si>
  <si>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</si>
  <si>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</si>
  <si>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</si>
  <si>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</si>
  <si>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</si>
  <si>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 xml:space="preserve">SGH – Prestar servicios profesionales en las diferentes actividades del  sistema de gestión de seguridad y salud en el trabajo y en vigilancia epidemiológica de la Subdirección de Gestión Humana. </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</si>
  <si>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</si>
  <si>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</si>
  <si>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O2120202008078714199 Servicio de mantenimiento y reparación de vehículos automotores n.c.p.</t>
  </si>
  <si>
    <t>O21202020080383990 Otros servicios profesionales, técnicos y empresariales n.c.p.</t>
  </si>
  <si>
    <t>SGH - Prestar servicios profesionales para apoyar el programa de riesgo psicosocial y diferentes  actividades de seguridad y salud en el trabajo en la Subdirección de Gestión Humana</t>
  </si>
  <si>
    <t>PLAN ANUAL DE ADQUISICIONES 2025</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</si>
  <si>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</si>
  <si>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</si>
  <si>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especializados para la representación judicial  de la Entidad y la prevención del daño antijurídico.</t>
  </si>
  <si>
    <t>Prestar los servicios de apoyo para las gestiones documentales y administrativas requerida por la Oficina  Jurídica.</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</si>
  <si>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</si>
  <si>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</si>
  <si>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</si>
  <si>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</si>
  <si>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</si>
  <si>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</si>
  <si>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</si>
  <si>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</si>
  <si>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</si>
  <si>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</si>
  <si>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</si>
  <si>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</si>
  <si>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</si>
  <si>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</si>
  <si>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</si>
  <si>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</si>
  <si>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</si>
  <si>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</si>
  <si>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</si>
  <si>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</si>
  <si>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</si>
  <si>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Prestación de servicios profesionales para acompañar a la Dirección en la estructuración de fichas técnicas y en la identificación de necesidades técnicas que requiere suplir la UAE Cuerpo Oficial de Bomberos de Bogotá</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</si>
  <si>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</si>
  <si>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</si>
  <si>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</si>
  <si>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Jose Andres Ponce Caicedo</t>
  </si>
  <si>
    <t>SGH - Prestar servicios de apoyo a la gestión en la Subdirección de Gestión Humana en las diferentes actividades logísticas relacionadas con  el proceso de Academia.</t>
  </si>
  <si>
    <t>86101600, 86101700, 86101800, 86111600, 86141500,  86121800, 80111500,86131800</t>
  </si>
  <si>
    <t>86101600, 86101700, 86101800, 86111600, 86141500,  86121800, 80111500</t>
  </si>
  <si>
    <t xml:space="preserve">SGH - Prestar los servicios de capacitación, formación y entrenamiento en cursos especializado para Bomberos en BUZO DE SEGURIDAD PUBLICA, necesario para el desarrollo de estos procesos para el personal operativo y administrativo  de la Academia UAECOB </t>
  </si>
  <si>
    <t>72121100, 24101600, 30131500, 31371300, 30101500, 30101700, 30103600, 95121633, 30103619, 73121600, 73121500, 30101704, 30101504</t>
  </si>
  <si>
    <t>INCENTIVOS</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</si>
  <si>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</si>
  <si>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Proveer el suministro de elementos de bioseguridad e insumos médicos básicos y otros para la atención de emergencias.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</si>
  <si>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</si>
  <si>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</si>
  <si>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</si>
  <si>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</si>
  <si>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</si>
  <si>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</si>
  <si>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</si>
  <si>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</si>
  <si>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</si>
  <si>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</si>
  <si>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Prestar servicios profesionales en temas transversales de los procesos de planeación, logísticos, administrativos y financieros que se deriven de las competencias a cargo de la Subdirección Logística - .  - SBLG</t>
  </si>
  <si>
    <t>Prestar servicios profesionales en la seguimiento,verificación y control administrativo financiero de los procesos contractuales en la etapa de ejecución a cargo de la Subdirección Logistica – . - SBLG</t>
  </si>
  <si>
    <t>Prestación de servicios profesionales para realizar el seguimiento y monitoreo a los diferentes procesos y procedimientos del equipo menor a cargo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</si>
  <si>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</si>
  <si>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</si>
  <si>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</si>
  <si>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</si>
  <si>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</si>
  <si>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</si>
  <si>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para la estructuracion y seguimiento de los procesos contractuales y demas aspectos juridicos de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</si>
  <si>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</si>
  <si>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</si>
  <si>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</si>
  <si>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</si>
  <si>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</si>
  <si>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</si>
  <si>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</si>
  <si>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</si>
  <si>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</si>
  <si>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</si>
  <si>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</si>
  <si>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</si>
  <si>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</si>
  <si>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</si>
  <si>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</si>
  <si>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</si>
  <si>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</si>
  <si>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</si>
  <si>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</si>
  <si>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</si>
  <si>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</si>
  <si>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</si>
  <si>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</si>
  <si>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</si>
  <si>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</si>
  <si>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</si>
  <si>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elaboración, diagramación, orto tipografía y estilos de textos e informes referentes a los diferentes procesos a cargo de la subdirección operativa -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</si>
  <si>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</si>
  <si>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</si>
  <si>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</si>
  <si>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</si>
  <si>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con plena autonomía técnica y administrativa en el seguimiento, verificación y alimentación de los sistemas de información y demás requerimientos de acuerdo con las funciones de la dependencia-s.o.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</si>
  <si>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</si>
  <si>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</si>
  <si>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</si>
  <si>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</si>
  <si>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</si>
  <si>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tecnologia  especilizada para la atención de emergencias de la UAE  Cuerpo Oficial de Bomberos de Bogotá</t>
  </si>
  <si>
    <t>Contratar la prestación del servicio de monitoreo, control y seguimiento satelital a los vehículos de propiedad de la U.A.E. Cuerpo Oficial de Bomberos de Bogotá - 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</si>
  <si>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</si>
  <si>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</si>
  <si>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</si>
  <si>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</si>
  <si>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</si>
  <si>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</si>
  <si>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</si>
  <si>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mantenimiento preventivo y correctivo de los radios portátiles y móviles marca motorola propiedad de la U.A.E. Cuerpo Oficial de Bomberos de Bogotá - TIC</t>
  </si>
  <si>
    <t>Contratar la adquisición de usuarios de ArcGis para la U.A.E. Cuerpo Oficial de Bomberos de Bogotá. - TIC</t>
  </si>
  <si>
    <t>43212105, 43212110,43212115</t>
  </si>
  <si>
    <t>Adquisición de sistema de monitoreo para la prevención y alertas tempranas en lo que corresponde a los incidentes forestales en los cerros</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</si>
  <si>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</si>
  <si>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</si>
  <si>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</si>
  <si>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</si>
  <si>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</si>
  <si>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</si>
  <si>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</si>
  <si>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</si>
  <si>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</si>
  <si>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</si>
  <si>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</si>
  <si>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</si>
  <si>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</si>
  <si>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</si>
  <si>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</si>
  <si>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</si>
  <si>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</si>
  <si>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</si>
  <si>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</si>
  <si>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</si>
  <si>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</si>
  <si>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</si>
  <si>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</si>
  <si>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</si>
  <si>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</si>
  <si>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</si>
  <si>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</si>
  <si>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</si>
  <si>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</si>
  <si>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</si>
  <si>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Prestar los servicios profesionales para la gestión administrativa y operativa de la Subdirección de Gestión Corporativa en el proceso de adquisición de bienes y servicios - 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</si>
  <si>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</si>
  <si>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</si>
  <si>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</si>
  <si>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</si>
  <si>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la red contraincendios  y sistemas de detención de alarmas contra incendios de las estaciones de bomberos de la UAE- Cuerpo Oficial de Bomberos Bogota SGC</t>
  </si>
  <si>
    <t>Suministro de materiales, equipos y herramientas para el mejoramiento integral de las instalaciones de la UAE Cuerpo Oficial de Bomberos -SGC</t>
  </si>
  <si>
    <t>80101600;81101500;72101500;72121400</t>
  </si>
  <si>
    <t>47111500; 47111700</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</si>
  <si>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</si>
  <si>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</si>
  <si>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</si>
  <si>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</si>
  <si>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Interventoría técnica, administrativa, financiera, contable, jurídica y ambiental para la elaboración de estudios y diseños técnicos para la construcción de la estación de Bomberos de Punete Aranda B-4 de la UAE Cuerpo Oficial de Bomberos de Bogotá – SGC</t>
  </si>
  <si>
    <t>72121400; 72151700; 72151700; 81101500</t>
  </si>
  <si>
    <t>81101500; 80101600; 72121400; 95121700</t>
  </si>
  <si>
    <t>Omer Mauricio Rivera Ruiz</t>
  </si>
  <si>
    <t>Contratar el servicio de revision técnico mecánica y de emision de gases contaminantes para los vehiculos que forman parte del parque automotor de la Unidad Administrativa Especial Cuerpo Oficial de Bomberos de Bogotá - UAECOB-SBLG</t>
  </si>
  <si>
    <t>Adquisición de uniformes para el personal operativo de la UAECOB</t>
  </si>
  <si>
    <t>O2120201002082823609    Uniformes de trabajo</t>
  </si>
  <si>
    <t xml:space="preserve"> 91 - n/a acto administrativo (resolución, decreto, acuerdo, etc.) </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</si>
  <si>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</si>
  <si>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</si>
  <si>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</si>
  <si>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</si>
  <si>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 04 - contratación mínima cuantía </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</si>
  <si>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</si>
  <si>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</si>
  <si>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</si>
  <si>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</si>
  <si>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</si>
  <si>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</si>
  <si>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78131800;80101500;80101600;80161500;81111900;81112000</t>
  </si>
  <si>
    <t>Contratar el servicio de saneamiento ambiental, corte de césped, jardinería, poda y tala de árboles para las sedes (predios y/o estaciones) de la UAECOB-SGC</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</si>
  <si>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</si>
  <si>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</si>
  <si>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</si>
  <si>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</si>
  <si>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</si>
  <si>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</si>
  <si>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</si>
  <si>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</si>
  <si>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</si>
  <si>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</si>
  <si>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</si>
  <si>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</si>
  <si>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</si>
  <si>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</si>
  <si>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</si>
  <si>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</si>
  <si>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</si>
  <si>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</si>
  <si>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</si>
  <si>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</si>
  <si>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</si>
  <si>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</si>
  <si>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</si>
  <si>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72101500; 92101600; 95121700</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</si>
  <si>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</si>
  <si>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72102900; 72121400; 72151700;72154000;72101500</t>
  </si>
  <si>
    <t>80101600; 81101500; 72101500; 72121400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</si>
  <si>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</si>
  <si>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</si>
  <si>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</si>
  <si>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</si>
  <si>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</si>
  <si>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</si>
  <si>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</si>
  <si>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</si>
  <si>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</si>
  <si>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</si>
  <si>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</si>
  <si>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</si>
  <si>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</si>
  <si>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</si>
  <si>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</si>
  <si>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</si>
  <si>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</si>
  <si>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O232020200885330 Servicios de limpieza general </t>
  </si>
  <si>
    <t xml:space="preserve"> O232020200883990 Otros servicios profesionales, técnicos y empresariales n.c.p. </t>
  </si>
  <si>
    <t xml:space="preserve"> No Aplica </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</si>
  <si>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</si>
  <si>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</si>
  <si>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</si>
  <si>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</si>
  <si>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</si>
  <si>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</si>
  <si>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Prestar servicios profesionales en la Dirección General para gestionar las  actividades de cooperación técnica internacional y articulación interinstitucional encaminadas a fortalecer e impulsar las metas de la Entidad</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</si>
  <si>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</si>
  <si>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Prestación de servicios profesionales en asuntos de comunicaciones y prensa para la traducción de textos editoriales que contribuyan al fortalecimiento y gestión de la imagen corporativa de la entidad.</t>
  </si>
  <si>
    <t>Prestar servicios profesionales en la Dirección General para apoyar las actividades de cooperación técnica internacional y articulación interinstitucional de conformidad a la misionalidad de la Entidad</t>
  </si>
  <si>
    <t>Prestar servicios profesionales en asuntos de comunicaciones y prensa para apoyar materia de seguimiento para el cumplimiento de la misionalidad</t>
  </si>
  <si>
    <t>Prestación de servicios de profesionales a la gestión en la Dirección para el acompañamiento en las labores administrativas en asuntos de Comunicaciones y Prensa de la UAECOB</t>
  </si>
  <si>
    <t>Prestar servicios profesionales a la Subdirección de Gestión del Riesgo liderando las actividades del proceso de inspecciones técnicas del Riesgo._SGR</t>
  </si>
  <si>
    <t>Prestar servicios profesionales en las actividades de planeación y gestión de la Subdirección de gestión del Riesgo_SGR</t>
  </si>
  <si>
    <t>Prestar servicios profesionales para el seguimiento de los componentes administrativo, técnico y financiero de la subdireccíon de Gestión del Riesgo. SGR</t>
  </si>
  <si>
    <t>Prestar servicios profesionales para la gestión de la SGR, estructurando el seguimiento de los procesos contractuales y seguimiento de los proyectos de inversión de la UAECOB._SGR</t>
  </si>
  <si>
    <t>prestar servicios profesionales liderando las actividades de caracterización de escenarios y monitoreo de gestión del riesgo.SGR</t>
  </si>
  <si>
    <t>Prestar servicios profesionales liderando las actividades de Programas y Campañas de Prevención para la Subdirección de Gestión del Riesgo._SGR</t>
  </si>
  <si>
    <t xml:space="preserve">SGH - Prestar servicios profesionales en la Subdireccion de Gestion Humana de la UAE Cuerpo Oficial de Bomberos en el proceso de ausentismo, recobro de incapacidades y los subprocesos directamente relacionados </t>
  </si>
  <si>
    <t>SGH - Prestar servicios profesionales para apoyar el programa de desórdenes musculoesqueléticos de la UAE Cuerpo Oficial de Bomberos de Bogotá".</t>
  </si>
  <si>
    <t>SGH - Prestar servicios profesionales para la implementación y seguimiento del sistema de gestión de seguridad y salud en el trabajo en la Subdirección de Gestión Humana.</t>
  </si>
  <si>
    <t>SGH - Prestar sus servicios profesionales en la Subdirección de Gestión Humana, en la administración de sistema de seguridad y salud en el trabajo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</si>
  <si>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</si>
  <si>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</si>
  <si>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</si>
  <si>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</si>
  <si>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</si>
  <si>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SGH-Prestar servicios profesionales para acompañar a la subdirección de gestión humana en el desarrollo de las actividades realizadas en el marco de la actuación del comité de mujer y género</t>
  </si>
  <si>
    <t>SGH - Prestar servicios profesionales para acompañar a la Subdireccion de Gestion Humana en la planeacion, trámite y seguimiento de los aspectos presupuestales, financieros y contractuales a cargo de la dependencia</t>
  </si>
  <si>
    <t>SGH - Prestar sus servicios profesionales en la Subdirección de Gestión Humana, en los procesos contractuales y demás actividades relacionadas con la Subdirección de Gestión Humana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</si>
  <si>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</si>
  <si>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SGH - Prestar servicios profesionales especializados para desarrollar actividades jurídicas en atención a los distintos requerimientos de la Subdirección de Gestión Humana.</t>
  </si>
  <si>
    <t>SGH - Prestar servicios profesionales para desarrollar actividades jurídicas en atención a los distintos requerimientos de la Subdirección de Gestión Humana.</t>
  </si>
  <si>
    <t>SGH - Prestar servicios profesionales para desarrollar actividades jurídicas relacionadas con la academia bomberil, recobro de incapacidades y procesos administrativos de la Subdirección de Gestión Humana.</t>
  </si>
  <si>
    <t>SGH - Prestar servicios profesionales en la Subdirección de Gestión Humana, para el fortalecimiento transversal del proceso de Academia.</t>
  </si>
  <si>
    <t>Prestar servicios apoyo técnico para el desarrollo de los contenidos graficos, piezas comunicativa y de imagen institucional para la Subdirección de Gestión del riesgo._SGR</t>
  </si>
  <si>
    <t>Prestación de servicios profesionales en asuntos de comunicaciones y prensa para detectar las necesidades de la Entidad y facilitar la inserción de nuevas estrategias de comunicación</t>
  </si>
  <si>
    <t>Prestar servicios de apoyo a la gestión en asuntos de comunicaciones y prensa para realizar labores de diseño y diagramación de productos editoriales de la UAECOB</t>
  </si>
  <si>
    <t>Prestar servicios profesionales especializados en el desarrollo de las actividades estrategicas de la Dirección General de la UAE Cuerpo Oficial de Bomberos de Bogotá</t>
  </si>
  <si>
    <t>Prestar los servicios profesionales jurídicos para apoyar las actividades propias de la gestión contractual que adelanta la Oficina Jurídica</t>
  </si>
  <si>
    <t>Prestar los servicios profesionales jurídicos especializados en la Oficina Jurídica que garantice la verificación de la legalidad, en apoyo a cada una de las actuaciones a cargo de esta Oficina.</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</si>
  <si>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</si>
  <si>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</si>
  <si>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las actividades propias de la gestión contractual a cargo de la Oficina Jurídica, en función de las necesidades identificadas por la entidad y con el propósito de garantizar el cumplimiento de su misionalidad.</t>
  </si>
  <si>
    <t>Prestar los servicios de apoyo para las gestiones administrativas requeridas en la Oficina Jurídica.</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</si>
  <si>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</si>
  <si>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</si>
  <si>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</si>
  <si>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SGH - Prestar servicios profesionales a la Subdirección de Gestión Humana para el fortalecimiento y seguimiento del proceso de la escuela de formación bomberil y su relacionamiento con el sistema de seguridad y salud en el trabajo</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</si>
  <si>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</si>
  <si>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Prestar servicios profesionales en la Dirección General para apoyar las actividades de cooperación técnica Internacional, seguimientos estrategicos y articulación interinstitucional de conformidad a la misionalidad de la entidad.</t>
  </si>
  <si>
    <t>Prestar los servicios profesionales jurídicos especializados para orientar y apoyar los procesos de contratación en sus diferentes etapas adelantados por la Oficina Jurídica, tendientes a garantizar las necesidades propias de la UAECOB</t>
  </si>
  <si>
    <t>Contratar los seguros de casco aviación aeronaves no tri-puladas (drones)de propiedad y de aquellos por los cuales es legalmente responsable a Unidad Administrativa Especial del Cuerpo Oficial de Bomberos de Bogotá-SGC</t>
  </si>
  <si>
    <t>Prestar los servicios profesionales para el acompañamiento y seguimiento de los planes y proyectos del area de inventarios de la Subdireccion de Gestión Corporativa-SGC</t>
  </si>
  <si>
    <t>Prestar servicios profesionales para realizar acompañamiento juridico en la elaboración de los procesos contractuales adelantados por la Subdirección Gestión Corporativa -SGC</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</si>
  <si>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</si>
  <si>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</si>
  <si>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</si>
  <si>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47111502;
47111503;
73151802;
73152100;</t>
  </si>
  <si>
    <t>72151800;
72151502;
72151505;
73152108;</t>
  </si>
  <si>
    <t>Prestación de servicios profesionales para apoyar a la supervisión con las actividades técnicas del Área de Infraestructura de la Subdirección de Gestión Corporativa-SGC</t>
  </si>
  <si>
    <t>Prestación de servicios profesionales para apoyar las actividades de estructuración de procesos contractuales del Área de Infraestructura de la Subdirección de Gestión Corporativa-SGC</t>
  </si>
  <si>
    <t>Prestar servicios profesionales especializados para acompañar jurídicamente los procesos y procedimientos del área de infraestructura de la Subdirección de Gestión Corporativa. SGC</t>
  </si>
  <si>
    <t>72101506;
72154010;</t>
  </si>
  <si>
    <t>81141503;
81141804;</t>
  </si>
  <si>
    <t>Prestación de servicios profesionales especializados para apoyar las actividades de seguimiento técnico del Área de Infraestructura de la Subdirección de Gestión Corporativa-SGC</t>
  </si>
  <si>
    <t>Prestación de servicios profesionales para apoyar las actividades jurídicas de la Subdirección de Gestión Corporativa-SGC</t>
  </si>
  <si>
    <t>Adición No 1. al contrato 244 de 2024 que tiene como objeto "Seleccionar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</si>
  <si>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Prestar servicios profesionales para realizar las actividdaes relacionadas con la emision de conceptos a cargo de la Subdirección de Gestión del Riesgo._SGR</t>
  </si>
  <si>
    <t>39121321;31162800;39121700; 31162300</t>
  </si>
  <si>
    <t>Prestación de servicios de apoyo a la gestión en el proceso de mantenimiento del equipo menor a cargo de la Subdirección Logística -SBLG.</t>
  </si>
  <si>
    <t xml:space="preserve">Prestación de servicios profesionales en la gestión contractual y administrativa de la subdirección Logística- SBLG, de acuerdo con los lineamientos internos de la UAECOB. </t>
  </si>
  <si>
    <t>Prestación de servicios profesionales para el control y seguimiento de las actividades derivadas de la gestión jurídica y contractual de la Subdirección Logística. SBLG.</t>
  </si>
  <si>
    <t>Prestar servicios de apoyo a la gestión en actividades administrativas y documentales que se desarrollen en la Subdirección Logística – SBLG.</t>
  </si>
  <si>
    <t xml:space="preserve">Prestación de servicios profesionales para apoyar la gestión financiera y presupuestal de los proyectos y planes a cargo de la Subdirección Logística - SBLG. </t>
  </si>
  <si>
    <t>Prestar servicios de apoyo a la gestión en asuntos administrativos y contractuales, seguimiento a plataforma SECOP II y archivo contractual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</si>
  <si>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</si>
  <si>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definición y gestión de procedimientos, lineamientos ambientales y de SST de los procesos, así como del sistema de Gestión de Calidad en la Subdirección Logística  – SBGL</t>
  </si>
  <si>
    <t>Prestar servicios profesionales para la gestión del Plan Estratégico de Seguridad Vial (PESV), participación en el comité correspondiente y el desarrollo de programas y actividades asignadas a la Subdirección Logística SBLG.</t>
  </si>
  <si>
    <t>Prestación de servicios profesionales, para apoyar la política de Compras y Contratación Pública, en la elaboración, tramite e impulso de los procesos de contratación en sus diferentes etapas a cargo de la Subdirección Logística - SBLG.</t>
  </si>
  <si>
    <t xml:space="preserve">Prestar servicios profesionales para apoyar en los diferentes procesos de planeación,  administrativos e inventario de la Subdirección Logística – SBLG. </t>
  </si>
  <si>
    <t>Prestar  servicios de apoyo a la gestión en
actividades Técnicas, administrativas y documentales de la
Subdirección Logística - SBLG</t>
  </si>
  <si>
    <t>Prestar servicios de apoyo a la gestión de los suministros y consumibles realizando el seguimiento, control y trámites necesarios para la oportuna disponibilidad en la atención de emergencias  -SBLG.</t>
  </si>
  <si>
    <t>Prestación de servicio como conductor para apoyar en la gestión administrativa y logística de la Subdirección Logistica- SBLG.</t>
  </si>
  <si>
    <t>Prestación de servicios profesionales para la gestión, seguimiento y control administrativo, técnico y operativo del proceso de mantenimiento del parque automotor a cargo de la Subdirección Logística - SBLG.</t>
  </si>
  <si>
    <t>Prestación de servicios profesionales en el control legal de los procesos y acciones, especialmente la gestión contractual requerida por la Subdirección Logística - SBLG</t>
  </si>
  <si>
    <t>Prestar servicios profesionales para el seguimiento y control logístico en la cadena de suministros e insumos en la atención de emergencias garantizando la entrega de los bienes y servicios de la Subdirección Logística. SBLG</t>
  </si>
  <si>
    <t>Prestación de servicios profesionales para la gestión, seguimiento y control administrativo, técnico y operativo del equipo menor a cargo de la Subdirección Logística (SBLG).</t>
  </si>
  <si>
    <t>Prestación de servicios profesionales en la gestión, seguimiento y control administrativo, financiero y contractual del proceso de mantenimiento del parque automotor a cargo de la Subdirección Logística - SBLG.</t>
  </si>
  <si>
    <t>Prestar servicios de apoyo a la gestión para la organización, clasificación, foliación, digitalización e indexación de documentos de la Subdirección Logística - SBLG</t>
  </si>
  <si>
    <t>Prestación de servicios profesionales para la gestión administrativa de las herramientas tecnológicas de la Subdirección Logística asociados a la mesa logística - SBLG</t>
  </si>
  <si>
    <t xml:space="preserve">Prestar servicios profesionales para acompañar en el diseño, implementación, reporte y monitoreo de los diferentes planes, programas, proyectos administrativos y financieros de la Subdirección Logística- SBLG </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</si>
  <si>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</si>
  <si>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de apoyo en la gestión documental, física y digital, administrando y diligenciando las bases de datos, y demás documentos a cargo de la Subdirección logística. -SBLG.</t>
  </si>
  <si>
    <t>Prestación de servicios profesionales en la proyección y seguimiento de las etapas precontractual, contractual y postcontractual que desarrolle la Subdirección Logística en el ámbito de su competencia.- SBLG</t>
  </si>
  <si>
    <t>Prestación de servicios profesionales para realizar el seguimiento y monitoreo a los diferentes procesos y procedimientos del equipo menor a cargo de la Subdirección Logística - SBLG</t>
  </si>
  <si>
    <t>Prestar servicios profesionales en las actividades administrativas y financieras que requieran los procesos de la Subdirección Logística- SBLG</t>
  </si>
  <si>
    <t>Prestar los servicios profesionales para la gestión, financiera de los proyectos y procesos de la Subdirección - SBLG.</t>
  </si>
  <si>
    <t xml:space="preserve">Prestar servicios profesionales para el seguimiento y gestión de las actividades establecidas en los planes de acción y estratégicos; así como, de los procesos de planeación y administrativos propios de Subdirección Logística - SBLG. </t>
  </si>
  <si>
    <t xml:space="preserve">Prestación de servicios profesionales a la gestión administrativa, financiera y documental para la atención del cuerpo uniformado a cargo de la Subdirección - SBGL. </t>
  </si>
  <si>
    <t>Prestación de servicios profesionales para gestionar las solicitudes y requerimientos recibidos por las herramientas tecnológicas de la Subdirección Logística - SBLG</t>
  </si>
  <si>
    <t>Suministro de herramientas especializadas, equipos, accesorios y otros elementos de ferretería para garantizar la preparación y atención de emergencias de la U.A.E. Cuerpo Oficial de Bomberos de Bogotá – SBLG.</t>
  </si>
  <si>
    <t>Contratar servicio de integración, compatibilidad y puesta en funcionamiento de los dispositivos pistolas de toma físico de inventarios al sistema de control y registros inventarios de la U.A.E. Cuerpo Oficial de Bomberos de Bogotá - TIC"</t>
  </si>
  <si>
    <t>Contratar la adquisición de pantallas interactivas y televisores para el fortalecimiento de la infraestructura tecnológica para el desarrollo de la gestión misional y administrativa general de la UAE Cuerpo Oficial de Bomberos de Bogotá.</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</si>
  <si>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</si>
  <si>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</si>
  <si>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</si>
  <si>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</si>
  <si>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</si>
  <si>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</si>
  <si>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</si>
  <si>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</si>
  <si>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</si>
  <si>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Prestar los servicios profesionales en la administración, actualización, desarrollo y mantenimiento del Sistema Integrado de Administración de Personal - SIAP para la U.A.E. Cuerpo Oficial de Bomberos Bogotá.</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</si>
  <si>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</si>
  <si>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</si>
  <si>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</si>
  <si>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</si>
  <si>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</si>
  <si>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</si>
  <si>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</si>
  <si>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</si>
  <si>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Prestar los servicios profesionales al área de Tecnologías de la Información y las Comunicaciones de la U.A.E. Cuerpo Oficial de Bomberos Bogotá, realizando las actividades propias del oficial de seguridad de la infraestructura tecnológica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</si>
  <si>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</si>
  <si>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</si>
  <si>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</si>
  <si>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servicios asistenciales al área de Tecnologías de la Información y las Comunicaciones de la U.A.E. Cuerpo Oficial de Bomberos Bogotá, para la gestión y desarrollo de actividades administrativas en los procesos que adelanta el área.</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</si>
  <si>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</si>
  <si>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</si>
  <si>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</si>
  <si>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 xml:space="preserve">83121700; 83111600; 43221700; 25173100;  81112000; 32101600 </t>
  </si>
  <si>
    <t>Contratar la adquisicion, modernizacion y mantenimiento preventivo y correctivo de UPS,  aires acondicionados con suministro de repuestos, para todas las sedes de la U.A.E. Cuerpo Oficial de Bomberos de Bogotá - TIC.</t>
  </si>
  <si>
    <t>72151500; 72101500; 731521000; 39121600; 39121000; 72151500; 72101500; 73152100.</t>
  </si>
  <si>
    <t xml:space="preserve">Contratar la adquisición de tarjetas de comunicación satelital de voz, para la U.A.E. Cuerpo Oficial de Bomberos de Bogotá. </t>
  </si>
  <si>
    <t>Contratar la adquisición de equipo, software e insumos para la generación de carnets, para la U.A.E. Cuerpo Oficial de Bomberos de Bogotá.</t>
  </si>
  <si>
    <t>Contratar la adquisición de antenas y servicio de internet satelital, para la U.A.E. Cuerpo Oficial de Bomberos de Bogotá.</t>
  </si>
  <si>
    <t>43201800; 43222600</t>
  </si>
  <si>
    <t>Contratar la renovación de garantía y soporte de fabrica de los equipos activos que hacen parte de la infraestructura tecnológica de la U.A.E. Cuerpo Oficial de Bomberos de Bogotá.</t>
  </si>
  <si>
    <t>Adquisición de Radios, para las comunicaciones de la U.A.E. Cuerpo Oficial de Bomberos de Bogotá.</t>
  </si>
  <si>
    <t>Prestar servicios profesionales para desarrollar e implementar sistemas de información, brindar soporte, mantenimiento y generar interoperabilidad con la Subdirección de Gestión Corporativa -SGC</t>
  </si>
  <si>
    <t>Prestar los servicios profesionales jurídicos especializados para apoyar el desarrollo de las funciones de la Oficina Jurídica</t>
  </si>
  <si>
    <t>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t>
  </si>
  <si>
    <t>Prestar los servicios profesionales en la estructuración, sustanciación, revisión y trámite de los procesos de contratación y gestión jurídica en el marco de los procesos y procedimientos a cargo de la dirección de la U.A.E. Cuerpo Oficial de Bomberos
Bogotá D.C</t>
  </si>
  <si>
    <t>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t>
  </si>
  <si>
    <t>Adicion y prorroga a la orden de compra 121621, identificada con el numero de contrato 618-2023, cuyo objeto es  “Contratar el servicio de nube publica para la U.A.E Cuerpo Oficial de Bomberos de Bogotá - TIC”</t>
  </si>
  <si>
    <t>Actualización y renovación para ASMS( Aranda service manangment suite), soporte y mantenimiento del licenciamiento Software Aranda para la U.A.E. Cuerpo Oficial de Bomberos Bogota - TIC</t>
  </si>
  <si>
    <t xml:space="preserve">81112222
81111811
43231501
43231513 </t>
  </si>
  <si>
    <t xml:space="preserve">Austeridad 5% en los proyectos que tengan
definidos productos de fortalecimiento institucional </t>
  </si>
  <si>
    <t>Prestar servicios profesionales en la Dirección General para el manejo de redes sociales, divulgación, socialización de información y apoyo periodístico, requerido en el marco de la estrategia de comunicaciones y prensa de la UAECOB.</t>
  </si>
  <si>
    <t>Prestar servicios profesionales para orientar las actividades relacionadas con la implementación del Sistema de Administración del Riesgo de Lavado de Activos y Financiación del Terrorismo (SARLAFT) en la Unidad Administrativa Especial Cuerpo Oficial de Bomberos de Bogotá.</t>
  </si>
  <si>
    <t>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t>
  </si>
  <si>
    <t>SGH - Prestar servicios de apoyo a la gestión para acompañar a la Subdirección de Gestión Humana para en la realización de las actividades referentes al Plan de Bienestar e Incentivos.</t>
  </si>
  <si>
    <t>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</si>
  <si>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t>
  </si>
  <si>
    <t>Prestar servicios profesionales para ejercer las labores de secretaría común y actividades jurídicas que requieren las actuaciones disciplinarias en etapa de instrucción adelantadas por la Oficina de Control Disciplinario Interno.</t>
  </si>
  <si>
    <t>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t>
  </si>
  <si>
    <t>Prestar servicio de apoyo a la gestión para asistir a la Subdirección Logística en el seguimiento técnico y administrativo de los mantenimientos requeridos en la Subdirección Logística - SBLG</t>
  </si>
  <si>
    <t>Prestación de servicios profesionales, para apoyar la estructuración y seguimiento de los asuntos contractuales y jurídicos que requiera la Subdirección Logística en el ámbito de su competencia.- SBLG</t>
  </si>
  <si>
    <t>Prestar servicios de apoyo en la gestión administrativa y documental de los procesos contractuales relacionados con el mantenimiento del parque automotor a cargo de la Subdirección Logística -SBLG.</t>
  </si>
  <si>
    <t>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t>
  </si>
  <si>
    <t>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</si>
  <si>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</si>
  <si>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Adquisición de insumos para la administración de emergencia_SGR</t>
  </si>
  <si>
    <t>Prestar servicio de apoyo en las actividades de identificación de escenarios a cargo de la Subdirección de Gestión del Riesgo._SGR</t>
  </si>
  <si>
    <t>Prestación de servicios profesionales para  apoyar los procesos contractuales de la Subdirección Operativa en todas sus etapas, seguimiento financiero y apoyo técnico con base en las necesidades propias de la dependencia S.O.</t>
  </si>
  <si>
    <t>Prestación de servicios profesionales para  apoyar los procesos contractuales de la Subdirección Operativa en todas sus etapas y apoyo técnico en los proyectos y procesos de la dependencia S.O.</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</si>
  <si>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t>
  </si>
  <si>
    <t>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t>
  </si>
  <si>
    <t>Prestación de servicios profesionales, con autonomía técnica y administrativa para brindar  soporte jurídico a la Subdirección Operativa, en la proyección de solicitudes dirigidas a autoridades administrativas, en la sustanciación de respuestas a PQR´s   y a requerimientos que efectúen los entes de control y autoridades, en el marco de los procesos y procedimientos a cargo de la dependencia. S.O.</t>
  </si>
  <si>
    <t>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</si>
  <si>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Prestar los servicios profesionales para apoyar a la Subdirección Operativa en el fortalecimiento de los procesos de formación y capacitación al personal operativo y administrativo, en articulación con la academia y demás áreas de la entidad S.O.</t>
  </si>
  <si>
    <t>Prestación de servicios de apoyo a la gestión en las actividades documentales, administrativas y manejo de las herramientas de gestión que demanda la Subdirección Operativa S.O.</t>
  </si>
  <si>
    <t>Adquisición de elementos y accesorios para el grupo especializado UARBO de la UAECOB.</t>
  </si>
  <si>
    <t>Adquisición de elementos y accesorios para el grupo especializado BRAE de la UAECOB.</t>
  </si>
  <si>
    <t>49141503;49141504;
49141505;49141506;
49141507</t>
  </si>
  <si>
    <t>41102600;
11162108;
45121522</t>
  </si>
  <si>
    <t>Prestación de servicios para apoyar  la gestión administrativa y documental requerida a cargo de la Subdirección Operativa  S.O.</t>
  </si>
  <si>
    <t>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t>
  </si>
  <si>
    <t>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t>
  </si>
  <si>
    <t>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t>
  </si>
  <si>
    <t>Prestación de servicios de apoyo en las actividades asociadas a los procesos administrativo de la Subdirección de Gestión Corporativa- SGC</t>
  </si>
  <si>
    <t>Prestar los servicios profesionales para el acompañamiento y seguimiento de los planes y proyectos del grupo del almacén de la Subdireccion de Gestión Corporativa-SGC</t>
  </si>
  <si>
    <t>Adquisición de elementos de menaje para la sede comando de la UAECOB-SGC</t>
  </si>
  <si>
    <t xml:space="preserve">Suministro y mantenimiento de equipos de higienización, desodorización y aromatización para la sede admistratica de comando de la UAECOB </t>
  </si>
  <si>
    <t>Adquisición de aviso de alto impacto visual para la recordación permanente del  edificio comando de la UAECOB-SGC</t>
  </si>
  <si>
    <t>48101800;
48101915;
24112601;
49121509;</t>
  </si>
  <si>
    <t>76101501;
47131829;</t>
  </si>
  <si>
    <t>55121715;</t>
  </si>
  <si>
    <t>82121700;
82101500,;
82101600;
81161500;
13111203;
81112200;
55121700;</t>
  </si>
  <si>
    <t>Adición No. 1 al contrato 478 de 2024 que tiene como objeto "Mantenimiento preventivo y correctivo, que incluye el suministro de insumos y repuestos de las lavadoras y secadoras industriales ubicadas en las estaciones de bomberos de la UAE Cuerpo Oficial de Bomberos de Bogotá-SGC</t>
  </si>
  <si>
    <t>47111500;
47111502;
47111503;
73151802;
73152100;</t>
  </si>
  <si>
    <t>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t>
  </si>
  <si>
    <t>72102104; 76101503; 70111503; 72154055; 70111703; 70111706;</t>
  </si>
  <si>
    <t>Adición No. 6 y prórroga No. 7 al contrato 409 de 2021 que tiene como objeto "Prestar los servicios de Custodia, Consulta y Traslado Documental de Acuerdo a las especificaciones Técnicas y requisitos contemplados en la normatividad Archivística Vigente-SGC</t>
  </si>
  <si>
    <t>Prestar los servicios profesionales en el area de inventarios de la Subdireccion de Gestión Corporativa-SGC</t>
  </si>
  <si>
    <t>Prestar servicios de apoyo a la gestión en las actividades de monitoreo, seguimiento y reporte de información del Centro de Coordinación y Comunicaciones de la Subdirección Operativa.</t>
  </si>
  <si>
    <t>Prestación de servicios profesionales en asuntos de comunicaciones y prensa para apoyar la conducción, presentación y divulgación de contenidos audiovisuales e informativos relacionados con la misionalidad de la UAECOB.</t>
  </si>
  <si>
    <t>Prestar servicios profesionales jurídicos en la Dirección General de la UAECOB en la revisión, gestión y seguimiento de temas de infraestructura, POT, plan maestro de equipamiento y procesos contractuales y estratégicos de la misionalidad de la Entidad</t>
  </si>
  <si>
    <t>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t>
  </si>
  <si>
    <t>SGH - Prestar los servicios de capacitación, formación y entrenamiento en cursos especializados  para el personal operativo de la UAE Cuerpo Oficial de Bomberos  de Bogotá en el marco del PIC</t>
  </si>
  <si>
    <t>SGH - Adquisición de elementos, herramientas y accesorios para  EQUIPAMIENTO DE MAQUINAS E INCENDIOS necesario para el desarrollo de entrenamiento de la Academia UAE Cuerpo Oficial de Bomberos de Bogotá</t>
  </si>
  <si>
    <t>SGH -Contratar la realización de los exámenes Médicos Ocupacionales para el personal de la UAE Cuerpo Oficial de Bomberos de Bogotá</t>
  </si>
  <si>
    <t>SGH - Contratar la Prestación de Servicios para desarrollar el Plan de Bienestar de la UAE Cuerpo Oficial de Bomberos para la Vigencia 2025</t>
  </si>
  <si>
    <t>SGH - Adquirir elementos de protección personal para prevenir la aparición de enfermedades ocupacionales en el oido, del personal operativo de la UAE Cuerpo Oficial de Bomberos de Bogotá</t>
  </si>
  <si>
    <t>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</si>
  <si>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Adquisicion de las lavadoras industriales para las instalaciones de la UAE Cuerpo Oficial de Bomberos de Bogotá-SGC</t>
  </si>
  <si>
    <t>Adquisición de andamios, escaleras certificadas, y elementos de protección personal para la seguridad y salud en el trabajo en el desarrollo de actividades locativas de las estaciones y demás instalaciones de la UAECOB-SGC.</t>
  </si>
  <si>
    <t>30191502; 30191501; 46182307; 46182314; 49211805; 46182002; 46181900; 46182304;</t>
  </si>
  <si>
    <t>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t>
  </si>
  <si>
    <t>Pago de pasivo exigible UAECOB-contrato No. 125 de 2022</t>
  </si>
  <si>
    <t>Prestar servicios de apoyo a la gestión en las actividades de soporte operacional de la UAECOB Subdirección Logística. SBLG</t>
  </si>
  <si>
    <t>pago pasivo exigible de "Adición y Prorroga cto 495 de 2022 cuyo objeto es Prestar servicios profesionales para las actividades misionales de la Subdirección de Gestión del Riesgo._SGR"</t>
  </si>
  <si>
    <t>Adicion y Prorroga del cto 333 2024 , cuyo objeto es  "Contratar el servicio de revision técnico mecánica y de emision de gases contaminantes para los vehiculos que forman parte del parque automotor de la Unidad Administrativa Especial Cuerpo Oficial de Bomberos de Bogotá - UAECOB-SBLG"</t>
  </si>
  <si>
    <t xml:space="preserve">Prestar servicios de apoyo en asuntos administrativos, financieros, documentales y emisión de informes a cargo de la Subdireccion Logística-SBLG.  </t>
  </si>
  <si>
    <t>Adicion y prorroga al contato 398 de 2024 que tiene como objeto  "Prestar el servicio de mantenimiento preventivo y correctivo, de latonería y pintura, incluyendo el suministro de repuestos, insumos y mano de obra especializada para los vehículos pertenecientes al parque automotor de la UAE Cuerpo Oficial de Bomberos de Bogotá D.C.</t>
  </si>
  <si>
    <t>Prestar servicios profesionales en materia administrativa,optimizando los procesos de la dependencia a través de la gestión de herramientas tecnológicas y documentales con las que se cuenten a la Subdirección Logística – SBLG.</t>
  </si>
  <si>
    <t>Construcción y adecuación de la estación de bomberos de Caobos Salazar B-13 de la UAE Cuerpo Oficial de Bomberos de Bogotá – SGC</t>
  </si>
  <si>
    <t>Interventoría técnica, administrativa, financiera, contable, jurídica y ambiental para Construcción y adecuación de la estación de bomberos de Caobos Salazar B-13 de la UAE Cuerpo Oficial de Bomberos de Bogotá – SGC</t>
  </si>
  <si>
    <t>Adición No. 1 y Prorroga No 2 del CTO 357 de 2024 - Realizar el mantenimiento predictivo, preventivo, correctivo, mejoras y dotación a las instalaciones de las dependencias de la Unidad Administrativa Especial Cuerpo Oficial de Bomberos de Bogotá D.C. - SGC</t>
  </si>
  <si>
    <t>Adición No. 1 y prorroga No. 3 al contrato 779 de 2024 que tiene como objeto “Adquisición de mobiliario para la dotación de las instalaciones de la UAE cuerpo oficial de bomberos Bogotá- SGC."</t>
  </si>
  <si>
    <t>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t>
  </si>
  <si>
    <t>56101500;
56101700;
56101900;
56111500</t>
  </si>
  <si>
    <t>40102000;
72121400;
72101500;
72151700;
73152100
;95121700;
40101800; 48101500;</t>
  </si>
  <si>
    <t>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t>
  </si>
  <si>
    <t>prestación de servicios profesionales en consolidación y reporte de la información técnica de la estrategia de preparativos de la UAE cuerpo oficial de bomberos de bogotá s.o.</t>
  </si>
  <si>
    <t>Pago pasivo exigible Subdirección Operativa</t>
  </si>
  <si>
    <t>Prestar servicios de asesoría jurídica especializada en la estructuración, seguimiento y revisión de  las acciones, actividades, procesos contractuales y procedimientos asociados al proceso de manejo a cargo de la Subdirección Operativa.</t>
  </si>
  <si>
    <t>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t>
  </si>
  <si>
    <t>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t>
  </si>
  <si>
    <t>Prestación de servicios de apoyo para desarrollar y mantener las condiciones básicas de bienestar de los caninos y de  animales rescatados o recuperados que atiende el grupo BRAE a Cargo de la Subdirección Operativa </t>
  </si>
  <si>
    <t>Adquisición de elementos de protección personal (E.P.P.) para la atención de emergencias de la UAE Cuerpo Oficial de Bomberos de Bogotá</t>
  </si>
  <si>
    <t>Pago pasivo del contrato 149 de 2020 cuyo objeto es: "prestar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t>
  </si>
  <si>
    <t>Pago pasivo del contrato 153 de 2020 cuyo objeto es: "prestar servicios profesionales al área de gestión de recursos tecnológicos en temas relacionados con los procesos de administración de cuentas de correo electrónico, administración en el aplicativo de tarjetas de acceso de la UAECOB, contrato de prestación de servicios 153 de 2020."</t>
  </si>
  <si>
    <t>Contratar el servicio de mantenimiento, soporte técnico y actualización del aplicativo PCT, utilizado por la UAE Cuerpo Oficial de Bomberos de Bogota - TIC</t>
  </si>
  <si>
    <t>SGH - Prestar sus servicios profesionales especializados, en materia de producción audiovisual e imágenes en movimiento, enfocados al fortalecimiento de la imagen y redes institucionales, que sean requeridas por la Subdirección de Gestión Humana</t>
  </si>
  <si>
    <t>SGH - Prestar servicios profesionales en la Subdirección de Gestión Humana en lo referente a la gestión financiera, presupuestal y análisis de las situaciones administrativas derivada del procedimiento de nómina de la entidad</t>
  </si>
  <si>
    <t>SGH - Adquisición de EPP - Elementos de protección personal  APH - Atención prehospitalaria  Y MANIQUIES para el desarrollo del entrenamiento y actividades propios de la Academia UAE Cuerpo Oficial de Bomberos de Bogotá</t>
  </si>
  <si>
    <t>Adicion y prorroga contrato  654 2024 cuyo objeto es "Suministrar repuestos, accesorios e insumos para los equipos menores y transversales de propiedad de la UAECOB. – SBLG",</t>
  </si>
  <si>
    <t xml:space="preserve">Prestación de servicios de apoyo a la gestión para realizar actividades documentales, administrativas relacionadas con los mantenimientos  del parque automotor de la UAECOB - Subdirección Logistica. SBLG </t>
  </si>
  <si>
    <t>Prestar servicios profesionales administrativos en el seguimiento y control en los diferentes procesos  de la Subdirección Logística . -SBGL</t>
  </si>
  <si>
    <t>ADICION Y PRORROGA CTO 791-2024 Contratar un servicio de acceso a la herramienta LMS E-learning, que permita el desarrollo de las capacitaciones virtuales programadas en la UAECOB._SGR</t>
  </si>
  <si>
    <t>43232300
43232500
43233700
86141500
81111800
81112500
86141700</t>
  </si>
  <si>
    <t>Adquisición de elementos de soporte  operacional  para la emergencia_SGR</t>
  </si>
  <si>
    <t>Prestar servicios de apoyo en las actividades de Programas y Campañas de Prevención para la Subdirección de Gestión del Riesgo. _SGR</t>
  </si>
  <si>
    <t>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t>
  </si>
  <si>
    <t>Adición No. 7 y prórroga No. 8 al contrato 409 de 2021 que tiene como objeto "Prestar los servicios de Custodia, Consulta y Traslado Documental de Acuerdo a las especificaciones Técnicas y requisitos contemplados en la normatividad Archivística Vigente-SGC</t>
  </si>
  <si>
    <t>Adquisición de elementos de identificación institucional para el programa comunitario de prevención de incendios forestales_SGR.</t>
  </si>
  <si>
    <t>SGH - Prestar los servicios de  capacitación, formación y entrenamiento para los cursos instructor de fuego nivel II  - Proboard, para el personal operativo de la UAE Cuerpo Oficial de Bomberos  de Bogotá en el marco del PIC</t>
  </si>
  <si>
    <t xml:space="preserve"> 46201001; 42172201; 42171610; 42171612; 46181504; 46181537; 46201002; 42301502</t>
  </si>
  <si>
    <t>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t>
  </si>
  <si>
    <t xml:space="preserve"> </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</si>
  <si>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t>
  </si>
  <si>
    <t>Adcion y prroroga al contratro  696 de 2024. cuyo objeto es :"Prestar el servicio de mantenimiento preventivo y correctivo, de latonería y pintura, incluyendo el suministro de repuestos, insumos y mano de obra especializada para los vehículos livianos pertenecientes al parque automotor de la UAE Cuerpo Oficial de Bomberos de Bogotá DC, "</t>
  </si>
  <si>
    <t>Adición  del Cto 557 de 2024 cuyo objeto "Prestación de servicios médicos veterinarios, con suministro de medicamentos e insumos veterinarios, para los caninos de la U.A.E. Cuerpo Oficial de Bomberos de Bogotá - SBLG</t>
  </si>
  <si>
    <t>46191506;46191601</t>
  </si>
  <si>
    <t>Suministro de insumos para lavandería-SGC</t>
  </si>
  <si>
    <t>Pago pasivo del contrato 420 de 2022 cuyo objeto es: "prestar servicios profesionales para apoyar a la Oficina Asesora de Planeación en la formulación, seguimiento y control presupuestal y estratégico de los proyectos de inversión de la Entidad.-OAP, CONTRATO DE PRESTACION DE SERVICIOS PROFESIONALES 420 DE 2022."</t>
  </si>
  <si>
    <t>Pago pasivo del contrato 270 de 2022 cuyo objeto es: "Adición y prórroga al Contrato 270 de 2022 cuyo objeto es "Prestar servicios profesionales en la Oficina Asesora de Planeación para liderar el fortalecimiento y cumplimiento de la Gestión Estratégica y la mejora continua en la entidad -OAP-", Otro Si No. 02 de 2022."</t>
  </si>
  <si>
    <t>Pago pasivo del contrato 271 de 2023 cuyo objeto es: "Prestar servicios profesionales en la Oficina Asesora de Planeación de la UAE Cuerpo Oficial de Bomberos de Bogotá en el control y seguimiento del cumplimiento al Modelo Integrado de Planeación y Gestión - MIPG-OAP, CONTRATO DE PRESTACION DE SERVICIOS PROFESIONALES"</t>
  </si>
  <si>
    <t>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t>
  </si>
  <si>
    <t xml:space="preserve">
Pago pasivo del contrato 406 de 2020 cuyo objeto es: "prestar servicios profesionales a la Oficina Asesora de Planeación, en el marco de los procesos y procedimientos que adelanta la dependencia, contrato de prestación de servicios 406 de 2020."</t>
  </si>
  <si>
    <t>Adición y prórroga al contrato 61 de 2025 cuyo objeto es: "Prestar los servicios profesionales jurídicos especializados en la Oficina Jurídica que garantice la verificación de la legalidad, en apoyo a cada una de las actuaciones a cargo de esta Oficina".</t>
  </si>
  <si>
    <t>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t>
  </si>
  <si>
    <t>81111500; 81111900; 81112200; 43232400; 43231500</t>
  </si>
  <si>
    <t>Adquisición de un certificado digital servidor seguro SSL para múltiples subdominios y aplicaciones para los sistemas misionales de la UAE cuerpo oficial de bomberos de Bogotá</t>
  </si>
  <si>
    <t>Adicion y Prorrga Contrato  801 de 2024.cuyo objeto es "Contratar el mantenimiento y recarga de los extintores y otros elementos pertinentes a la U.A.E.Cuerpo Oficial de Bomberos de Bogotá. - SBLG"</t>
  </si>
  <si>
    <t>60121200
60121000
60121500
60121600</t>
  </si>
  <si>
    <t>53121502
24112411
24112412
24112401
24112902</t>
  </si>
  <si>
    <t>53103100
53102500</t>
  </si>
  <si>
    <t>56101900
60131500</t>
  </si>
  <si>
    <t xml:space="preserve">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t>
  </si>
  <si>
    <t xml:space="preserve">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t>
  </si>
  <si>
    <t xml:space="preserve">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t>
  </si>
  <si>
    <t xml:space="preserve">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t>
  </si>
  <si>
    <t xml:space="preserve">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t>
  </si>
  <si>
    <t xml:space="preserve">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t>
  </si>
  <si>
    <t xml:space="preserve">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"realizar la adecuación y mejoramiento de las instalaciones de las estaciones de Bomberos de la UAE Cuerpo oficial de Bomberos Bogotá"-SGC. Reconoce el valor de $10´284.691 según factura No. ORL1-1014 del 14 de mayo de 2024. Resolución 0161 de 2025. </t>
  </si>
  <si>
    <t xml:space="preserve">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</si>
  <si>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</si>
  <si>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Adquisición de banderas con astas y accesorios para las sedes UAECOB-SGC</t>
  </si>
  <si>
    <t>Contratar la renovación , servicio de actualización y soporte de licenciamiento Oracle para Base de Datos,  y Web Logic para la U.A.E. Cuerpo Oficial de Bomberos de Bogotá - TIC</t>
  </si>
  <si>
    <t>Pago pasivo del contrato No. 624 de 2020, cuyo objeto es “Prestar servicios profesionales en la oficina asesora de planeación para elaborar, ejecutar y poner en marcha sistemas de información de la entidad”</t>
  </si>
  <si>
    <t>Pago pasivo del contrato No. 614 de 2020 Adición y prorroga cuyo objeto es "Prestar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t>
  </si>
  <si>
    <t>Pago pasivo del contrato 230 de 2020 Adición y Prorroga cuyo objeto es "Prestar servicios para dar continuidad a los procesos de soporte técnico, administración, actualización y mantenimiento del Sistema Integrado de Administración dePersonal - SIAP, Otro Si No. 01 de 2020."</t>
  </si>
  <si>
    <t>81112204;81112501</t>
  </si>
  <si>
    <t>Adición y prorróga al contrato No. 785 de 2024 cuyo objeto es "	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</si>
  <si>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t>
  </si>
  <si>
    <t>Adición y prórroga al contrato 164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</si>
  <si>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Adición y prórroga al contrato 40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</si>
  <si>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Pago del pasivo del contrato 646 de 2023 con objeto "Contratar el soporte y mantenimiento preventivo y correctivo con repuestos para los sistemas de video vigilancia de las estaciones de la U.A.E. Cuerpo Oficial de Bomberos de Bogotá - TIC."</t>
  </si>
  <si>
    <t>O23011745032024025508031_</t>
  </si>
  <si>
    <t>Prestar servicios como conductor a la UAECOB, para facilitar el transporte de recurso humano y demás que le sean indicados en la Dirección General en concordancia al marco de sus funciones.</t>
  </si>
  <si>
    <t>46181500;
46181600</t>
  </si>
  <si>
    <t>Prestación de servicios de apoyo a la gestión para ejecutar actividades administrativas y asistenciales, así como el diligenciamiento y seguimiento de las solicitudes en las herramientas de gestión de los procedimientos a cargo de la subdirección operativa -s.o.</t>
  </si>
  <si>
    <t>Adición y prórroga  Contrato  374-2024 cuyo objeto es:   "Prestación del servicio de mantenimiento preventivo y correctivo de los equipos de respiración autónoma Interspiro propiedad de la UAECOB, incluido el suministro de repuestos, insumos y mano de obra especializada"</t>
  </si>
  <si>
    <t>Adicion y prorroga Contrato 580 de 2024 Cuyo objeto es: "Suministro de alimentacion e hidratación para el cuerpo operativo en la atención  de emergencias, entrenamientos, capacitaciones y actividades de prevención. - SBLG"</t>
  </si>
  <si>
    <t>Adición y prórroga  Contrato  394-2024 cuyo objeto es: "Prestar el servicio de instalación, alineación, balanceo y conexos, incluyendo el suministro de llantas a los vehículos del parque automotor de la U.A.E. Cuerpo Oficial de Bomberos de Bogotá - SBLG"</t>
  </si>
  <si>
    <t>Suministro de alimentación e hidratación para el cuerpo operativo en la atención de emergencias, entrenamientos, capacitaciones y actividades de prevención.-SBLG </t>
  </si>
  <si>
    <t xml:space="preserve">72101511, 40151604, 40151691, 81101800 </t>
  </si>
  <si>
    <t>72102900; 
72121400; 
72151700;
72154000;
72101500</t>
  </si>
  <si>
    <t>80101600;
81101500; 
72101500; 
72121400</t>
  </si>
  <si>
    <t>Mantenimiento preventivo y/o correctivo, suministros y repuestos de los equipos gasodomésticos y solares y adecuaciones de las redes de gas natural para las Estaciones de Bomberos de UAE Cuerpo Oficial de Bomberos SGC</t>
  </si>
  <si>
    <t>72151001;
72101503;
72101504; 72101506; 72153208; 72154019;
72154059;
73152106</t>
  </si>
  <si>
    <t>Mantenimiento preventivo y/o correctivo, suministros y repuestos de los electrodomésticos de las instalaciones a cargo de la UAE Cuerpo Oficial de Bomberos Bogotá-SGC</t>
  </si>
  <si>
    <t>Mantenimiento preventivo y/o correctivo, suministros y repuestos de los equipos de gimnasio de las diferentes instalaciones a cargo de la UAE Cuerpo Oficial de Bomberos. -SGC</t>
  </si>
  <si>
    <t>72151802;</t>
  </si>
  <si>
    <t>Prestar los servicios profesionales para el acompañamiento y el seguimiento de los comodatos y demás actividades relacionadas con los procesos y procedimientos de inventarios de la Subdireccion de Gestión Corporativa-SGC</t>
  </si>
  <si>
    <t>Mantenimiento correctivo y preventivo con suministro de repuestos para los Ascensores Edificio Comando-SGC</t>
  </si>
  <si>
    <t xml:space="preserve">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t>
  </si>
  <si>
    <t xml:space="preserve">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t>
  </si>
  <si>
    <t xml:space="preserve">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t>
  </si>
  <si>
    <t>Prestar los servicios profesionales en las actividades asociadas del área de infraestructura que contribuyan para la implementación de procesos y procedimientos para la adecuada prestación del servicio-SGC.</t>
  </si>
  <si>
    <t>46161707,46191605, 46191609, 27111604, 46191603, 30191501, 46161715</t>
  </si>
  <si>
    <t>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t>
  </si>
  <si>
    <t>SGH  - Adquisición de elementos, herramientas y accesorios necesario para el desarrollo de entrenamiento rescate con cuerdas y rescate vehicular de la Academia UAE Cuerpo Oficial de Bomberos de Bogotá. </t>
  </si>
  <si>
    <t>27111801, 27112124, 27112807, 27113101, 46161701, 46161714, 46161715, 46182304, 46182306 </t>
  </si>
  <si>
    <t>SGH - Prestar servicios profesionales para apoyar al equipo líder de la Escuela de Formación Bomberil – Academia, en los procesos y procedimientos administrativos, operativos y pedagógicos que le sean asignados.</t>
  </si>
  <si>
    <t>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t>
  </si>
  <si>
    <t>Prestar servicios profesionales en el levantamiento y procesamiento de cargas laborales en el instrumento dispuesto por la UAE Cuerpo Oficial de Bomberos de Bogotá D.C., que incida en el fortalecimiento de los programas de formación.</t>
  </si>
  <si>
    <t>Prestar servicios profesionales en el levantamiento y procesamiento de cargas laborales en el instrumento dispuesto por la UAE Cuerpo Oficial de Bomberos de Bogotá D.C., que incida en el fortalecimiento de los programas de formación</t>
  </si>
  <si>
    <t>Adición y prórroga Cto. 54 cuyo objeto es: "Prestar los servicios profesionales jurídicos para apoyar las actividades propias de la gestión contractual que adelanta la UAE Cuerpo Oficial de Bomberos"</t>
  </si>
  <si>
    <t>Adición y prórroga Cto. 197  cuyo objeto es: "Prestar los servicios profesionales en la administración, actualización, desarrollo y mantenimiento del Sistema Integrado de Administración de Personal - SIAP para la U.A.E. Cuerpo Oficial de Bomberos Bogotá".</t>
  </si>
  <si>
    <t>Adición y prórroga Cto. 339 cuyo objeto es: "Prestar los servicios profesionales en la estructuración, sustanciación, revisión y trámite de los procesos de contratación y gestión jurídica en el marco de los procesos y procedimientos a cargo de la dirección de la U.A.E. Cuerpo Oficial de Bomberos"</t>
  </si>
  <si>
    <t>Adquisición, actualización y configuración de la plataforma de comunicaciones de Voz IP compatible con la solución actual con la que cuenta la entidad.</t>
  </si>
  <si>
    <t>43191500
43221500
43222800
81161700
72151600</t>
  </si>
  <si>
    <t>Contratar el servicios de mantenimiento para el sistema de atención de turnos de la U.A.E. Cuerpo Ofical de Bomberos de Bogotá - TIC</t>
  </si>
  <si>
    <t>32131023;39121011;43232300</t>
  </si>
  <si>
    <t>Contratar el servicio de actualización y soporte de licenciamiento ArcGIS para la U.A.E. Cuerpo Oficial de Bomberos de Bogotá.- TIC"</t>
  </si>
  <si>
    <t>Contratar el servicio integral para la modernización  de los equipos activos de red como parte de la renovación, de la infraestructura tecnológica de la U.A.E. Cuerpo Oficial de Bomberos de Bogotá.</t>
  </si>
  <si>
    <t>Contratar la modernización integral  tecnológica, soporte y mantenimiento preventivo y correctivo con repuestos, para los sistemas de video vigilancia de la U.A.E. Cuerpo Oficial de Bomberos de Bogotá - TIC.</t>
  </si>
  <si>
    <t>Elaboración de estudios y diseños técnicos para la adecuación de la estación de bomberos de Chapinero B-01  de la UAE Cuerpo Oficial de Bomberos de Bogotá – SGC</t>
  </si>
  <si>
    <t>Interventoría técnica, administrativa, financiera, contable, jurídica y ambiental para la elaboración de estudios y diseños técnicos para la adecuación de la estación de Bomberos de Chapinero B-01 de la UAE Cuerpo Oficial de Bomberos de Bogotá – SGC</t>
  </si>
  <si>
    <t>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t>
  </si>
  <si>
    <t>Adición y prórroga del Contrato 284-2025 cuyo objeto es: "Prestar servicios profesionales jurídicos para apoyar la instrucción y demás actuaciones que deban surtirse en los procesos disciplinarios adelantados por la Oficina de Control Disciplinario Interno."</t>
  </si>
  <si>
    <t>Adición y prórroga del Contrato 295-2025 cuyo objeto es: "Prestar servicios profesionales para ejercer las labores de secretaría común y actividades jurídicas que requieren las actuaciones disciplinarias en etapa de instrucción adelantadas por la Oficina de Control Disciplinario Interno."</t>
  </si>
  <si>
    <t>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t>
  </si>
  <si>
    <t>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t>
  </si>
  <si>
    <t>SGH - Prestar servicios profesionales juridicos para desarrollar actividades en la Subdireccion de Gestion Humana y el area de academia, que contemple el fortalecimiento de los programas de formación y capacitación de la UAE Cuerpo Oficial de Bomberos de Bogotá</t>
  </si>
  <si>
    <t>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t>
  </si>
  <si>
    <t>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t>
  </si>
  <si>
    <t>Adición y prórroga al contrato 262 de 2025, cuyo objeto es SGH - Prestar servicios profesionales juridicos para desarrollar actividades en la Subdireccion de Gestion Humana y el area de academia.</t>
  </si>
  <si>
    <t>Adición y prórroga al contrato 416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</si>
  <si>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Adicion y prorroga contrato 079-2024 cuyo objeto es: "Suministrar combustible para los vehículos, y equipos especializados de la U.A.E. Cuerpo Oficial de Bomberos Bogotá dentro y fuera del perímetro del distrito capital de la  - SBLG"</t>
  </si>
  <si>
    <t>Adicion y prorroga contrato 502-2024 cuyo objeto es: "Proveer el suministro de elementos de bioseguridad e insumos médicos básicos y otros para la atención de emergencias. - SBLG"</t>
  </si>
  <si>
    <t>46161600;72101509;73152108;46191600</t>
  </si>
  <si>
    <t>Contratar los seguros obligatorios "SOAT" para el parque automotor de propiedad de la Unidad Administrativa Especial Cuerpo Oficial de Bomberos Bogotá D.C y de aquellos por los cuales fuere legalmente responsable-SGC</t>
  </si>
  <si>
    <t xml:space="preserve"> Adición No. 2 y Prorroga No 3 del CTO 357 de 2024 cuyo objeto es "Realizar el mantenimiento predictivo, preventivo, correctivo, mejoras y dotación a las instalaciones de las dependencias de la Unidad Administrativa Especial Cuerpo Oficial de Bomberos de Bogotá D.C. - SGC</t>
  </si>
  <si>
    <t xml:space="preserve">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</si>
  <si>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t>
  </si>
  <si>
    <t>43232309; 43233416
43232915; 43233203
43233204; 43233405
43233403; 43233415; 81112201; 81112203; 43233205; 43231500; 43231501; 81111802; 81111808; 81111812; 43233400; 43232907</t>
  </si>
  <si>
    <t>Brindar apoyo en temas propios de gestión documental y de soporte administrativo que se requieran en las actividades desplegadas por la Oficina Jurídica en etapa de juzgamiento de los procesos disciplinarios a cargo</t>
  </si>
  <si>
    <t>Prestar los servicios profesionales jurídicos para apoyar las actuaciones procesales y procedimentales de la Oficina Jurídica</t>
  </si>
  <si>
    <t>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</si>
  <si>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Adición y prórroga del Contrato 056-2025 cuyo objeto es: Prestar servicios profesionales jurídicos especializados en la Oficina de Control Disciplinario Interno de la entidad para orientar y apoyar la gestión de los procesos disciplinarios en etapa de instrucción.</t>
  </si>
  <si>
    <t>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t>
  </si>
  <si>
    <t>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t>
  </si>
  <si>
    <t>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t>
  </si>
  <si>
    <t>Prestar servicios profesionales para apoyar la gestión jurídica y el desarrollo de actividades relacionadas con las funciones de la subdirección de gestión del riesgo_SGR</t>
  </si>
  <si>
    <t>31261500; 31161500; 31161600; 31162300; 31162800; 31171500; 31171700; 39121600; 27121600;72101509</t>
  </si>
  <si>
    <t>70122002; 70122005; 70122006; 70122007; 70122008; 70122009; 70122010; 10110000; 42120000;70122001.</t>
  </si>
  <si>
    <t>46182005; 46171613; 72101509.</t>
  </si>
  <si>
    <t>10121801; 10121802; 10121804</t>
  </si>
  <si>
    <t>90101800;90101600;50192700;50112000;50202311;50201709;50161509;50192110;93131602; 50161500; 50192100; 50181900; 50101700.</t>
  </si>
  <si>
    <t>ADICIÓN Y PRÓRROGA AL CPS 277-2025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</si>
  <si>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300-2025  CUYO OBJETO ES: prestación de servicios para dar el apoyo y realizar  la gestión administrativa requerida  en la estación de bomberos asignada y a cargo de la subdirección operativa  s.o.</t>
  </si>
  <si>
    <t>ADICIÓN Y PRÓRROGA AL CPS 301-2025  CUYO OBJETO ES: prestación de servicios para dar el apoyo y realizar  la gestión administrativa requerida  en la estación de bomberos asignada y a cargo de la subdirección operativa  s.o.</t>
  </si>
  <si>
    <t>ADICIÓN Y PRÓRROGA AL CPS 303-2025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</si>
  <si>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305-2025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</si>
  <si>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312-2025  CUYO OBJETO ES: prestación de servicios para dar el apoyo y realizar  la gestión administrativa requerida  en la estación de bomberos asignada y a cargo de la subdirección operativa  s.o.</t>
  </si>
  <si>
    <t>ADICIÓN Y PRÓRROGA AL CPS 313-2025  CUYO OBJETO ES: prestación de servicios para dar el apoyo y realizar  la gestión administrativa requerida  en la estación de bomberos asignada y a cargo de la subdirección operativa  s.o.</t>
  </si>
  <si>
    <t>Prestación de servicios profesionales para  apoyar jurídicamente los  proyectos, procesos y procedimientos a cargo de la Subdirección Operativa-S.O.</t>
  </si>
  <si>
    <t>80111600H47:S48H47:U48</t>
  </si>
  <si>
    <t>UTILIZACIÓN LISTA DE ELEGIBLES CNSC PARA PROVISIÓN DE VACANTES</t>
  </si>
  <si>
    <t>Pago de pasivos exigibles ROBINSON LUIS CASARRUBIA CARDONA</t>
  </si>
  <si>
    <t>43233200; 72151700</t>
  </si>
  <si>
    <t>Prestación de servicios profesionales para estructurar, definir y verificar en los aspectos técnicos de los diferentes procesos de contratación de bienes y servicios de la Subdirección Operativa en las etapas precontractual, contractual y postcontractual.</t>
  </si>
  <si>
    <t>Adición y prórroga No. 1 al contrato 112 de 2025  que tiene como objeto "Contratar la prestación del servicio de aseo y cafetería incluido insumos para la UAE Cuerpo Oficial de Bomberos -SGC"</t>
  </si>
  <si>
    <t xml:space="preserve">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t>
  </si>
  <si>
    <t xml:space="preserve">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t>
  </si>
  <si>
    <t xml:space="preserve"> Reconocimiento y pago Pasivo Exigible contrato de consultoría No 564 de 2021 suscrito con INTER OBRAS GR SAS cuyo objeto  Mantenimiento y/o rehabilitación de sala de máquinas y área de acceso de las instalaciones de la UAE Cuerpo Oficial de Bomberos de Bogotá.-SGC</t>
  </si>
  <si>
    <t xml:space="preserve">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t>
  </si>
  <si>
    <t>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t>
  </si>
  <si>
    <t>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t>
  </si>
  <si>
    <t>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t>
  </si>
  <si>
    <t>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t>
  </si>
  <si>
    <t>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t>
  </si>
  <si>
    <t>Adición y prórroga al contrato 004 de 2025 cuyo objeto es: Prestación de servicios de apoyo a la gestión como conductor para atender los diferentes requerimientos e incidentes en la Oficina Asesora de Planeación</t>
  </si>
  <si>
    <t>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</si>
  <si>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t>
  </si>
  <si>
    <t>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</si>
  <si>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Prestación de servicios profesionales para el desarrollo de las actividades asignadas de acuerdo con el plan de trabajo de la implementación del Sistema de Gestión de la Calidaden el marco del Modelo Integrado de Planeación y Gestión (MIPG)</t>
  </si>
  <si>
    <t>Prestar servicios de apoyo a la gestión para la ejecución de actividades asistenciales, administrativas y de gestión documental que se requieran en la implementación del sistema de gestión de la calidad.</t>
  </si>
  <si>
    <t>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</si>
  <si>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</si>
  <si>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</si>
  <si>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Adición y prórroga al contrato 234 de 2025 cuyo objeto es: Prestar servicios asistenciales en el desarrollo de actividades relacionadas con la gestión administrativa en la Oficina Asesora de Planeación de la Unidad Administrativa Especial Cuerpo Oficial de Bomberos de Bogotá.</t>
  </si>
  <si>
    <t>Adición y prórroga al Contrato 072 de 2025 con objeto "Prestación de servicios de profesionales a la gestión en la Dirección para el acompañamiento en las labores administrativas en asuntos de Comunicaciones y Prensa de la UAECOB"</t>
  </si>
  <si>
    <t>Suministro de contenedores y bidones con su respectiva señalización, los cuáles permitan garantizar la segregación de residuos  aprovechables, no aprovechables y peligrosos, generados por las Estaciones y Edificio Comando de la UAE Cuerpo Oficial de Bomberos de Bogotá en cumplimiento de la normatividad ambiental vigente</t>
  </si>
  <si>
    <t>Adquisicion de las lavadoras y secadoras industriales para las instalaciones de la UAE Cuerpo Oficial de Bomberos de Bogotá-SGC</t>
  </si>
  <si>
    <t>Adquisicion de equipos gasodomésticos y solares para las instalaciones de la UAE Cuerpo Oficial de Bomberos -SGC</t>
  </si>
  <si>
    <t>Adquisicion de equipos electrodomésticos para las instalaciones de la UAE Cuerpo Oficial de Bomberos- SGC</t>
  </si>
  <si>
    <t>Adquisicion de equipos de gimnasio para las instalaciones de la UAE Cuerpo Oficial de Bomberos- SGC</t>
  </si>
  <si>
    <t>Adquisición de elementos para el fortalecimiento de la imagen institucional y la identidad visual de la UAECOB-SGC</t>
  </si>
  <si>
    <t>Adquisición de Estanteria proceso de Gestión Documental UAECOB-SGC</t>
  </si>
  <si>
    <t>Adquisición de elementos necesarios para la adecuación de espacios destinados a la prestación del servicio de alimentación en entornos colectivos o institucionales. de la UAECOB-SGC</t>
  </si>
  <si>
    <t>Adición y prórroga No.1 al contrato 492 de 2025 que tiene por objeto" Prestar el servicio de vigilancia y seguridad privada en la modalidad de vigilancia fija, según especificaciones técnicas, en las instalaciones donde la UAE Especial Cuerpo Oficial de Bomberos requiera-SGC"</t>
  </si>
  <si>
    <t>24121807;
47121709;
55121704;
55121705;
55121718</t>
  </si>
  <si>
    <t>48101500; 40101800; 40102000</t>
  </si>
  <si>
    <t>24131500;52141500;52151600; 52152000;52152300</t>
  </si>
  <si>
    <t>49201501; 49201503; 49201516; 
 49201604</t>
  </si>
  <si>
    <t>82121700;
82101500,;
82101600;
81112200;
55121700</t>
  </si>
  <si>
    <t>24102000;</t>
  </si>
  <si>
    <t>8173 11-Gestionar el 100% de las necesidades de bienes y servicios a la infraestructura en funcionamiento</t>
  </si>
  <si>
    <t>O2320201003063694012 Recipientes de material plástico-canecas para la basura</t>
  </si>
  <si>
    <t>O2320201002072719002 Estandartes y banderas</t>
  </si>
  <si>
    <t>O2320201003023262002 Carteles y avisos</t>
  </si>
  <si>
    <t>O2320101004010102 Muebles del tipo utilizado en la oficina</t>
  </si>
  <si>
    <t>O2320201003073722102 Utensilios de loza para mesa y la cocina</t>
  </si>
  <si>
    <t xml:space="preserve"> Reconocimiento y pago Pasivo Exigible contrato de interventoría No 510 de 2022 suscrito con MC ARQUITECTOS S A, cuyo objeto es Elaboración de estudios y diseños técnicos para la construcción de la estación de bomberos de Caobos Salazar B-13 de la UAE Cuerpo Oficial de Bomberos de Bogotá – SGC</t>
  </si>
  <si>
    <t xml:space="preserve">adicion y prorroga al contrato No. 10 de 2025, cuyo objeto es: ¨Prestación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t>
  </si>
  <si>
    <t>Mantenimiento correctivo y preventivo de los equipos menores con suministro, repuestos, accesorios e insumos de propiedad de la UAECOB. – SBLG </t>
  </si>
  <si>
    <t>Adicion y prorroga CTO  71-2025 "Prestar servicios de apoyo administrativos apoyando a la Subdirección de Gestión del Riesgo con lo relacionado al seguimiento y control de sus solicitudes y peticiones._SGR</t>
  </si>
  <si>
    <t>Adicion y prorroga CTO  179-2025  Prestar sus servicios profesionales en las actividades relacionadas con la emision de conceptos a cargo de la Subdirección de Gestión del Riesgo._SGR</t>
  </si>
  <si>
    <t>Adicion y prorroga CTO  145-2025 Prestar servicios profesionales en las actividades de identificacion de escenarios a cargo de la Subdirección de Gestión del Riesgo._SGR</t>
  </si>
  <si>
    <t>Adicion  y prorroga CTO 496-2025 Adquisición de elementos de identificación institucional para el programa comunitario de prevención de incendios forestales_SGR.</t>
  </si>
  <si>
    <t>Adicion y Prorroga Cto 96 -2025 Prestar servicios profesionales en las actividades de identificacion de escenarios a cargo de la Subdirección de Gestión del Riesgo._SGR</t>
  </si>
  <si>
    <t>Adicion  y prorroga CTO 788-2024 Adquisición de elementos de identificación institucional para el personal de la UAECOB _SGR.</t>
  </si>
  <si>
    <t>Adicion y prorroga CTO 177-2025  Prestar servicios profesionales en las actividades de identificacion de escenarios a cargo de la Subdirección de Gestión del Riesgo._SGR</t>
  </si>
  <si>
    <t>Adicion y prorroga CTO 74-2025 prestar servicios profesionales liderando las actividades de caracterización de escenarios y monitoreo de gestión del riesgo.SGR</t>
  </si>
  <si>
    <t>Adicion y prorroga CTO  114-2025 Prestar sus servicios profesionales en las actividades relacionadas con la emision de conceptos a cargo de la Subdirección de Gestión del Riesgo._SGR</t>
  </si>
  <si>
    <t>Adicion y prorroga Cto 108-2025 Prestar servicios profesionales para realizar las actividdaes relacionadas con la emision de conceptos a cargo de la Subdirección de Gestión del Riesgo._SGR</t>
  </si>
  <si>
    <t>Adicion y prorroga  CTO  169-2025 Prestar servicios profesionales en las actividades de Programas y Campañas de Prevención para la Subdirección de Gestión del Riesgo._SGR</t>
  </si>
  <si>
    <t>11000000
53101800
53101802
53101804</t>
  </si>
  <si>
    <t>Versión No. 12 - PLAN DISTRITAL DE DESARROLLO "BOGOTÁ CAMINA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</si>
</sst>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24"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ont>
  </fonts>
  <fills count="4">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78">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3" fillId="0" borderId="0" xfId="0" applyNumberFormat="1" applyFont="1" applyAlignment="1" applyProtection="1">
      <alignment vertical="center" wrapText="1"/>
      <protection locked="0"/>
    </xf>
    <xf numFmtId="165" fontId="13" fillId="0" borderId="0" xfId="0" applyNumberFormat="1" applyFont="1" applyAlignment="1">
      <alignment horizontal="center"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165" fontId="15" fillId="0" borderId="1" xfId="2" applyNumberFormat="1" applyFont="1" applyFill="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center" vertical="center" wrapText="1"/>
      <protection locked="0"/>
    </xf>
    <xf numFmtId="165"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protection locked="0"/>
    </xf>
    <xf numFmtId="0" fontId="14" fillId="0" borderId="7" xfId="2" applyNumberFormat="1" applyFont="1" applyFill="1" applyBorder="1" applyAlignment="1" applyProtection="1">
      <alignment horizontal="center" vertical="center" wrapText="1"/>
      <protection locked="0"/>
    </xf>
    <xf numFmtId="43" fontId="15" fillId="0" borderId="0" xfId="0" applyNumberFormat="1" applyFont="1" applyAlignment="1" applyProtection="1">
      <alignment vertical="center" wrapText="1"/>
      <protection locked="0"/>
    </xf>
    <xf numFmtId="0" fontId="14" fillId="0" borderId="1" xfId="2" applyNumberFormat="1" applyFont="1" applyFill="1" applyBorder="1" applyAlignment="1" applyProtection="1">
      <alignment horizontal="center" vertical="center" wrapText="1"/>
      <protection locked="0"/>
    </xf>
    <xf numFmtId="1" fontId="14" fillId="0" borderId="1" xfId="4"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wrapText="1"/>
      <protection locked="0"/>
    </xf>
    <xf numFmtId="165" fontId="3" fillId="0" borderId="3"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43" fontId="3" fillId="0" borderId="1" xfId="2" applyFont="1" applyFill="1" applyBorder="1" applyAlignment="1" applyProtection="1">
      <alignment horizontal="center" vertical="center" wrapText="1"/>
      <protection locked="0"/>
    </xf>
    <xf numFmtId="0" fontId="14" fillId="0" borderId="10" xfId="2" applyNumberFormat="1" applyFont="1" applyFill="1" applyBorder="1" applyAlignment="1" applyProtection="1">
      <alignment horizontal="center" vertical="center" wrapText="1"/>
      <protection locked="0"/>
    </xf>
    <xf numFmtId="0" fontId="14" fillId="0" borderId="3" xfId="2" applyNumberFormat="1" applyFont="1" applyFill="1" applyBorder="1" applyAlignment="1" applyProtection="1">
      <alignment horizontal="center" vertical="center" wrapText="1"/>
      <protection locked="0"/>
    </xf>
    <xf numFmtId="1" fontId="14" fillId="0" borderId="3" xfId="4" applyNumberFormat="1" applyFont="1" applyFill="1" applyBorder="1" applyAlignment="1" applyProtection="1">
      <alignment horizontal="center" vertical="center" wrapText="1"/>
      <protection locked="0"/>
    </xf>
    <xf numFmtId="1" fontId="14" fillId="0" borderId="3" xfId="2" applyNumberFormat="1" applyFont="1" applyFill="1" applyBorder="1" applyAlignment="1" applyProtection="1">
      <alignment horizontal="center" vertical="center"/>
      <protection locked="0"/>
    </xf>
    <xf numFmtId="165" fontId="14" fillId="0" borderId="3" xfId="2" applyNumberFormat="1" applyFont="1" applyFill="1" applyBorder="1" applyAlignment="1" applyProtection="1">
      <alignment horizontal="center" vertical="center" wrapText="1"/>
      <protection locked="0"/>
    </xf>
    <xf numFmtId="43" fontId="3" fillId="0" borderId="3" xfId="2" applyFont="1" applyFill="1" applyBorder="1" applyAlignment="1" applyProtection="1">
      <alignment horizontal="center" vertical="center" wrapText="1"/>
      <protection locked="0"/>
    </xf>
    <xf numFmtId="0" fontId="20" fillId="0" borderId="10" xfId="2" applyNumberFormat="1" applyFont="1" applyFill="1" applyBorder="1" applyAlignment="1" applyProtection="1">
      <alignment horizontal="center" vertical="center" wrapText="1"/>
      <protection locked="0"/>
    </xf>
    <xf numFmtId="0" fontId="20" fillId="0" borderId="3" xfId="2" applyNumberFormat="1" applyFont="1" applyFill="1" applyBorder="1" applyAlignment="1" applyProtection="1">
      <alignment horizontal="center" vertical="center" wrapText="1"/>
      <protection locked="0"/>
    </xf>
    <xf numFmtId="1" fontId="20" fillId="0" borderId="3" xfId="4" applyNumberFormat="1" applyFont="1" applyFill="1" applyBorder="1" applyAlignment="1" applyProtection="1">
      <alignment horizontal="center" vertical="center" wrapText="1"/>
      <protection locked="0"/>
    </xf>
    <xf numFmtId="1" fontId="20" fillId="0" borderId="3" xfId="2" applyNumberFormat="1" applyFont="1" applyFill="1" applyBorder="1" applyAlignment="1" applyProtection="1">
      <alignment horizontal="center" vertical="center"/>
      <protection locked="0"/>
    </xf>
    <xf numFmtId="165" fontId="20" fillId="0" borderId="3" xfId="2" applyNumberFormat="1" applyFont="1" applyFill="1" applyBorder="1" applyAlignment="1" applyProtection="1">
      <alignment horizontal="center" vertical="center" wrapText="1"/>
      <protection locked="0"/>
    </xf>
    <xf numFmtId="43" fontId="20" fillId="0" borderId="3" xfId="2" applyFont="1" applyFill="1" applyBorder="1" applyAlignment="1" applyProtection="1">
      <alignment horizontal="center" vertical="center" wrapText="1"/>
      <protection locked="0"/>
    </xf>
    <xf numFmtId="0" fontId="20" fillId="0" borderId="7" xfId="2" applyNumberFormat="1" applyFont="1" applyFill="1" applyBorder="1" applyAlignment="1" applyProtection="1">
      <alignment horizontal="center" vertical="center" wrapText="1"/>
      <protection locked="0"/>
    </xf>
    <xf numFmtId="165" fontId="20" fillId="0" borderId="1" xfId="2" applyNumberFormat="1" applyFont="1" applyFill="1" applyBorder="1" applyAlignment="1" applyProtection="1">
      <alignment horizontal="center" vertical="center" wrapText="1"/>
      <protection locked="0"/>
    </xf>
    <xf numFmtId="0" fontId="20" fillId="0" borderId="1" xfId="2" applyNumberFormat="1" applyFont="1" applyFill="1" applyBorder="1" applyAlignment="1" applyProtection="1">
      <alignment horizontal="center" vertical="center" wrapText="1"/>
      <protection locked="0"/>
    </xf>
    <xf numFmtId="0" fontId="22" fillId="0" borderId="1" xfId="2" applyNumberFormat="1" applyFont="1" applyFill="1" applyBorder="1" applyAlignment="1" applyProtection="1">
      <alignment horizontal="center" vertical="center" wrapText="1"/>
      <protection locked="0"/>
    </xf>
    <xf numFmtId="43" fontId="21" fillId="0" borderId="1" xfId="2" applyFont="1" applyFill="1" applyBorder="1" applyAlignment="1" applyProtection="1">
      <alignment horizontal="center" vertical="center" wrapText="1"/>
      <protection locked="0"/>
    </xf>
    <xf numFmtId="165" fontId="21" fillId="0" borderId="1" xfId="2" applyNumberFormat="1" applyFont="1" applyFill="1" applyBorder="1" applyAlignment="1" applyProtection="1">
      <alignment horizontal="center" vertical="center" wrapText="1"/>
      <protection locked="0"/>
    </xf>
    <xf numFmtId="0" fontId="21" fillId="0" borderId="1" xfId="2" applyNumberFormat="1" applyFont="1" applyFill="1" applyBorder="1" applyAlignment="1" applyProtection="1">
      <alignment horizontal="center" vertical="center" wrapText="1"/>
      <protection locked="0"/>
    </xf>
    <xf numFmtId="43" fontId="20" fillId="0" borderId="1" xfId="2" applyFont="1" applyFill="1" applyBorder="1" applyAlignment="1" applyProtection="1">
      <alignment horizontal="center" vertical="center" wrapText="1"/>
      <protection locked="0"/>
    </xf>
    <xf numFmtId="1" fontId="20" fillId="0" borderId="1" xfId="4" applyNumberFormat="1" applyFont="1" applyFill="1" applyBorder="1" applyAlignment="1" applyProtection="1">
      <alignment horizontal="center" vertical="center" wrapText="1"/>
      <protection locked="0"/>
    </xf>
    <xf numFmtId="1" fontId="20" fillId="0" borderId="1" xfId="2" applyNumberFormat="1" applyFont="1" applyFill="1" applyBorder="1" applyAlignment="1" applyProtection="1">
      <alignment horizontal="center" vertical="center"/>
      <protection locked="0"/>
    </xf>
    <xf numFmtId="165" fontId="19" fillId="0" borderId="3" xfId="2" applyNumberFormat="1" applyFont="1" applyFill="1" applyBorder="1" applyAlignment="1" applyProtection="1">
      <alignment horizontal="center" vertical="center" wrapText="1"/>
      <protection locked="0"/>
    </xf>
    <xf numFmtId="43" fontId="19" fillId="0" borderId="3" xfId="2"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165" fontId="0" fillId="0" borderId="0" xfId="0" applyNumberFormat="1"/>
    <xf numFmtId="1" fontId="3" fillId="0" borderId="1" xfId="1" applyNumberFormat="1" applyFont="1" applyFill="1" applyBorder="1" applyAlignment="1" applyProtection="1">
      <alignment horizontal="center" vertical="center" wrapText="1"/>
      <protection locked="0"/>
    </xf>
    <xf numFmtId="0" fontId="15" fillId="0" borderId="3" xfId="5" applyFont="1" applyBorder="1" applyAlignment="1" applyProtection="1">
      <alignment horizontal="center" vertical="center" wrapText="1"/>
      <protection locked="0"/>
    </xf>
    <xf numFmtId="0" fontId="23" fillId="0" borderId="10" xfId="2" applyNumberFormat="1" applyFont="1" applyFill="1" applyBorder="1" applyAlignment="1" applyProtection="1">
      <alignment horizontal="center" vertical="center" wrapText="1"/>
      <protection locked="0"/>
    </xf>
    <xf numFmtId="0" fontId="23" fillId="0" borderId="3" xfId="2" applyNumberFormat="1"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3" xfId="5" applyFont="1" applyBorder="1" applyAlignment="1" applyProtection="1">
      <alignment horizontal="center" vertical="center" wrapText="1"/>
      <protection locked="0"/>
    </xf>
    <xf numFmtId="1" fontId="23" fillId="0" borderId="3" xfId="4" applyNumberFormat="1" applyFont="1" applyFill="1" applyBorder="1" applyAlignment="1" applyProtection="1">
      <alignment horizontal="center" vertical="center" wrapText="1"/>
      <protection locked="0"/>
    </xf>
    <xf numFmtId="1" fontId="23" fillId="0" borderId="3" xfId="0" applyNumberFormat="1" applyFont="1" applyBorder="1" applyAlignment="1" applyProtection="1">
      <alignment horizontal="center" vertical="center" wrapText="1"/>
      <protection locked="0"/>
    </xf>
    <xf numFmtId="1" fontId="23" fillId="0" borderId="3" xfId="2" applyNumberFormat="1" applyFont="1" applyFill="1" applyBorder="1" applyAlignment="1" applyProtection="1">
      <alignment horizontal="center" vertical="center"/>
      <protection locked="0"/>
    </xf>
    <xf numFmtId="165" fontId="23" fillId="0" borderId="3" xfId="2" applyNumberFormat="1" applyFont="1" applyFill="1" applyBorder="1" applyAlignment="1" applyProtection="1">
      <alignment horizontal="center" vertical="center" wrapText="1"/>
      <protection locked="0"/>
    </xf>
    <xf numFmtId="43" fontId="23" fillId="0" borderId="3" xfId="2" applyFont="1" applyFill="1" applyBorder="1" applyAlignment="1" applyProtection="1">
      <alignment horizontal="center" vertical="center" wrapText="1"/>
      <protection locked="0"/>
    </xf>
    <xf numFmtId="0" fontId="23" fillId="0" borderId="3" xfId="5" applyFont="1" applyBorder="1" applyAlignment="1">
      <alignment horizontal="center" vertical="center" wrapText="1"/>
    </xf>
    <xf numFmtId="0" fontId="23" fillId="0" borderId="11" xfId="5" applyFont="1" applyBorder="1" applyAlignment="1" applyProtection="1">
      <alignment horizontal="center" vertical="center" wrapText="1"/>
      <protection locked="0"/>
    </xf>
    <xf numFmtId="0" fontId="19" fillId="0" borderId="7" xfId="2" applyNumberFormat="1" applyFont="1" applyFill="1" applyBorder="1" applyAlignment="1" applyProtection="1">
      <alignment horizontal="center" vertical="center" wrapText="1"/>
      <protection locked="0"/>
    </xf>
    <xf numFmtId="0" fontId="21" fillId="0" borderId="3" xfId="2" applyNumberFormat="1" applyFont="1" applyFill="1" applyBorder="1" applyAlignment="1" applyProtection="1">
      <alignment horizontal="center" vertical="center" wrapText="1"/>
      <protection locked="0"/>
    </xf>
    <xf numFmtId="0" fontId="19" fillId="0" borderId="1" xfId="2" applyNumberFormat="1" applyFont="1" applyFill="1" applyBorder="1" applyAlignment="1" applyProtection="1">
      <alignment horizontal="center" vertical="center" wrapText="1"/>
      <protection locked="0"/>
    </xf>
    <xf numFmtId="1" fontId="19" fillId="0" borderId="1" xfId="4" applyNumberFormat="1" applyFont="1" applyFill="1" applyBorder="1" applyAlignment="1" applyProtection="1">
      <alignment horizontal="center" vertical="center" wrapText="1"/>
      <protection locked="0"/>
    </xf>
    <xf numFmtId="1" fontId="19" fillId="0" borderId="1" xfId="2" applyNumberFormat="1" applyFont="1" applyFill="1" applyBorder="1" applyAlignment="1" applyProtection="1">
      <alignment horizontal="center" vertical="center"/>
      <protection locked="0"/>
    </xf>
    <xf numFmtId="165" fontId="19" fillId="0" borderId="1" xfId="2" applyNumberFormat="1" applyFont="1" applyFill="1" applyBorder="1" applyAlignment="1" applyProtection="1">
      <alignment horizontal="center" vertical="center" wrapText="1"/>
      <protection locked="0"/>
    </xf>
    <xf numFmtId="43" fontId="21" fillId="0" borderId="3" xfId="2" applyFont="1" applyFill="1" applyBorder="1" applyAlignment="1" applyProtection="1">
      <alignment horizontal="center" vertical="center" wrapText="1"/>
      <protection locked="0"/>
    </xf>
    <xf numFmtId="43" fontId="19" fillId="0" borderId="1" xfId="2" applyFont="1" applyFill="1" applyBorder="1" applyAlignment="1" applyProtection="1">
      <alignment horizontal="center" vertical="center" wrapText="1"/>
      <protection locked="0"/>
    </xf>
    <xf numFmtId="43" fontId="14" fillId="0" borderId="1" xfId="2" applyFont="1" applyFill="1" applyBorder="1" applyAlignment="1" applyProtection="1">
      <alignment horizontal="center" vertical="center" wrapText="1"/>
      <protection locked="0"/>
    </xf>
    <xf numFmtId="165" fontId="21" fillId="0" borderId="3" xfId="2" applyNumberFormat="1" applyFont="1" applyFill="1" applyBorder="1" applyAlignment="1" applyProtection="1">
      <alignment horizontal="center" vertical="center" wrapText="1"/>
      <protection locked="0"/>
    </xf>
    <xf numFmtId="43" fontId="3" fillId="0" borderId="0" xfId="2" applyFont="1" applyFill="1" applyAlignment="1" applyProtection="1">
      <alignment vertical="center" wrapText="1"/>
      <protection locked="0"/>
    </xf>
    <xf numFmtId="37" fontId="5" fillId="0" borderId="0" xfId="0" applyNumberFormat="1" applyFont="1" applyAlignment="1" applyProtection="1">
      <alignment horizontal="center" vertical="center"/>
      <protection locked="0"/>
    </xf>
    <xf numFmtId="165" fontId="0" fillId="0" borderId="0" xfId="2" applyNumberFormat="1" applyFont="1" applyFill="1" applyAlignment="1" applyProtection="1">
      <alignment horizontal="center" vertical="center" wrapText="1"/>
      <protection locked="0"/>
    </xf>
    <xf numFmtId="43" fontId="0" fillId="0" borderId="0" xfId="2" applyFont="1" applyFill="1"/>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xf numFmtId="0" fontId="3" fillId="0" borderId="1" xfId="0" applyFont="1" applyFill="1" applyBorder="1" applyAlignment="1" applyProtection="1">
      <alignment horizontal="center" vertical="center" wrapText="1"/>
      <protection locked="0"/>
    </xf>
    <xf numFmtId="0" fontId="3" fillId="0" borderId="1" xfId="5"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1" xfId="5" applyFont="1" applyFill="1" applyBorder="1" applyAlignment="1">
      <alignment horizontal="center" vertical="center" wrapText="1"/>
    </xf>
    <xf numFmtId="0" fontId="15" fillId="0" borderId="1" xfId="5" applyFont="1" applyFill="1" applyBorder="1" applyAlignment="1" applyProtection="1">
      <alignment horizontal="center" vertical="center" wrapText="1"/>
      <protection locked="0"/>
    </xf>
    <xf numFmtId="0" fontId="3" fillId="0" borderId="6" xfId="5"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5"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protection locked="0"/>
    </xf>
    <xf numFmtId="0" fontId="14" fillId="0" borderId="1" xfId="5" applyFont="1" applyFill="1" applyBorder="1" applyAlignment="1">
      <alignment horizontal="center" vertical="center" wrapText="1"/>
    </xf>
    <xf numFmtId="0" fontId="14" fillId="0" borderId="6" xfId="5"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7" xfId="2" applyNumberFormat="1" applyFont="1" applyFill="1" applyBorder="1" applyAlignment="1" applyProtection="1">
      <alignment horizontal="center" vertical="center" wrapText="1"/>
      <protection locked="0"/>
    </xf>
    <xf numFmtId="0" fontId="23" fillId="0" borderId="1" xfId="2" applyNumberFormat="1" applyFont="1" applyFill="1" applyBorder="1" applyAlignment="1" applyProtection="1">
      <alignment horizontal="center" vertical="center" wrapText="1"/>
      <protection locked="0"/>
    </xf>
    <xf numFmtId="0" fontId="23" fillId="0" borderId="1" xfId="5" applyFont="1" applyFill="1" applyBorder="1" applyAlignment="1" applyProtection="1">
      <alignment horizontal="center" vertical="center" wrapText="1"/>
      <protection locked="0"/>
    </xf>
    <xf numFmtId="1" fontId="23" fillId="0" borderId="1" xfId="4" applyNumberFormat="1" applyFont="1" applyFill="1" applyBorder="1" applyAlignment="1" applyProtection="1">
      <alignment horizontal="center" vertical="center" wrapText="1"/>
      <protection locked="0"/>
    </xf>
    <xf numFmtId="1" fontId="23" fillId="0" borderId="1" xfId="0" applyNumberFormat="1" applyFont="1" applyFill="1" applyBorder="1" applyAlignment="1" applyProtection="1">
      <alignment horizontal="center" vertical="center" wrapText="1"/>
      <protection locked="0"/>
    </xf>
    <xf numFmtId="1" fontId="23" fillId="0" borderId="1" xfId="2" applyNumberFormat="1" applyFont="1" applyFill="1" applyBorder="1" applyAlignment="1" applyProtection="1">
      <alignment horizontal="center" vertical="center"/>
      <protection locked="0"/>
    </xf>
    <xf numFmtId="165" fontId="23" fillId="0" borderId="1" xfId="2" applyNumberFormat="1" applyFont="1" applyFill="1" applyBorder="1" applyAlignment="1" applyProtection="1">
      <alignment horizontal="center" vertical="center" wrapText="1"/>
      <protection locked="0"/>
    </xf>
    <xf numFmtId="0" fontId="23" fillId="0" borderId="1" xfId="5" applyFont="1" applyFill="1" applyBorder="1" applyAlignment="1">
      <alignment horizontal="center" vertical="center" wrapText="1"/>
    </xf>
    <xf numFmtId="0" fontId="23" fillId="0" borderId="6" xfId="5" applyFont="1" applyFill="1" applyBorder="1" applyAlignment="1" applyProtection="1">
      <alignment horizontal="center" vertical="center" wrapText="1"/>
      <protection locked="0"/>
    </xf>
    <xf numFmtId="43" fontId="23" fillId="0" borderId="1" xfId="2"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5"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8" fillId="0" borderId="1" xfId="5" applyFont="1" applyFill="1" applyBorder="1" applyAlignment="1">
      <alignment horizontal="center" vertical="center" wrapText="1"/>
    </xf>
    <xf numFmtId="0" fontId="18" fillId="0" borderId="6" xfId="5" applyFont="1" applyFill="1" applyBorder="1" applyAlignment="1" applyProtection="1">
      <alignment horizontal="center" vertical="center" wrapText="1"/>
      <protection locked="0"/>
    </xf>
    <xf numFmtId="0" fontId="15" fillId="0" borderId="1" xfId="5" applyFont="1" applyFill="1" applyBorder="1" applyAlignment="1">
      <alignment horizontal="center" vertical="center" wrapText="1"/>
    </xf>
    <xf numFmtId="0" fontId="14" fillId="0" borderId="1" xfId="0" applyFont="1" applyFill="1" applyBorder="1" applyAlignment="1" applyProtection="1">
      <alignment vertical="center" wrapText="1"/>
      <protection locked="0"/>
    </xf>
    <xf numFmtId="0" fontId="14" fillId="0" borderId="3" xfId="0"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0" fontId="14" fillId="0" borderId="3" xfId="5" applyFont="1" applyFill="1" applyBorder="1" applyAlignment="1">
      <alignment horizontal="center" vertical="center" wrapText="1"/>
    </xf>
    <xf numFmtId="0" fontId="14" fillId="0" borderId="3" xfId="5" applyFont="1" applyFill="1" applyBorder="1" applyAlignment="1" applyProtection="1">
      <alignment horizontal="center" vertical="center" wrapText="1"/>
      <protection locked="0"/>
    </xf>
    <xf numFmtId="0" fontId="15" fillId="0" borderId="3" xfId="5" applyFont="1" applyFill="1" applyBorder="1" applyAlignment="1" applyProtection="1">
      <alignment horizontal="center" vertical="center" wrapText="1"/>
      <protection locked="0"/>
    </xf>
    <xf numFmtId="0" fontId="14" fillId="0" borderId="11" xfId="5" applyFont="1" applyFill="1" applyBorder="1" applyAlignment="1" applyProtection="1">
      <alignment horizontal="center" vertical="center" wrapText="1"/>
      <protection locked="0"/>
    </xf>
    <xf numFmtId="0" fontId="3" fillId="0" borderId="3" xfId="5"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1" fontId="3" fillId="0" borderId="3" xfId="0" applyNumberFormat="1" applyFont="1" applyFill="1" applyBorder="1" applyAlignment="1" applyProtection="1">
      <alignment horizontal="center" vertical="center" wrapText="1"/>
      <protection locked="0"/>
    </xf>
    <xf numFmtId="0" fontId="3" fillId="0" borderId="3" xfId="5" applyFont="1" applyFill="1" applyBorder="1" applyAlignment="1">
      <alignment horizontal="center" vertical="center" wrapText="1"/>
    </xf>
    <xf numFmtId="0" fontId="3" fillId="0" borderId="11" xfId="5"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5"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0" fontId="19" fillId="0" borderId="1" xfId="5" applyFont="1" applyFill="1" applyBorder="1" applyAlignment="1">
      <alignment horizontal="center" vertical="center" wrapText="1"/>
    </xf>
    <xf numFmtId="0" fontId="19" fillId="0" borderId="6" xfId="5"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5"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0" fontId="20" fillId="0" borderId="1" xfId="5"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21" fillId="0" borderId="1" xfId="5" applyFont="1" applyFill="1" applyBorder="1" applyAlignment="1" applyProtection="1">
      <alignment horizontal="center" vertical="center" wrapText="1"/>
      <protection locked="0"/>
    </xf>
    <xf numFmtId="0" fontId="22" fillId="0" borderId="1" xfId="5" applyFont="1" applyFill="1" applyBorder="1" applyAlignment="1">
      <alignment horizontal="center" vertical="center" wrapText="1"/>
    </xf>
    <xf numFmtId="0" fontId="20" fillId="0" borderId="3" xfId="0" applyFont="1" applyFill="1" applyBorder="1" applyAlignment="1" applyProtection="1">
      <alignment horizontal="center" vertical="center" wrapText="1"/>
      <protection locked="0"/>
    </xf>
    <xf numFmtId="0" fontId="21" fillId="0" borderId="3" xfId="5" applyFont="1" applyFill="1" applyBorder="1" applyAlignment="1" applyProtection="1">
      <alignment horizontal="center" vertical="center" wrapText="1"/>
      <protection locked="0"/>
    </xf>
    <xf numFmtId="0" fontId="20" fillId="0" borderId="3" xfId="5" applyFont="1" applyFill="1" applyBorder="1" applyAlignment="1">
      <alignment horizontal="center" vertical="center" wrapText="1"/>
    </xf>
    <xf numFmtId="0" fontId="20" fillId="0" borderId="11" xfId="5"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0" fillId="0" borderId="6" xfId="5" applyFont="1" applyFill="1" applyBorder="1" applyAlignment="1" applyProtection="1">
      <alignment horizontal="center" vertical="center" wrapText="1"/>
      <protection locked="0"/>
    </xf>
    <xf numFmtId="1" fontId="20" fillId="0" borderId="3" xfId="0" applyNumberFormat="1"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87">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2" defaultPivotStyle="PivotStyleLight16"/>
  <colors>
    <mruColors>
      <color rgb="FF66FF66"/>
      <color rgb="FFFF8181"/>
      <color rgb="FFFFFF99"/>
      <color rgb="FF00FFFF"/>
      <color rgb="FFCCFF99"/>
      <color rgb="FF00FF00"/>
      <color rgb="FF66FFCC"/>
      <color rgb="FF99CCFF"/>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simple" dx="17" sel="0" val="0" widthMin="88"/>
</file>

<file path=xl/ctrlProps/ctrlProp2.xml><?xml version="1.0" encoding="utf-8"?>
<formControlPr xmlns="http://schemas.microsoft.com/office/spreadsheetml/2009/9/main" objectType="Drop" dropStyle="simple" dx="17" sel="0" val="0" widthMin="10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652691</xdr:colOff>
      <xdr:row>1</xdr:row>
      <xdr:rowOff>34924</xdr:rowOff>
    </xdr:from>
    <xdr:to>
      <xdr:col>2</xdr:col>
      <xdr:colOff>1968500</xdr:colOff>
      <xdr:row>7</xdr:row>
      <xdr:rowOff>87924</xdr:rowOff>
    </xdr:to>
    <xdr:pic>
      <xdr:nvPicPr>
        <xdr:cNvPr id="1241" name="Imagen 12">
          <a:extLst>
            <a:ext uri="{FF2B5EF4-FFF2-40B4-BE49-F238E27FC236}">
              <a16:creationId xmlns:a16="http://schemas.microsoft.com/office/drawing/2014/main" id="{00000000-0008-0000-01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652691" y="210770"/>
          <a:ext cx="3132886" cy="135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0</xdr:colOff>
          <xdr:row>72</xdr:row>
          <xdr:rowOff>0</xdr:rowOff>
        </xdr:from>
        <xdr:to>
          <xdr:col>3</xdr:col>
          <xdr:colOff>342900</xdr:colOff>
          <xdr:row>72</xdr:row>
          <xdr:rowOff>209550</xdr:rowOff>
        </xdr:to>
        <xdr:sp macro="" textlink="">
          <xdr:nvSpPr>
            <xdr:cNvPr id="1218" name="Control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72</xdr:row>
          <xdr:rowOff>0</xdr:rowOff>
        </xdr:from>
        <xdr:to>
          <xdr:col>3</xdr:col>
          <xdr:colOff>279400</xdr:colOff>
          <xdr:row>72</xdr:row>
          <xdr:rowOff>209550</xdr:rowOff>
        </xdr:to>
        <xdr:sp macro="" textlink="">
          <xdr:nvSpPr>
            <xdr:cNvPr id="1240" name="Control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874.439918750002" createdVersion="8" refreshedVersion="8" minRefreshableVersion="3" recordCount="792" xr:uid="{224FDA94-4868-4292-94FD-02B57C303D43}">
  <cacheSource type="worksheet">
    <worksheetSource name="PAA"/>
  </cacheSource>
  <cacheFields count="28">
    <cacheField name="Id" numFmtId="0">
      <sharedItems containsSemiMixedTypes="0" containsString="0" containsNumber="1" containsInteger="1" minValue="20250001" maxValue="20250853"/>
    </cacheField>
    <cacheField name="Proyecto y nombre " numFmtId="0">
      <sharedItems count="3">
        <s v="8126-Fortalecimiento institucional de la UAECOB para un gobierno confiable Bogotá D.C."/>
        <s v="8173-Modernización de las capacidades del Cuerpo Oficial de Bomberos Bogotá D.C."/>
        <s v="131- Funcionamiento"/>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1">
      <sharedItems containsMixedTypes="1" containsNumber="1" containsInteger="1" minValue="15101500" maxValue="90121800" longText="1"/>
    </cacheField>
    <cacheField name="Mes inicio de ejecución" numFmtId="1">
      <sharedItems containsMixedTypes="1" containsNumber="1" containsInteger="1" minValue="0" maxValue="12"/>
    </cacheField>
    <cacheField name="plazo ejec Meses" numFmtId="1">
      <sharedItems containsMixedTypes="1" containsNumber="1" containsInteger="1" minValue="0" maxValue="20"/>
    </cacheField>
    <cacheField name="mas plazo ejec Días (si aplica)" numFmtId="1">
      <sharedItems containsMixedTypes="1" containsNumber="1" containsInteger="1" minValue="0" maxValue="20"/>
    </cacheField>
    <cacheField name="Valor Programado" numFmtId="165">
      <sharedItems containsSemiMixedTypes="0" containsString="0" containsNumber="1" minValue="133333" maxValue="7629266116"/>
    </cacheField>
    <cacheField name="Fuente de Recursos" numFmtId="0">
      <sharedItems count="3">
        <s v="1-100-I087 VA-Sobretasa Bomberil"/>
        <s v="1-100-F001 VA-Recursos distrito"/>
        <s v="1-601-F001 PAS-Otros distrito"/>
      </sharedItems>
    </cacheField>
    <cacheField name="Modalidad de Selección" numFmtId="165">
      <sharedItems/>
    </cacheField>
    <cacheField name="Meta Proyecto de Inversión" numFmtId="0">
      <sharedItems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acheField>
    <cacheField name="Descripción Producto PMR" numFmtId="0">
      <sharedItems/>
    </cacheField>
    <cacheField name="PMR conca" numFmtId="0">
      <sharedItems/>
    </cacheField>
    <cacheField name="Producto MGA" numFmtId="0">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O23011745992024020708016"/>
        <s v="O23011745992024020713031"/>
        <s v="O23011745992024020713023"/>
        <s v="O23011745992024020713019"/>
        <s v="O23011745032024025507002"/>
        <s v="NANANAN/AN/A"/>
        <s v="O23011745032024025509004"/>
        <s v="O23011745032024025512004"/>
        <s v="O23011745032024025505035"/>
        <s v="O23011745032024025511018"/>
        <s v="O23011745032024025506035"/>
        <s v="O23011745032024025505002"/>
        <s v="O23011745032024025504004"/>
        <s v="O23011745992024020711007"/>
        <s v="O23011745032024025508014"/>
        <s v="O23011745032024025508031_"/>
        <s v="O23011745032024025508015"/>
        <s v="O23011745032024025510004"/>
      </sharedItems>
    </cacheField>
    <cacheField name="codigo PEP" numFmtId="0">
      <sharedItems count="18">
        <s v="PM/0131/0108/45990160207"/>
        <s v="PM/0131/0113/45990310207"/>
        <s v="PM/0131/0113/45990230207"/>
        <s v="PM/0131/0113/45990190207"/>
        <s v="PM/0131/0107/45030020255"/>
        <s v="N/A"/>
        <s v="PM/0131/0109/45030040255"/>
        <s v="PM/0131/0112/45030040255"/>
        <s v="PM/0131/0105/45030350255"/>
        <s v="PM/0131/0111/45030180255"/>
        <s v="PM/0131/0106/45030350255"/>
        <s v="PM/0131/0105/45030020255"/>
        <s v="PM/0131/0104/45030040255"/>
        <s v="PM/0131/0111/45990070207"/>
        <s v="PM/0131/0108/45030140255"/>
        <s v="PM/0131/0108/45030310255"/>
        <s v="PM/0131/0108/45030150255"/>
        <s v="PM/0131/0110/45030040255"/>
      </sharedItems>
    </cacheField>
    <cacheField name="POSPRE" numFmtId="0">
      <sharedItems count="23">
        <s v="O232020200883990 Otros servicios profesionales, técnicos y empresariales n.c.p."/>
        <s v="O232020200882199 Otros servicios jurídicos n.c.p."/>
        <s v="No Aplica"/>
        <s v="O23201010030208 Otra maquinaria para usos especiales y sus partes y piezas"/>
        <s v="O23202020088714199 Servicio de mantenimiento y reparación de vehículos automotores n.c.p."/>
        <s v="O2320201003083899997 Artículos n.c.p. para protección"/>
        <s v="O232020200663393 Otros servicios de comidas contratadas"/>
        <s v="O2320201003053543003 Aditivos para gasolina, aceites minerales y combustible en general"/>
        <s v="O232020200883590 Otros servicios veterinarios"/>
        <s v="O23202020088715999 Servicio de mantenimiento y reparación de otros equipos n.c.p."/>
        <s v="O2120202008078714199 Servicio de mantenimiento y reparación de vehículos automotores n.c.p."/>
        <s v="O232020200883132 Servicios de soporte en tecnologías de la información (TI)"/>
        <s v="O2120201002082823609    Uniformes de trabajo"/>
        <s v="O232020200883159 Otros servicios de alojamiento y suministro de infraestructura en tecnología de la información (TI)"/>
        <s v="O2320202005040554590 Otros servicios especializados de la construcción"/>
        <s v=" O232020200885330 Servicios de limpieza general "/>
        <s v=" O232020200883990 Otros servicios profesionales, técnicos y empresariales n.c.p. "/>
        <s v=" No Aplica "/>
        <s v="O232020200885250 Servicios de protección (guardas de seguridad)"/>
        <s v="O21202020080787130 Servicios de mantenimiento y reparación de computa"/>
        <s v="O21202020080484290 Otros servicios de telecomunicaciones vía Internet"/>
        <s v="O21202020080383141 Servicios de diseño y desarrollo de aplicaciones en tecnologías de la información (TI)"/>
        <s v="O232020200885330 Servicios de limpieza general"/>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2">
  <r>
    <n v="20250001"/>
    <x v="0"/>
    <x v="0"/>
    <s v="Jaime Hernando Arias Patiño"/>
    <s v="Prestar los servicios profesionales  como abogado en la Oficina de Control Interno para el desarrollo del Plan Anual de Auditorías."/>
    <s v="25 - contrato de prestacion de servicios profesionales"/>
    <n v="80111600"/>
    <s v="1"/>
    <n v="10"/>
    <n v="0"/>
    <n v="7665000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2"/>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3"/>
    <x v="0"/>
    <x v="0"/>
    <s v="Jaime Hernando Arias Patiño"/>
    <s v="Prestar los servicios profesionales  en la Oficina de Control Interno para el desarrollo del Plan Anual de Auditorías."/>
    <s v="25 - contrato de prestacion de servicios profesionales"/>
    <n v="80111600"/>
    <n v="2"/>
    <n v="7"/>
    <n v="11"/>
    <n v="5667409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4"/>
    <x v="0"/>
    <x v="0"/>
    <s v="Jaime Hernando Arias Patiño"/>
    <s v="Prestar los servicios profesionales  en la Oficina de Control Interno para el desarrollo del Plan Anual de Auditorías."/>
    <s v="25 - contrato de prestacion de servicios profesionales"/>
    <n v="80111600"/>
    <n v="1"/>
    <n v="10"/>
    <n v="0"/>
    <n v="4628582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5"/>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6"/>
    <x v="0"/>
    <x v="1"/>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2"/>
    <n v="11"/>
    <n v="0"/>
    <n v="57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07"/>
    <x v="0"/>
    <x v="1"/>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08"/>
    <x v="0"/>
    <x v="1"/>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2"/>
    <n v="11"/>
    <n v="0"/>
    <n v="5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09"/>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5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10"/>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29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11"/>
    <x v="0"/>
    <x v="1"/>
    <s v="Monica Perez Barragan"/>
    <s v="Prestar los servicios profesionales jurídicos especializados para apoyar el desarrollo de las funciones de la Oficina Jurídica"/>
    <s v="25 - contrato de prestacion de servicios profesionales"/>
    <n v="80111600"/>
    <n v="2"/>
    <n v="11"/>
    <n v="0"/>
    <n v="33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2"/>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3"/>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5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4"/>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5"/>
    <x v="0"/>
    <x v="1"/>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6"/>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7"/>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8"/>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19"/>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0"/>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1"/>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2"/>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3"/>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50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4"/>
    <x v="0"/>
    <x v="1"/>
    <s v="Monica Perez Barragan"/>
    <s v="Prestar los servicios profesionales especializados para la representación judicial  de la Entidad y la prevención del daño antijurídico."/>
    <s v="25 - contrato de prestacion de servicios profesionales"/>
    <n v="80111600"/>
    <n v="2"/>
    <n v="11"/>
    <n v="0"/>
    <n v="283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25"/>
    <x v="0"/>
    <x v="1"/>
    <s v="Monica Perez Barragan"/>
    <s v="Prestar los servicios de apoyo para las gestiones administrativas requeridas en la Oficina Jurídica."/>
    <s v="25 - contrato de prestacion de servicios profesionales"/>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7"/>
    <x v="0"/>
    <x v="1"/>
    <s v="Monica Perez Barragan"/>
    <s v="Prestar los servicios de apoyo para las gestiones documentales y administrativas requerida por la Oficina  Jurídica."/>
    <s v="26 - contrato de prestacion de servicios de apoyo a la gestion"/>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8"/>
    <x v="0"/>
    <x v="1"/>
    <s v="Monica Perez Barragan"/>
    <s v="Prestar los servicios de apoyo para las gestiones documentales y administrativas requerida por la Oficina  Jurídica."/>
    <s v="26 - contrato de prestacion de servicios de apoyo a la gestion"/>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29"/>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30"/>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1"/>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2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32"/>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33"/>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4"/>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5"/>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7"/>
    <n v="0"/>
    <n v="54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6"/>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0"/>
    <n v="0"/>
    <n v="8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7"/>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0"/>
    <n v="0"/>
    <n v="7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8"/>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39"/>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0"/>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1"/>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3"/>
    <n v="4"/>
    <n v="0"/>
    <n v="2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2"/>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7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3"/>
    <x v="0"/>
    <x v="2"/>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3"/>
    <n v="4"/>
    <n v="0"/>
    <n v="2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4"/>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2"/>
    <n v="6"/>
    <n v="0"/>
    <n v="19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45"/>
    <x v="0"/>
    <x v="2"/>
    <s v="Yenire Yohansy Lozano Ascanio"/>
    <s v="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
    <s v="25 - contrato de prestacion de servicios profesionales"/>
    <n v="80111600"/>
    <n v="2"/>
    <n v="8"/>
    <n v="0"/>
    <n v="48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46"/>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9"/>
    <n v="0"/>
    <n v="33781662"/>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47"/>
    <x v="0"/>
    <x v="3"/>
    <s v="Manuel Eduardo Castillo Guzman"/>
    <s v="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
    <s v="25 - contrato de prestacion de servicios profesionales"/>
    <n v="80111600"/>
    <n v="3"/>
    <n v="10"/>
    <n v="0"/>
    <n v="6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48"/>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9"/>
    <n v="0"/>
    <n v="4041734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49"/>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0"/>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6"/>
    <n v="0"/>
    <n v="42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1"/>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7"/>
    <n v="0"/>
    <n v="511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2"/>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3"/>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7"/>
    <n v="0"/>
    <n v="52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4"/>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6"/>
    <n v="0"/>
    <n v="24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5"/>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6"/>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0"/>
    <n v="0"/>
    <n v="73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057"/>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6"/>
    <n v="0"/>
    <n v="39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8"/>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3"/>
    <n v="7"/>
    <n v="0"/>
    <n v="45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1"/>
    <s v="Si Secop "/>
  </r>
  <r>
    <n v="20250059"/>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0"/>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6"/>
    <n v="0"/>
    <n v="11433334"/>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1"/>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6"/>
    <n v="0"/>
    <n v="42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2"/>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3"/>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9"/>
    <n v="0"/>
    <n v="4041734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4"/>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3"/>
    <n v="10"/>
    <n v="0"/>
    <n v="6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5"/>
    <x v="0"/>
    <x v="3"/>
    <s v="Manuel Eduardo Castillo Guzman"/>
    <s v="Prestación de servicios profesionales para el desarrollo de actividades designadas en el marco del Modelo Integrado de Planeación y Gestión (MIPG), orientadas a brindar soporte en el área que lo requiera."/>
    <s v="25 - contrato de prestacion de servicios profesionales"/>
    <n v="80111600"/>
    <n v="3"/>
    <n v="6"/>
    <n v="0"/>
    <n v="3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7"/>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68"/>
    <x v="0"/>
    <x v="4"/>
    <s v="Paula Ximena Henao Escobar"/>
    <s v="Prestación de servicios profesionales para acompañar a la Dirección en la estructuración de fichas técnicas y en la identificación de necesidades técnicas que requiere suplir la UAE Cuerpo Oficial de Bomberos de Bogotá"/>
    <s v="25 - contrato de prestacion de servicios profesionales"/>
    <n v="80111600"/>
    <n v="2"/>
    <n v="11"/>
    <n v="0"/>
    <n v="913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69"/>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0"/>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1"/>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72"/>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3"/>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4"/>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6"/>
    <n v="0"/>
    <n v="58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5"/>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6"/>
    <n v="0"/>
    <n v="58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76"/>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77"/>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78"/>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8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79"/>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0"/>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1"/>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2"/>
    <x v="0"/>
    <x v="4"/>
    <s v="Paula Ximena Henao Escobar"/>
    <s v="Prestar servicios profesionales en la Dirección General para apoyar las actividades de cooperación técnica Internacional, seguimientos estrategicos y articulación interinstitucional de conformidad a la misionalidad de la entidad."/>
    <s v="25 - contrato de prestacion de servicios profesionales"/>
    <n v="80111600"/>
    <n v="2"/>
    <n v="8"/>
    <n v="0"/>
    <n v="6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83"/>
    <x v="0"/>
    <x v="5"/>
    <s v="Paula Ximena Henao Escobar"/>
    <s v="Prestar servicios profesionales en la Dirección General para el manejo de redes sociales, divulgación, socialización de información y apoyo periodístico, requerido en el marco de la estrategia de comunicaciones y prensa de la UAECOB."/>
    <s v="25 - contrato de prestacion de servicios profesionales"/>
    <n v="80111600"/>
    <n v="2"/>
    <n v="10"/>
    <n v="0"/>
    <n v="5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4"/>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5"/>
    <x v="0"/>
    <x v="5"/>
    <s v="Paula Ximena Henao Escobar"/>
    <s v="Prestar apoyo técnico en la Dirección, en asuntos de comunicaciones y prensa, para la producción, diseño y edición de material audiovisual de la UAECOB."/>
    <s v="26 - contrato de prestacion de servicios de apoyo a la gestion"/>
    <n v="80111600"/>
    <n v="3"/>
    <n v="10"/>
    <n v="0"/>
    <n v="44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6"/>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7"/>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6"/>
    <n v="0"/>
    <n v="31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8"/>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3"/>
    <n v="10"/>
    <n v="0"/>
    <n v="5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89"/>
    <x v="0"/>
    <x v="5"/>
    <s v="Paula Ximena Henao Escobar"/>
    <s v="Prestación de servicios profesionales en asuntos de comunicaciones y prensa para detectar las necesidades de la Entidad y facilitar la inserción de nuevas estrategias de comunicación"/>
    <s v="25 - contrato de prestacion de servicios profesionales"/>
    <n v="80111600"/>
    <n v="3"/>
    <n v="6"/>
    <n v="0"/>
    <n v="408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90"/>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91"/>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6"/>
    <n v="0"/>
    <n v="31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92"/>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3"/>
    <n v="6"/>
    <n v="0"/>
    <n v="55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93"/>
    <x v="0"/>
    <x v="4"/>
    <s v="Paula Ximena Henao Escobar"/>
    <s v="Prestar servicios como conductor a la UAECOB, para facilitar el transporte de recurso humano y demás que le sean indicados en la Dirección General en concordancia al marco de sus funciones."/>
    <s v="26 - contrato de prestacion de servicios de apoyo a la gestion"/>
    <n v="80111600"/>
    <n v="5"/>
    <n v="7"/>
    <n v="0"/>
    <n v="24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94"/>
    <x v="0"/>
    <x v="5"/>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2"/>
    <n v="6"/>
    <n v="0"/>
    <n v="3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095"/>
    <x v="0"/>
    <x v="4"/>
    <s v="Paula Ximena Henao Escobar"/>
    <s v="Prestar servicios profesionales especializados en el desarrollo de las actividades estrategicas de la Dirección General de la UAE Cuerpo Oficial de Bomberos de Bogotá"/>
    <s v="25 - contrato de prestacion de servicios profesionales"/>
    <n v="80111600"/>
    <n v="2"/>
    <n v="9"/>
    <n v="0"/>
    <n v="9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096"/>
    <x v="0"/>
    <x v="4"/>
    <s v="Paula Ximena Henao Escobar"/>
    <s v="Prestar servicios profesionales jurídicos en la Dirección General de la UAECOB en la revisión, gestión y seguimiento de temas de infraestructura, POT, plan maestro de equipamiento y procesos contractuales y estratégicos de la misionalidad de la Entidad"/>
    <s v="25 - contrato de prestacion de servicios profesionales"/>
    <n v="80111600"/>
    <n v="2"/>
    <n v="6"/>
    <n v="0"/>
    <n v="55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097"/>
    <x v="1"/>
    <x v="6"/>
    <s v="Jose Andres Ponce Caicedo"/>
    <s v="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
    <n v="11"/>
    <n v="0"/>
    <n v="667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098"/>
    <x v="1"/>
    <x v="6"/>
    <s v="Jose Andres Ponce Caicedo"/>
    <s v="SGH - Prestar servicios profesionales especializados para desarrollar actividades jurídicas en atención a los distintos requerimientos de la Subdirección de Gestión Humana."/>
    <s v="25 - contrato de prestacion de servicios profesionales"/>
    <n v="80111600"/>
    <n v="1"/>
    <n v="11"/>
    <n v="0"/>
    <n v="667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099"/>
    <x v="1"/>
    <x v="6"/>
    <s v="Jose Andres Ponce Caicedo"/>
    <s v="SGH - Prestar servicios profesionales para desarrollar actividades jurídicas en atención a los distintos requerimientos de la Subdirección de Gestión Humana."/>
    <s v="25 - contrato de prestacion de servicios profesionales"/>
    <n v="80111600"/>
    <n v="2"/>
    <n v="10"/>
    <n v="0"/>
    <n v="50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100"/>
    <x v="1"/>
    <x v="6"/>
    <s v="Jose Andres Ponce Caicedo"/>
    <s v="SGH - Prestar servicios profesionales para desarrollar actividades jurídicas relacionadas con la academia bomberil, recobro de incapacidades y procesos administrativos de la Subdirección de Gestión Humana."/>
    <s v="25 - contrato de prestacion de servicios profesionales"/>
    <n v="80111600"/>
    <n v="2"/>
    <n v="11"/>
    <n v="0"/>
    <n v="50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101"/>
    <x v="1"/>
    <x v="6"/>
    <s v="Jose Andres Ponce Caicedo"/>
    <s v="SGH - Prestar servicios profesionales en la Subdirección de Gestión Humana, para el fortalecimiento transversal del proceso de Academia."/>
    <s v="25 - contrato de prestacion de servicios profesionales"/>
    <n v="80111600"/>
    <n v="2"/>
    <n v="11"/>
    <n v="0"/>
    <n v="3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2"/>
    <x v="1"/>
    <x v="6"/>
    <s v="Jose Andres Ponce Caicedo"/>
    <s v="SGH - Prestar sus servicios profesionales en los procesos de la Subdirección de Gestión Humana de la UAE Cuerpo Oficial de Bomberos."/>
    <s v="25 - contrato de prestacion de servicios profesionales"/>
    <n v="80111600"/>
    <n v="3"/>
    <n v="10"/>
    <n v="0"/>
    <n v="4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3"/>
    <x v="1"/>
    <x v="6"/>
    <s v="Jose Andres Ponce Caicedo"/>
    <s v="SGH - Prestar servicios profesionales para apoyar el programa de desórdenes musculo esqueléticos de la UAE Cuerpo Oficial de Bomberos de Bogotá."/>
    <s v="25 - contrato de prestacion de servicios profesionales"/>
    <n v="80111600"/>
    <n v="2"/>
    <n v="8"/>
    <n v="0"/>
    <n v="31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4"/>
    <x v="1"/>
    <x v="6"/>
    <s v="Jose Andres Ponce Caicedo"/>
    <s v="SGH - Prestar servicios de apoyo en el sistema de gestión de seguridad y salud en el trabajo en la Subdirección de Gestión Humana de la UAE Cuerpo Oficial de Bomberos."/>
    <s v="26 - contrato de prestacion de servicios de apoyo a la gestion"/>
    <n v="80111600"/>
    <n v="2"/>
    <n v="8"/>
    <n v="0"/>
    <n v="32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5"/>
    <x v="1"/>
    <x v="6"/>
    <s v="Jose Andres Ponce Caicedo"/>
    <s v="SGH - Prestar sus servicios profesionales en la Subdirección de Gestión Humana en temas de desarrollo organizacional."/>
    <s v="25 - contrato de prestacion de servicios profesionales"/>
    <n v="80111600"/>
    <n v="2"/>
    <n v="11"/>
    <n v="0"/>
    <n v="567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6"/>
    <x v="1"/>
    <x v="6"/>
    <s v="Jose Andres Ponce Caicedo"/>
    <s v="SGH - Prestar sus servicios profesionales en la gestión contractual y presupuestal de la Subdirección de Gestión Humana de la UAE Cuerpo Oficial de Bomberos."/>
    <s v="25 - contrato de prestacion de servicios profesionales"/>
    <n v="80111600"/>
    <n v="2"/>
    <n v="11"/>
    <n v="0"/>
    <n v="38793333"/>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7"/>
    <x v="1"/>
    <x v="6"/>
    <s v="Jose Andres Ponce Caicedo"/>
    <s v="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2"/>
    <n v="11"/>
    <n v="0"/>
    <n v="511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8"/>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40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09"/>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0"/>
    <x v="1"/>
    <x v="6"/>
    <s v="Jose Andres Ponce Caicedo"/>
    <s v="SGH - Prestar servicios profesionales para apoyar el seguimiento del sistema de gestión de seguridad y salud en el trabajo en la Subdirección de Gestión Humana."/>
    <s v="25 - contrato de prestacion de servicios profesionales"/>
    <n v="80111600"/>
    <n v="2"/>
    <n v="11"/>
    <n v="0"/>
    <n v="3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1"/>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11"/>
    <n v="0"/>
    <n v="3051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2"/>
    <x v="1"/>
    <x v="6"/>
    <s v="Jose Andres Ponce Caicedo"/>
    <s v="SGH - Prestar Servicios de apoyo  a los procesos de archivo en  Subdirección de Gestión Humana de la UAE Cuerpo Oficial de Bomberos de Bogotá D.C. "/>
    <s v="26 - contrato de prestacion de servicios de apoyo a la gestion"/>
    <n v="80111600"/>
    <n v="3"/>
    <n v="10"/>
    <n v="0"/>
    <n v="220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3"/>
    <x v="1"/>
    <x v="6"/>
    <s v="Jose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2"/>
    <n v="11"/>
    <n v="0"/>
    <n v="5092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5"/>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38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6"/>
    <x v="1"/>
    <x v="6"/>
    <s v="Jose Andres Ponce Caicedo"/>
    <s v="SGH - Prestar sus servicios profesionales en comunicación interna y externa para la Subdirección de Gestión Humana de la UAE Cuerpo Oficial de Bomberos de Bogotá"/>
    <s v="25 - contrato de prestacion de servicios profesionales"/>
    <n v="80111600"/>
    <n v="2"/>
    <n v="11"/>
    <n v="0"/>
    <n v="54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7"/>
    <x v="1"/>
    <x v="6"/>
    <s v="Jose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2"/>
    <n v="11"/>
    <n v="0"/>
    <n v="27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8"/>
    <x v="1"/>
    <x v="6"/>
    <s v="Jose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2"/>
    <n v="11"/>
    <n v="0"/>
    <n v="40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19"/>
    <x v="1"/>
    <x v="6"/>
    <s v="Jose Andres Ponce Caicedo"/>
    <s v="SGH - Prestar servicios profesionales en la Subdirección de Gestión Humana de la UAE Cuerpo Oficial de Bomberos en temas de Administración de Personal."/>
    <s v="25 - contrato de prestacion de servicios profesionales"/>
    <n v="80111600"/>
    <n v="2"/>
    <n v="11"/>
    <n v="0"/>
    <n v="4806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1"/>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2"/>
    <n v="11"/>
    <n v="0"/>
    <n v="6474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2"/>
    <x v="1"/>
    <x v="6"/>
    <s v="Jose Andres Ponce Caicedo"/>
    <s v="SGH - Prestar servicios profesionales en la Subdirección de Gestión Humana en lo referente a la gestión financiera, presupuestal y análisis de las situaciones administrativas derivada del procedimiento de nómina de la entidad"/>
    <s v="25 - contrato de prestacion de servicios profesionales"/>
    <n v="80111600"/>
    <n v="4"/>
    <n v="8"/>
    <n v="0"/>
    <n v="63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3"/>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3"/>
    <n v="10"/>
    <n v="0"/>
    <n v="72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4"/>
    <x v="1"/>
    <x v="6"/>
    <s v="Jose Andres Ponce Caicedo"/>
    <s v="SGH - Prestar servicios profesionales juridicos para desarrollar actividades en la Subdireccion de Gestion Humana y el area de academia, que contemple el fortalecimiento de los programas de formación y capacitación de la UAE Cuerpo Oficial de Bomberos de Bogotá"/>
    <s v="25 - contrato de prestacion de servicios profesionales"/>
    <n v="80111600"/>
    <n v="3"/>
    <n v="10"/>
    <n v="0"/>
    <n v="273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125"/>
    <x v="1"/>
    <x v="6"/>
    <s v="Jose Andres Ponce Caicedo"/>
    <s v="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
    <s v="25 - contrato de prestacion de servicios profesionales"/>
    <n v="80111600"/>
    <n v="2"/>
    <n v="11"/>
    <n v="0"/>
    <n v="63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6"/>
    <x v="1"/>
    <x v="6"/>
    <s v="Jose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3"/>
    <n v="10"/>
    <n v="0"/>
    <n v="54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7"/>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8"/>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29"/>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4"/>
    <n v="9"/>
    <n v="0"/>
    <n v="63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130"/>
    <x v="1"/>
    <x v="6"/>
    <s v="Jose Andres Ponce Caicedo"/>
    <s v="SGH - Prestar servicios de apoyo a la gestión en la Subdirección de Gestión Humana en las diferentes actividades logísticas relacionadas con  el proceso de Academia."/>
    <s v="26 - contrato de prestacion de servicios de apoyo a la gestion"/>
    <n v="80111600"/>
    <n v="2"/>
    <n v="11"/>
    <n v="0"/>
    <n v="26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2"/>
    <x v="1"/>
    <x v="6"/>
    <s v="Jose Andres Ponce Caicedo"/>
    <s v="SGH prestar servicios profesionales para acompañar a la Subdirección de Gestión Humana en el desarrollo de las actividades relacionadas con el seguimiento a la ejecución presupuestal en el marco de los procesos, procedimientos y contratos a cargo de la dependencia"/>
    <s v="25 - contrato de prestacion de servicios profesionales"/>
    <n v="80111600"/>
    <n v="2"/>
    <n v="11"/>
    <n v="0"/>
    <n v="5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3"/>
    <x v="1"/>
    <x v="6"/>
    <s v="Jose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3"/>
    <n v="10"/>
    <n v="0"/>
    <n v="49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5"/>
    <x v="1"/>
    <x v="6"/>
    <s v="Jose Andres Ponce Caicedo"/>
    <s v="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
    <s v="25 - contrato de prestacion de servicios profesionales"/>
    <n v="80111600"/>
    <n v="3"/>
    <n v="10"/>
    <n v="0"/>
    <n v="4166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6"/>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25 - contrato de prestacion de servicios profesionales"/>
    <n v="80111600"/>
    <n v="3"/>
    <n v="10"/>
    <n v="0"/>
    <n v="3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8"/>
    <x v="1"/>
    <x v="6"/>
    <s v="Jose Andres Ponce Caicedo"/>
    <s v="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
    <s v="26 - contrato de prestacion de servicios de apoyo a la gestion"/>
    <n v="80111600"/>
    <n v="3"/>
    <n v="10"/>
    <n v="0"/>
    <n v="12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39"/>
    <x v="1"/>
    <x v="6"/>
    <s v="Jose Andres Ponce Caicedo"/>
    <s v="SGH - Prestar servicios profesionales para apoyar el programa de riesgo psicosocial y diferentes  actividades de seguridad y salud en el trabajo en la Subdirección de Gestión Humana"/>
    <s v="25 - contrato de prestacion de servicios profesionales"/>
    <n v="80111600"/>
    <n v="3"/>
    <n v="10"/>
    <n v="0"/>
    <n v="40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2"/>
    <x v="1"/>
    <x v="6"/>
    <s v="Jose Andres Ponce Caicedo"/>
    <s v="SGH - Prestar los servicios de capacitación, formación y entrenamiento en cursos especializados  para el personal operativo de la UAE Cuerpo Oficial de Bomberos  de Bogotá en el marco del PIC"/>
    <s v="03 - contrato de prestacion de servicios"/>
    <s v="86101600, 86101700, 86101800, 86111600, 86141500,  86121800, 80111500,86131800"/>
    <n v="9"/>
    <n v="4"/>
    <n v="0"/>
    <n v="24000000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3"/>
    <x v="1"/>
    <x v="6"/>
    <s v="Jose Andres Ponce Caicedo"/>
    <s v="SGH - Prestar los servicios de  capacitación, formación y entrenamiento para los cursos instructor de fuego nivel II  - Proboard, para el personal operativo de la UAE Cuerpo Oficial de Bomberos  de Bogotá en el marco del PIC"/>
    <s v="03 - contrato de prestacion de servicios"/>
    <s v="86101600, 86101700, 86101800, 86111600, 86141500,  86121800, 80111500"/>
    <n v="5"/>
    <n v="4"/>
    <n v="0"/>
    <n v="12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4"/>
    <x v="1"/>
    <x v="6"/>
    <s v="Jose Andres Ponce Caicedo"/>
    <s v="SGH - Prestar los servicios de capacitación, formación y entrenamiento en cursos especializado para Bomberos en BUZO DE SEGURIDAD PUBLICA, necesario para el desarrollo de estos procesos para el personal operativo y administrativo  de la Academia UAECOB "/>
    <s v="11 - orden de prestacion de servicios"/>
    <s v="86101600, 86101700, 86101800, 86111600, 86141500,  86121800, 80111500"/>
    <n v="9"/>
    <n v="2"/>
    <n v="0"/>
    <n v="20000000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5"/>
    <x v="1"/>
    <x v="6"/>
    <s v="Jose Andres Ponce Caicedo"/>
    <s v="SGH  - Adquisición de elementos, herramientas y accesorios necesario para el desarrollo de entrenamiento rescate con cuerdas y rescate vehicular de la Academia UAE Cuerpo Oficial de Bomberos de Bogotá. "/>
    <s v="06 - contrato de compraventa"/>
    <s v="27111801, 27112124, 27112807, 27113101, 46161701, 46161714, 46161715, 46182304, 46182306 "/>
    <n v="4"/>
    <n v="4"/>
    <n v="0"/>
    <n v="10000000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6"/>
    <x v="1"/>
    <x v="6"/>
    <s v="Jose Andres Ponce Caicedo"/>
    <s v="SGH - Adquisición de EPP - Elementos de protección personal  APH - Atención prehospitalaria  Y MANIQUIES para el desarrollo del entrenamiento y actividades propios de la Academia UAE Cuerpo Oficial de Bomberos de Bogotá"/>
    <s v="06 - contrato de compraventa"/>
    <s v=" 46201001; 42172201; 42171610; 42171612; 46181504; 46181537; 46201002; 42301502"/>
    <n v="7"/>
    <n v="2"/>
    <n v="0"/>
    <n v="500000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7"/>
    <x v="1"/>
    <x v="6"/>
    <s v="Jose Andres Ponce Caicedo"/>
    <s v="SGH - Adquisición de elementos, herramientas y accesorios para  EQUIPAMIENTO DE MAQUINAS E INCENDIOS necesario para el desarrollo de entrenamiento de la Academia UAE Cuerpo Oficial de Bomberos de Bogotá"/>
    <s v="06 - contrato de compraventa"/>
    <s v="46161707,46191605, 46191609, 27111604, 46191603, 30191501, 46161715"/>
    <n v="6"/>
    <n v="4"/>
    <n v="0"/>
    <n v="300000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8"/>
    <x v="1"/>
    <x v="6"/>
    <s v="Jose Andres Ponce Caicedo"/>
    <s v="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
    <s v="08 - contrato de suministro"/>
    <s v="72121100, 24101600, 30131500, 31371300, 30101500, 30101700, 30103600, 95121633, 30103619, 73121600, 73121500, 30101704, 30101504"/>
    <n v="4"/>
    <n v="4"/>
    <n v="0"/>
    <n v="110000000"/>
    <x v="0"/>
    <s v="17 - acuerdo marco de precios"/>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49"/>
    <x v="1"/>
    <x v="6"/>
    <s v="Jose Andres Ponce Caicedo"/>
    <s v="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
    <s v="25 - contrato de prestacion de servicios profesionales"/>
    <n v="80111600"/>
    <n v="5"/>
    <n v="4"/>
    <n v="0"/>
    <n v="36458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50"/>
    <x v="1"/>
    <x v="6"/>
    <s v="Jose Andres Ponce Caicedo"/>
    <s v="SGH - Garantizar los Recursos para movilización del Personal para emergencias"/>
    <s v="03 - contrato de prestacion de servicios"/>
    <n v="90121800"/>
    <n v="2"/>
    <n v="11"/>
    <n v="0"/>
    <n v="12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51"/>
    <x v="1"/>
    <x v="6"/>
    <s v="Jose Andres Ponce Caicedo"/>
    <s v="SGH - Garantizar los recursos para viáticos y tiquetes del personal"/>
    <s v="03 - contrato de prestacion de servicios"/>
    <n v="90121800"/>
    <n v="2"/>
    <n v="11"/>
    <n v="0"/>
    <n v="22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152"/>
    <x v="2"/>
    <x v="6"/>
    <s v="Jose Andres Ponce Caicedo"/>
    <s v="SGH -Contratar la realización de los exámenes Médicos Ocupacionales para el personal de la UAE Cuerpo Oficial de Bomberos de Bogotá"/>
    <s v="03 - contrato de prestacion de servicios"/>
    <s v="85121503;85121603;85121604;85121608;85121610;85121611;85121612;85121702;85122201"/>
    <n v="3"/>
    <n v="9"/>
    <n v="0"/>
    <n v="802388000"/>
    <x v="1"/>
    <s v="02 - selec. abrev. menor cuantía"/>
    <s v="No aplica"/>
    <s v="NA"/>
    <s v="NA"/>
    <s v="NA"/>
    <s v="N/A"/>
    <s v="N/A"/>
    <s v="N/A-N/A"/>
    <s v="N/A"/>
    <s v="N/A"/>
    <s v="N/A_N/A"/>
    <s v="N/A-N/A N/A_N/A"/>
    <x v="5"/>
    <x v="5"/>
    <x v="2"/>
    <s v="Si Secop "/>
  </r>
  <r>
    <n v="20250153"/>
    <x v="2"/>
    <x v="6"/>
    <s v="Jose Andres Ponce Caicedo"/>
    <s v="INCENTIVOS"/>
    <s v="12 - resolucion"/>
    <s v="N/A"/>
    <n v="9"/>
    <n v="9"/>
    <n v="0"/>
    <n v="179741000"/>
    <x v="1"/>
    <s v="91 - n/a acto administrativo (resolución, decreto, acuerdo, etc.)"/>
    <s v="No aplica"/>
    <s v="NA"/>
    <s v="NA"/>
    <s v="NA"/>
    <s v="N/A"/>
    <s v="N/A"/>
    <s v="N/A-N/A"/>
    <s v="N/A"/>
    <s v="N/A"/>
    <s v="N/A_N/A"/>
    <s v="N/A-N/A N/A_N/A"/>
    <x v="5"/>
    <x v="5"/>
    <x v="2"/>
    <s v="Si Secop "/>
  </r>
  <r>
    <n v="20250154"/>
    <x v="2"/>
    <x v="6"/>
    <s v="Jose Andres Ponce Caicedo"/>
    <s v="SGH - Contratar la Prestación de Servicios para desarrollar el Plan de Bienestar de la UAE Cuerpo Oficial de Bomberos para la Vigencia 2025"/>
    <s v="03 - contrato de prestacion de servicios"/>
    <s v="90101600;90111600;90141700;90151700"/>
    <n v="3"/>
    <n v="8"/>
    <n v="0"/>
    <n v="1620259000"/>
    <x v="1"/>
    <s v="09 - contratación directa"/>
    <s v="No aplica"/>
    <s v="NA"/>
    <s v="NA"/>
    <s v="NA"/>
    <s v="N/A"/>
    <s v="N/A"/>
    <s v="N/A-N/A"/>
    <s v="N/A"/>
    <s v="N/A"/>
    <s v="N/A_N/A"/>
    <s v="N/A-N/A N/A_N/A"/>
    <x v="5"/>
    <x v="5"/>
    <x v="2"/>
    <s v="Si Secop "/>
  </r>
  <r>
    <n v="20250155"/>
    <x v="2"/>
    <x v="6"/>
    <s v="Jose Andres Ponce Caicedo"/>
    <s v="SGH - Adquirir elementos de protección personal para prevenir la aparición de enfermedades ocupacionales en el oido, del personal operativo de la UAE Cuerpo Oficial de Bomberos de Bogotá"/>
    <s v="03 - contrato de prestacion de servicios"/>
    <s v="46181900;46181901"/>
    <n v="3"/>
    <n v="4"/>
    <n v="0"/>
    <n v="11199000"/>
    <x v="1"/>
    <s v="04 - contratación mínima cuantía"/>
    <s v="No aplica"/>
    <s v="NA"/>
    <s v="NA"/>
    <s v="NA"/>
    <s v="N/A"/>
    <s v="N/A"/>
    <s v="N/A-N/A"/>
    <s v="N/A"/>
    <s v="N/A"/>
    <s v="N/A_N/A"/>
    <s v="N/A-N/A N/A_N/A"/>
    <x v="5"/>
    <x v="5"/>
    <x v="2"/>
    <s v="Si Secop "/>
  </r>
  <r>
    <n v="20250156"/>
    <x v="1"/>
    <x v="7"/>
    <s v="Omer Mauricio Rivera Ruiz"/>
    <s v="Adición y prórroga  Contrato  394-2024 cuyo objeto es: &quot;Prestar el servicio de instalación, alineación, balanceo y conexos, incluyendo el suministro de llantas a los vehículos del parque automotor de la U.A.E. Cuerpo Oficial de Bomberos de Bogotá - SBLG&quot;"/>
    <s v="03 - contrato de prestacion de servicios"/>
    <n v="25172500"/>
    <n v="6"/>
    <n v="12"/>
    <n v="0"/>
    <n v="9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7"/>
    <x v="1"/>
    <x v="7"/>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s v="46161600;72101509;73152108;46191600"/>
    <n v="7"/>
    <n v="12"/>
    <n v="0"/>
    <n v="10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8"/>
    <x v="1"/>
    <x v="7"/>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
    <s v="17 - contrato de mantenimiento"/>
    <n v="78181500"/>
    <n v="8"/>
    <n v="12"/>
    <n v="0"/>
    <n v="21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Si Secop "/>
  </r>
  <r>
    <n v="20250159"/>
    <x v="1"/>
    <x v="7"/>
    <s v="Omer Mauricio Rivera Ruiz"/>
    <s v="Proveer el suministro de elementos de bioseguridad e insumos médicos básicos y otros para la atención de emergencias. - SBLG"/>
    <s v="08 - contrato de suministro"/>
    <s v="42141501;42141502;42141503;42142101;42142103;42142105;42142108;42172010;42172013;42172016;42172201;42281502;42291902"/>
    <n v="8"/>
    <n v="8"/>
    <n v="0"/>
    <n v="64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5"/>
    <s v="Si Secop "/>
  </r>
  <r>
    <n v="20250160"/>
    <x v="1"/>
    <x v="7"/>
    <s v="Omer Mauricio Rivera Ruiz"/>
    <s v="Suministro de alimentación e hidratación para el cuerpo operativo en la atención de emergencias, entrenamientos, capacitaciones y actividades de prevención.-SBLG "/>
    <s v="08 - contrato de suministro"/>
    <s v="90101800;90101600;50192700;50112000;50202311;50201709;50161509;50192110;93131602; 50161500; 50192100; 50181900; 50101700."/>
    <n v="7"/>
    <n v="12"/>
    <n v="0"/>
    <n v="22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6"/>
    <s v="Si Secop "/>
  </r>
  <r>
    <n v="20250161"/>
    <x v="1"/>
    <x v="7"/>
    <s v="Omer Mauricio Rivera Ruiz"/>
    <s v="Suministrar combustible para los vehículos, y equipos especializados de la U.A.E. Cuerpo Oficial de Bomberos Bogotá dentro y fuera del perímetro del distrito capital de la  - SBLG"/>
    <s v="08 - contrato de suministro"/>
    <n v="15101500"/>
    <n v="8"/>
    <n v="7"/>
    <n v="0"/>
    <n v="971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7"/>
    <s v="Si Secop "/>
  </r>
  <r>
    <n v="20250162"/>
    <x v="1"/>
    <x v="7"/>
    <s v="Omer Mauricio Rivera Ruiz"/>
    <s v="Contratar el suministro de alimentación para los caninos del cuerpo oficial y animales rescatados por la U.A.E. del Cuerpo Oficial de Bomberos de Bogotá – . - SBLG"/>
    <s v="08 - contrato de suministro"/>
    <s v="10121801; 10121802; 10121804"/>
    <n v="8"/>
    <n v="6"/>
    <n v="0"/>
    <n v="4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8"/>
    <s v="Si Secop "/>
  </r>
  <r>
    <n v="20250163"/>
    <x v="1"/>
    <x v="7"/>
    <s v="Omer Mauricio Rivera Ruiz"/>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12"/>
    <n v="0"/>
    <n v="45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4"/>
    <x v="1"/>
    <x v="7"/>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46182005; 46171613; 72101509."/>
    <n v="7"/>
    <n v="12"/>
    <n v="0"/>
    <n v="18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5"/>
    <x v="1"/>
    <x v="7"/>
    <s v="Omer Mauricio Rivera Ruiz"/>
    <s v="Prestar el servicio de mantenimiento y suministro de repuestos, accesorios e insumos y mano de obra especializada para los equipos menores y transversales de propiedad de la UAECOB. – SBLG "/>
    <s v="03 - contrato de prestacion de servicios"/>
    <s v="31261500; 31161500; 31161600; 31162300; 31162800; 31171500; 31171700; 39121600; 27121600;72101509"/>
    <n v="8"/>
    <n v="7"/>
    <n v="0"/>
    <n v="12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6"/>
    <x v="1"/>
    <x v="7"/>
    <s v="Omer Mauricio Rivera Ruiz"/>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10110000; 42120000;70122001."/>
    <n v="8"/>
    <n v="6"/>
    <n v="0"/>
    <n v="5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8"/>
    <s v="Si Secop "/>
  </r>
  <r>
    <n v="20250167"/>
    <x v="1"/>
    <x v="7"/>
    <s v="Omer Mauricio Rivera Ruiz"/>
    <s v="Adquisición de concentrado de espuma, mantenimiento y recarga de extintores, cilindros y tanques de las maquinas extintoras de la UAECOB.   LOTE I Y LOTE II - SBLG"/>
    <s v="06 - contrato de compraventa"/>
    <n v="46191600"/>
    <n v="9"/>
    <n v="4"/>
    <n v="0"/>
    <n v="30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3"/>
    <s v="Si Secop "/>
  </r>
  <r>
    <n v="20250168"/>
    <x v="1"/>
    <x v="7"/>
    <s v="Omer Mauricio Rivera Ruiz"/>
    <s v="Suministro de herramientas especializadas, equipos, accesorios y otros elementos de ferretería para garantizar la preparación y atención de emergencias de la U.A.E. Cuerpo Oficial de Bomberos de Bogotá – SBLG."/>
    <s v="08 - contrato de suministro"/>
    <s v="39121321;31162800;39121700; 31162300"/>
    <n v="1"/>
    <n v="12"/>
    <n v="0"/>
    <n v="30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9"/>
    <x v="1"/>
    <x v="7"/>
    <s v="Omer Mauricio Rivera Ruiz"/>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2086432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0"/>
    <x v="1"/>
    <x v="7"/>
    <s v="Omer Mauricio Rivera Ruiz"/>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1"/>
    <x v="1"/>
    <x v="7"/>
    <s v="Omer Mauricio Rivera Ruiz"/>
    <s v="Prestar el servicio de mantenimiento preventivo y correctivo de los compresores BAUER propiedad de la U.A.E. Cuerpo Oficial de Bomberos de Bogotá, incluido el suministro de repuestos, insumos y mano de obra especializada.  - SBLG"/>
    <s v="03 - contrato de prestacion de servicios"/>
    <s v="72101511, 40151604, 40151691, 81101800 "/>
    <n v="6"/>
    <n v="9"/>
    <n v="12"/>
    <n v="95347742"/>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9"/>
    <s v="Si Secop "/>
  </r>
  <r>
    <n v="20250174"/>
    <x v="1"/>
    <x v="7"/>
    <s v="Omer Mauricio Rivera Ruiz"/>
    <s v="Prestación de servicios de apoyo a la gestión en el proceso de mantenimiento del equipo menor a cargo de la Subdirección Logística -SBLG."/>
    <s v="26 - contrato de prestacion de servicios de apoyo a la gestion"/>
    <n v="80111600"/>
    <n v="2"/>
    <n v="9"/>
    <n v="0"/>
    <n v="297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75"/>
    <x v="1"/>
    <x v="7"/>
    <s v="Omer Mauricio Rivera Ruiz"/>
    <s v="Prestación de servicios profesionales en la gestión contractual y administrativa de la subdirección Logística- SBLG, de acuerdo con los lineamientos internos de la UAECOB. "/>
    <s v="25 - contrato de prestacion de servicios profesionales"/>
    <n v="80111600"/>
    <n v="2"/>
    <n v="10"/>
    <n v="0"/>
    <n v="5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76"/>
    <x v="1"/>
    <x v="7"/>
    <s v="Omer Mauricio Rivera Ruiz"/>
    <s v="Prestación de servicios profesionales para el control y seguimiento de las actividades derivadas de la gestión jurídica y contractual de la Subdirección Logística. SBLG."/>
    <s v="25 - contrato de prestacion de servicios profesionales"/>
    <n v="80111600"/>
    <n v="2"/>
    <n v="8"/>
    <n v="0"/>
    <n v="10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1"/>
    <s v="Si Secop "/>
  </r>
  <r>
    <n v="20250177"/>
    <x v="1"/>
    <x v="7"/>
    <s v="Omer Mauricio Rivera Ruiz"/>
    <s v="Prestar servicios de apoyo a la gestión en actividades administrativas y documentales que se desarrollen en la Subdirección Logística – SBLG."/>
    <s v="26 - contrato de prestacion de servicios de apoyo a la gestion"/>
    <n v="80111600"/>
    <n v="2"/>
    <n v="10"/>
    <n v="0"/>
    <n v="38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78"/>
    <x v="1"/>
    <x v="7"/>
    <s v="Omer Mauricio Rivera Ruiz"/>
    <s v="Prestación de servicios profesionales para apoyar la gestión financiera y presupuestal de los proyectos y planes a cargo de la Subdirección Logística - SBLG. "/>
    <s v="25 - contrato de prestacion de servicios profesionales"/>
    <n v="80111600"/>
    <n v="3"/>
    <n v="6"/>
    <n v="0"/>
    <n v="31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79"/>
    <x v="1"/>
    <x v="7"/>
    <s v="Omer Mauricio Rivera Ruiz"/>
    <s v="Prestar servicios de apoyo a la gestión en asuntos administrativos y contractuales, seguimiento a plataforma SECOP II y archivo contractual de la Subdirección Logística - SBLG"/>
    <s v="26 - contrato de prestacion de servicios de apoyo a la gestion"/>
    <n v="80111600"/>
    <n v="2"/>
    <n v="9"/>
    <n v="0"/>
    <n v="297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0"/>
    <x v="1"/>
    <x v="7"/>
    <s v="Omer Mauricio Rivera Ruiz"/>
    <s v="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2"/>
    <n v="9"/>
    <n v="0"/>
    <n v="567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1"/>
    <x v="1"/>
    <x v="7"/>
    <s v="Omer Mauricio Rivera Ruiz"/>
    <s v="Prestar servicios profesionales en la definición y gestión de procedimientos, lineamientos ambientales y de SST de los procesos, así como del sistema de Gestión de Calidad en la Subdirección Logística  – SBGL"/>
    <s v="25 - contrato de prestacion de servicios profesionales"/>
    <n v="80111600"/>
    <n v="2"/>
    <n v="9"/>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2"/>
    <x v="1"/>
    <x v="7"/>
    <s v="Omer Mauricio Rivera Ruiz"/>
    <s v="Prestación de servicios de apoyo a la gestión en el proceso de mantenimiento del equipo menor a cargo de la Subdirección Logística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3"/>
    <x v="1"/>
    <x v="7"/>
    <s v="Omer Mauricio Rivera Ruiz"/>
    <s v="Prestar servicios profesionales para la gestión del Plan Estratégico de Seguridad Vial (PESV), participación en el comité correspondiente y el desarrollo de programas y actividades asignadas a la Subdirección Logística SBLG."/>
    <s v="25 - contrato de prestacion de servicios profesionales"/>
    <n v="80111600"/>
    <n v="2"/>
    <n v="9"/>
    <n v="0"/>
    <n v="4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4"/>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10"/>
    <n v="0"/>
    <n v="7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5"/>
    <x v="1"/>
    <x v="7"/>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6"/>
    <x v="1"/>
    <x v="7"/>
    <s v="Omer Mauricio Rivera Ruiz"/>
    <s v="Prestar servicios profesionales para apoyar en los diferentes procesos de planeación,  administrativos e inventario de la Subdirección Logística – SBLG. "/>
    <s v="25 - contrato de prestacion de servicios profesionales"/>
    <n v="80111600"/>
    <n v="2"/>
    <n v="10"/>
    <n v="0"/>
    <n v="5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7"/>
    <x v="1"/>
    <x v="7"/>
    <s v="Omer Mauricio Rivera Ruiz"/>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9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88"/>
    <x v="1"/>
    <x v="7"/>
    <s v="Omer Mauricio Rivera Ruiz"/>
    <s v="Prestar  servicios de apoyo a la gestión en_x000a_actividades Técnicas, administrativas y documentales de la_x000a_Subdirección Logística - SBLG"/>
    <s v="26 - contrato de prestacion de servicios de apoyo a la gestion"/>
    <n v="80111600"/>
    <n v="2"/>
    <n v="9"/>
    <n v="0"/>
    <n v="288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9"/>
    <x v="1"/>
    <x v="7"/>
    <s v="Omer Mauricio Rivera Ruiz"/>
    <s v="Prestar servicios de apoyo a la gestión de los suministros y consumibles realizando el seguimiento, control y trámites necesarios para la oportuna disponibilidad en la atención de emergencias  -SBLG."/>
    <s v="26 - contrato de prestacion de servicios de apoyo a la gestion"/>
    <n v="80111600"/>
    <n v="2"/>
    <n v="11"/>
    <n v="0"/>
    <n v="37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0"/>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1"/>
    <x v="1"/>
    <x v="7"/>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2"/>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1023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3"/>
    <x v="1"/>
    <x v="7"/>
    <s v="Omer Mauricio Rivera Ruiz"/>
    <s v="Prestar servicios profesionales en materia administrativa,optimizando los procesos de la dependencia a través de la gestión de herramientas tecnológicas y documentales con las que se cuenten a la Subdirección Logística – SBLG."/>
    <s v="26 - contrato de prestacion de servicios de apoyo a la gestion"/>
    <n v="80111600"/>
    <n v="3"/>
    <n v="8"/>
    <n v="0"/>
    <n v="36104333"/>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4"/>
    <x v="1"/>
    <x v="7"/>
    <s v="Omer Mauricio Rivera Ruiz"/>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61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5"/>
    <x v="1"/>
    <x v="7"/>
    <s v="Omer Mauricio Rivera Ruiz"/>
    <s v="Prestación de servicios profesionales en el control legal de los procesos y acciones, especialmente la gestión contractual requerida por la Subdirección Logística - SBLG"/>
    <s v="25 - contrato de prestacion de servicios profesionales"/>
    <n v="80111600"/>
    <n v="2"/>
    <n v="10"/>
    <n v="0"/>
    <n v="93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1"/>
    <s v="Si Secop "/>
  </r>
  <r>
    <n v="20250196"/>
    <x v="1"/>
    <x v="7"/>
    <s v="Omer Mauricio Rivera Ruiz"/>
    <s v="Prestación de servicios profesionales para realizar el seguimiento y monitoreo a los diferentes procesos y procedimientos del equipo menor a cargo de la Subdirección Logística -  - SBLG"/>
    <s v="25 - contrato de prestacion de servicios profesionales"/>
    <n v="80111600"/>
    <n v="2"/>
    <n v="11"/>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11"/>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198"/>
    <x v="1"/>
    <x v="7"/>
    <s v="Omer Mauricio Rivera Ruiz"/>
    <s v="Prestación de servicios profesionales para la gestión, seguimiento y control administrativo, técnico y operativo del equipo menor a cargo de la Subdirección Logística (SBLG)."/>
    <s v="25 - contrato de prestacion de servicios profesionales"/>
    <n v="80111600"/>
    <n v="2"/>
    <n v="11"/>
    <n v="0"/>
    <n v="935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9"/>
    <x v="1"/>
    <x v="7"/>
    <s v="Omer Mauricio Rivera Ruiz"/>
    <s v="Prestación de servicios profesionales en la gestión, seguimiento y control administrativo, financiero y contractual del proceso de mantenimiento del parque automotor a cargo de la Subdirección Logística - SBLG."/>
    <s v="25 - contrato de prestacion de servicios profesionales"/>
    <n v="80111600"/>
    <n v="2"/>
    <n v="11"/>
    <n v="0"/>
    <n v="6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0"/>
    <x v="1"/>
    <x v="7"/>
    <s v="Omer Mauricio Rivera Ruiz"/>
    <s v="Prestar servicios de apoyo a la gestión para la organización, clasificación, foliación, digitalización e indexación de documentos de la Subdirección Logística - SBLG"/>
    <s v="26 - contrato de prestacion de servicios de apoyo a la gestion"/>
    <n v="80111600"/>
    <n v="2"/>
    <n v="10"/>
    <n v="0"/>
    <n v="33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1"/>
    <x v="1"/>
    <x v="7"/>
    <s v="Omer Mauricio Rivera Ruiz"/>
    <s v="Prestación de servicios profesionales para la gestión administrativa de las herramientas tecnológicas de la Subdirección Logística asociados a la mesa logística - SBLG"/>
    <s v="25 - contrato de prestacion de servicios profesionales"/>
    <n v="80111600"/>
    <n v="2"/>
    <n v="11"/>
    <n v="0"/>
    <n v="5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2"/>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9"/>
    <n v="0"/>
    <n v="31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3"/>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88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04"/>
    <x v="1"/>
    <x v="7"/>
    <s v="Omer Mauricio Rivera Ruiz"/>
    <s v="Prestación de servicios de apoyo a la gestión para realizar actividades documentales, administrativas relacionadas con los mantenimientos  del parque automotor de la UAECOB - Subdirección Logistica. SBLG "/>
    <s v="26 - contrato de prestacion de servicios de apoyo a la gestion"/>
    <n v="80111600"/>
    <n v="2"/>
    <n v="9"/>
    <n v="0"/>
    <n v="297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5"/>
    <x v="1"/>
    <x v="7"/>
    <s v="Omer Mauricio Rivera Ruiz"/>
    <s v="Prestar servicios profesionales para acompañar en el diseño, implementación, reporte y monitoreo de los diferentes planes, programas, proyectos administrativos y financieros de la Subdirección Logística- SBLG "/>
    <s v="25 - contrato de prestacion de servicios profesionales"/>
    <n v="80111600"/>
    <n v="2"/>
    <n v="10"/>
    <n v="0"/>
    <n v="12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6"/>
    <x v="1"/>
    <x v="7"/>
    <s v="Omer Mauricio Rivera Ruiz"/>
    <s v="Prestar servicios profesionales en la gestión, seguimiento y control administrativo, financiero y contractual la línea de insumos y suministros, para la operación durante las emergencias, eventos y capacitaciones  a cargo de la Subdirección Logística - SBLG."/>
    <s v="25 - contrato de prestacion de servicios profesionales"/>
    <n v="80111600"/>
    <n v="2"/>
    <n v="11"/>
    <n v="0"/>
    <n v="88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8"/>
    <n v="0"/>
    <n v="5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8"/>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9"/>
    <n v="0"/>
    <n v="6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09"/>
    <x v="1"/>
    <x v="7"/>
    <s v="Omer Mauricio Rivera Ruiz"/>
    <s v="Prestar servicios de apoyo en la gestión documental, física y digital, administrando y diligenciando las bases de datos, y demás documentos a cargo de la Subdirección logística. -SBLG."/>
    <s v="26 - contrato de prestacion de servicios de apoyo a la gestion"/>
    <n v="80111600"/>
    <n v="2"/>
    <n v="10"/>
    <n v="0"/>
    <n v="33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0"/>
    <x v="1"/>
    <x v="7"/>
    <s v="Omer Mauricio Rivera Ruiz"/>
    <s v="Prestación de servicios profesionales en la proyección y seguimiento de las etapas precontractual, contractual y postcontractual que desarrolle la Subdirección Logística en el ámbito de su competencia.- SBLG"/>
    <s v="25 - contrato de prestacion de servicios profesionales"/>
    <n v="80111600"/>
    <n v="2"/>
    <n v="10"/>
    <n v="0"/>
    <n v="7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1"/>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6 - contrato de prestacion de servicios de apoyo a la gestion"/>
    <n v="80111600"/>
    <n v="2"/>
    <n v="10"/>
    <n v="0"/>
    <n v="7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2"/>
    <x v="1"/>
    <x v="7"/>
    <s v="Omer Mauricio Rivera Ruiz"/>
    <s v="Prestación de servicios profesionales, para apoyar la estructuración y seguimiento de los asuntos contractuales y jurídicos que requiera la Subdirección Logística en el ámbito de su competencia.- SBLG"/>
    <s v="25 - contrato de prestacion de servicios profesionales"/>
    <n v="80111600"/>
    <n v="2"/>
    <n v="7"/>
    <n v="0"/>
    <n v="5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3"/>
    <x v="1"/>
    <x v="7"/>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2"/>
    <n v="11"/>
    <n v="0"/>
    <n v="55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14"/>
    <x v="1"/>
    <x v="7"/>
    <s v="Omer Mauricio Rivera Ruiz"/>
    <s v="Prestar servicios profesionales en las actividades administrativas y financieras que requieran los procesos de la Subdirección Logística- SBLG"/>
    <s v="25 - contrato de prestacion de servicios profesionales"/>
    <n v="80111600"/>
    <n v="2"/>
    <n v="9"/>
    <n v="0"/>
    <n v="4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5"/>
    <x v="1"/>
    <x v="7"/>
    <s v="Omer Mauricio Rivera Ruiz"/>
    <s v="Prestar los servicios profesionales para la gestión, financiera de los proyectos y procesos de la Subdirección - SBLG."/>
    <s v="25 - contrato de prestacion de servicios profesionales"/>
    <n v="80111600"/>
    <n v="2"/>
    <n v="10"/>
    <n v="0"/>
    <n v="6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6"/>
    <x v="1"/>
    <x v="7"/>
    <s v="Omer Mauricio Rivera Ruiz"/>
    <s v="Prestar servicios profesionales para el seguimiento y gestión de las actividades establecidas en los planes de acción y estratégicos; así como, de los procesos de planeación y administrativos propios de Subdirección Logística - SBLG. "/>
    <s v="25 - contrato de prestacion de servicios profesionales"/>
    <n v="80111600"/>
    <n v="2"/>
    <n v="10"/>
    <n v="0"/>
    <n v="7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7"/>
    <x v="1"/>
    <x v="7"/>
    <s v="Omer Mauricio Rivera Ruiz"/>
    <s v="Prestar servicios profesionales administrativos en el seguimiento y control en los diferentes procesos  de la Subdirección Logística . -SBGL"/>
    <s v="25 - contrato de prestacion de servicios profesionales"/>
    <n v="80111600"/>
    <n v="2"/>
    <n v="9"/>
    <n v="0"/>
    <n v="4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18"/>
    <x v="1"/>
    <x v="7"/>
    <s v="Omer Mauricio Rivera Ruiz"/>
    <s v="Prestar servicios de apoyo en la gestión administrativa y documental de los procesos contractuales relacionados con el mantenimiento del parque automotor a cargo de la Subdirección Logística -SBLG."/>
    <s v="26 - contrato de prestacion de servicios de apoyo a la gestion"/>
    <n v="80111600"/>
    <n v="2"/>
    <n v="9"/>
    <n v="0"/>
    <n v="297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20"/>
    <x v="1"/>
    <x v="7"/>
    <s v="Omer Mauricio Rivera Ruiz"/>
    <s v="Prestación de servicios profesionales a la gestión administrativa, financiera y documental para la atención del cuerpo uniformado a cargo de la Subdirección - SBGL. "/>
    <s v="25 - contrato de prestacion de servicios profesionales"/>
    <n v="80111600"/>
    <n v="2"/>
    <n v="11"/>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21"/>
    <x v="1"/>
    <x v="7"/>
    <s v="Omer Mauricio Rivera Ruiz"/>
    <s v="Prestación de servicios profesionales para gestionar las solicitudes y requerimientos recibidos por las herramientas tecnológicas de la Subdirección Logística - SBLG"/>
    <s v="25 - contrato de prestacion de servicios profesionales"/>
    <n v="80111600"/>
    <n v="2"/>
    <n v="9"/>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22"/>
    <x v="1"/>
    <x v="7"/>
    <s v="Omer Mauricio Rivera Ruiz"/>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9"/>
    <n v="0"/>
    <n v="5683568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223"/>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3"/>
    <n v="3"/>
    <n v="0"/>
    <n v="46795000"/>
    <x v="1"/>
    <s v="04 - contratación mínima cuantía"/>
    <s v="No aplica"/>
    <s v="NA"/>
    <s v="NA"/>
    <s v="NA"/>
    <s v="N/A"/>
    <s v="N/A"/>
    <s v="N/A-N/A"/>
    <s v="N/A"/>
    <s v="N/A"/>
    <s v="N/A_N/A"/>
    <s v="N/A-N/A N/A_N/A"/>
    <x v="5"/>
    <x v="5"/>
    <x v="10"/>
    <s v="Si Secop "/>
  </r>
  <r>
    <n v="20250224"/>
    <x v="1"/>
    <x v="8"/>
    <s v="William Tovar Segura"/>
    <s v="“Adquisición de elementos de apoyo didáctico y pedagógico para actividades, programas y campañas requeridas en la Subdirección de Gestión del Riesgo_SGR”"/>
    <s v="06 - contrato de compraventa"/>
    <s v="60121200_x000a_60121000_x000a_60121500_x000a_60121600"/>
    <n v="1"/>
    <n v="3"/>
    <n v="0"/>
    <n v="10000000"/>
    <x v="0"/>
    <s v="5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25"/>
    <x v="1"/>
    <x v="8"/>
    <s v="William Tovar Segura"/>
    <s v="Adquisición de insumos para la administración de emergencia_SGR"/>
    <s v="06 - contrato de compraventa"/>
    <s v="53121502_x000a_24112411_x000a_24112412_x000a_24112401_x000a_24112902"/>
    <n v="1"/>
    <n v="3"/>
    <n v="0"/>
    <n v="33000000"/>
    <x v="0"/>
    <s v="6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6"/>
    <x v="1"/>
    <x v="8"/>
    <s v="William Tovar Segura"/>
    <s v="Prestar servicios profesionales a la Subdirección de Gestión del Riesgo liderando las actividades del proceso de inspecciones técnicas del Riesgo._SGR"/>
    <s v="25 - contrato de prestacion de servicios profesionales"/>
    <n v="80111600"/>
    <n v="1"/>
    <n v="10"/>
    <n v="0"/>
    <n v="637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29"/>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63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0"/>
    <x v="1"/>
    <x v="8"/>
    <s v="William Tovar Segura"/>
    <s v="Prestar servicios profesionales en las actividades de planeación y gestión de la Subdirección de gestión del Riesgo_SGR"/>
    <s v="25 - contrato de prestacion de servicios profesionales"/>
    <n v="80111600"/>
    <n v="1"/>
    <n v="10"/>
    <n v="0"/>
    <n v="9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31"/>
    <x v="1"/>
    <x v="8"/>
    <s v="William Tovar Segura"/>
    <s v="Prestar servicios profesionales para el seguimiento de los componentes administrativo, técnico y financiero de la subdireccíon de Gestión del Riesgo. 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32"/>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1"/>
    <s v="Si Secop "/>
  </r>
  <r>
    <n v="20250233"/>
    <x v="1"/>
    <x v="8"/>
    <s v="William Tovar Segura"/>
    <s v="Prestar servicios profesionales para la gestión de la SGR, estructurando el seguimiento de los procesos contractuales y seguimiento de los proyectos de inversión de la UAECOB.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34"/>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36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1"/>
    <s v="Si Secop "/>
  </r>
  <r>
    <n v="20250235"/>
    <x v="1"/>
    <x v="8"/>
    <s v="William Tovar Segura"/>
    <s v="Prestar servicios apoyo técnico para el desarrollo de los contenidos graficos, piezas comunicativa y de imagen institucional para la Subdirección de Gestión del riesgo._SGR"/>
    <s v="25 - contrato de prestacion de servicios profesionales"/>
    <n v="80111600"/>
    <n v="1"/>
    <n v="10"/>
    <n v="0"/>
    <n v="105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36"/>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5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37"/>
    <x v="1"/>
    <x v="8"/>
    <s v="William Tovar Segura"/>
    <s v="Prestar servicios profesionales para el desarrollo de actividades de planeación y gestión para la Subdirección de Gestión del Riesgo._SGR"/>
    <s v="25 - contrato de prestacion de servicios profesionales"/>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38"/>
    <x v="1"/>
    <x v="8"/>
    <s v="William Tovar Segura"/>
    <s v="Prestar servicios de apoyo a la gestión como conductor en la Subdirección de Gestión del Riesgo._SGR"/>
    <s v="26 - contrato de prestacion de servicios de apoyo a la gestion"/>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9"/>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40"/>
    <x v="1"/>
    <x v="8"/>
    <s v="William Tovar Segura"/>
    <s v="Prestar  servicios profesionales en las actividades de proyeccion e innovacion para la Subdirección de Gestión del Riesgo._SGR"/>
    <s v="25 - contrato de prestacion de servicios profesionales"/>
    <n v="80111600"/>
    <n v="1"/>
    <n v="10"/>
    <n v="0"/>
    <n v="80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1"/>
    <x v="1"/>
    <x v="8"/>
    <s v="William Tovar Segura"/>
    <s v="Prestar  servicios profesionales en las actividades de proyeccion e innovacion para la Subdirección de Gestión del Riesgo._SGR"/>
    <s v="25 - contrato de prestacion de servicios profesionales"/>
    <n v="80111600"/>
    <n v="1"/>
    <n v="10"/>
    <n v="0"/>
    <n v="56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2"/>
    <x v="1"/>
    <x v="8"/>
    <s v="William Tovar Segura"/>
    <s v="Prestar  servicios profesionales en las actividades de proyeccion e innovacion para la Subdirección de Gestión del Riesgo._SGR"/>
    <s v="25 - contrato de prestacion de servicios profesionales"/>
    <n v="80111600"/>
    <n v="1"/>
    <n v="10"/>
    <n v="0"/>
    <n v="56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3"/>
    <x v="1"/>
    <x v="8"/>
    <s v="William Tovar Segura"/>
    <s v="Prestar sus servicios profesionales en las actividades relacionadas con la emision de conceptos a cargo de la Subdirección de Gestión del Riesgo.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44"/>
    <x v="1"/>
    <x v="8"/>
    <s v="William Tovar Segura"/>
    <s v="Prestar sus servicios profesionales en las actividades relacionadas con la emision de conceptos a cargo de la Subdirección de Gestión del Riesgo.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45"/>
    <x v="1"/>
    <x v="8"/>
    <s v="William Tovar Segura"/>
    <s v="Prestar  servicios profesionales en las actividades de proyeccion e innovacion para la Subdirección de Gestión del Riesgo._SGR"/>
    <s v="25 - contrato de prestacion de servicios profesionales"/>
    <n v="80111600"/>
    <n v="1"/>
    <n v="10"/>
    <n v="0"/>
    <n v="50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6"/>
    <x v="1"/>
    <x v="8"/>
    <s v="William Tovar Segura"/>
    <s v="Prestar servicios profesionales en las actividades de identificacion de escenarios a cargo de la Subdirección de Gestión del Riesgo._SGR"/>
    <s v="25 - contrato de prestacion de servicios profesionales"/>
    <n v="80111600"/>
    <n v="1"/>
    <n v="10"/>
    <n v="0"/>
    <n v="6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7"/>
    <x v="1"/>
    <x v="8"/>
    <s v="William Tovar Segura"/>
    <s v="Prestar servicios profesionales en las actividades de identificacion de escenarios a cargo de la Subdirección de Gestión del Riesgo._SGR"/>
    <s v="25 - contrato de prestacion de servicios profesionales"/>
    <n v="80111600"/>
    <n v="1"/>
    <n v="10"/>
    <n v="0"/>
    <n v="5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8"/>
    <x v="1"/>
    <x v="8"/>
    <s v="William Tovar Segura"/>
    <s v="Prestar servicio de apoyo en las actividades de identificación de escenarios a cargo de la Subdirección de Gestión del Riesgo._SGR"/>
    <s v="26 - contrato de prestacion de servicios de apoyo a la gestion"/>
    <n v="80111600"/>
    <n v="1"/>
    <n v="10"/>
    <n v="0"/>
    <n v="5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9"/>
    <x v="1"/>
    <x v="8"/>
    <s v="William Tovar Segura"/>
    <s v="Prestar servicios profesionales en las actividades de identificacion de escenarios a cargo de la Subdirección de Gestión del Riesgo._SGR"/>
    <s v="25 - contrato de prestacion de servicios profesionales"/>
    <n v="80111600"/>
    <n v="1"/>
    <n v="10"/>
    <n v="0"/>
    <n v="5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4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51"/>
    <x v="1"/>
    <x v="8"/>
    <s v="William Tovar Segura"/>
    <s v="prestar servicios profesionales liderando las actividades de caracterización de escenarios y monitoreo de gestión del riesgo.SGR"/>
    <s v="25 - contrato de prestacion de servicios profesionales"/>
    <n v="80111600"/>
    <n v="1"/>
    <n v="10"/>
    <n v="0"/>
    <n v="9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2"/>
    <x v="1"/>
    <x v="8"/>
    <s v="William Tovar Segura"/>
    <s v="Prestar servicios profesionales en las actividades de monitoreo del riesgo para la Subdirección de Gestión del Riesgo._SGR"/>
    <s v="25 - contrato de prestacion de servicios profesionales"/>
    <n v="80111600"/>
    <n v="1"/>
    <n v="10"/>
    <n v="0"/>
    <n v="6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3"/>
    <x v="1"/>
    <x v="8"/>
    <s v="William Tovar Segura"/>
    <s v="Prestar servicios profesionales en las actividades de monitoreo del riesgo para la Subdirección de Gestión del Riesgo._SGR"/>
    <s v="25 - contrato de prestacion de servicios profesionales"/>
    <n v="80111600"/>
    <n v="1"/>
    <n v="10"/>
    <n v="0"/>
    <n v="5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4"/>
    <x v="1"/>
    <x v="8"/>
    <s v="William Tovar Segura"/>
    <s v="Prestar servicios profesionales en las actividades de monitoreo del riesgo para la Subdirección de Gestión del Riesgo._SGR"/>
    <s v="25 - contrato de prestacion de servicios profesionales"/>
    <n v="80111600"/>
    <n v="1"/>
    <n v="10"/>
    <n v="0"/>
    <n v="50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9"/>
    <x v="1"/>
    <x v="8"/>
    <s v="William Tovar Segura"/>
    <s v="Prestar servicios de apoyo a la gestion en las actividades de monitoreo del riesgo para la Subdirección de Gestión del Riesgo._SGR"/>
    <s v="26 - contrato de prestacion de servicios de apoyo a la gestion"/>
    <n v="80111600"/>
    <n v="1"/>
    <n v="10"/>
    <n v="0"/>
    <n v="35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0"/>
    <x v="1"/>
    <x v="8"/>
    <s v="William Tovar Segura"/>
    <s v="Prestar servicios profesionales liderando las actividades de Programas y Campañas de Prevención para la Subdirección de Gestión del Riesgo._SGR"/>
    <s v="25 - contrato de prestacion de servicios profesionales"/>
    <n v="80111600"/>
    <n v="1"/>
    <n v="11"/>
    <n v="0"/>
    <n v="88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1"/>
    <x v="1"/>
    <x v="8"/>
    <s v="William Tovar Segura"/>
    <s v="Prestar servicios profesionales en las actividades de Programas y Campañas de Prevención para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2"/>
    <x v="1"/>
    <x v="8"/>
    <s v="William Tovar Segura"/>
    <s v="Prestar servicios profesionales en las actividades de Programas y Campañas de Prevención para la Subdirección de Gestión del Riesgo._SGR"/>
    <s v="25 - contrato de prestacion de servicios profesionales"/>
    <n v="80111600"/>
    <n v="1"/>
    <n v="10"/>
    <n v="0"/>
    <n v="5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3"/>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4"/>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5"/>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6"/>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0"/>
    <n v="0"/>
    <n v="640000000"/>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67"/>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9"/>
    <n v="5"/>
    <n v="0"/>
    <n v="223000000"/>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68"/>
    <x v="1"/>
    <x v="8"/>
    <s v="William Tovar Segura"/>
    <s v="Adquisición de elementos de identificación institucional para el programa comunitario de prevención de incendios forestales_SGR."/>
    <s v="08 - contrato de suministro"/>
    <s v="53103100_x000a_53102500"/>
    <n v="6"/>
    <n v="2"/>
    <n v="0"/>
    <n v="42057286"/>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69"/>
    <x v="1"/>
    <x v="8"/>
    <s v="William Tovar Segura"/>
    <s v="Prestar servicios profesionales para la gestión de la SGR, en su compomente técnico, administrativo y análisis financiero.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270"/>
    <x v="1"/>
    <x v="8"/>
    <s v="William Tovar Segura"/>
    <s v="Prestar sus servicios profesionales en las actividades relacionadas con la emision de conceptos a cargo de la Subdirección de Gestión del Riesgo._SGR"/>
    <s v="25 - contrato de prestacion de servicios profesionales"/>
    <n v="80111600"/>
    <n v="1"/>
    <n v="10"/>
    <n v="0"/>
    <n v="5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1"/>
    <x v="1"/>
    <x v="8"/>
    <s v="William Tovar Segura"/>
    <s v="Prestar servicios profesionales para realizar las actividdaes relacionadas con la emision de conceptos a cargo de la Subdirección de Gestión del Riesgo._SGR"/>
    <s v="25 - contrato de prestacion de servicios profesionales"/>
    <n v="80111600"/>
    <n v="1"/>
    <n v="10"/>
    <n v="0"/>
    <n v="5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2"/>
    <x v="1"/>
    <x v="8"/>
    <s v="William Tovar Segura"/>
    <s v="Prestar sus servicios profesionales en las actividades relacionadas con la emision de conceptos a cargo de la Subdirección de Gestión del Riesgo._SGR"/>
    <s v="25 - contrato de prestacion de servicios profesionales"/>
    <n v="80111600"/>
    <n v="1"/>
    <n v="10"/>
    <n v="0"/>
    <n v="21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3"/>
    <x v="1"/>
    <x v="8"/>
    <s v="William Tovar Segura"/>
    <s v="Prestar sus servicios profesionales en las actividades relacionadas con la emision de conceptos a cargo de la Subdirección de Gestión del Riesgo._SGR"/>
    <s v="25 - contrato de prestacion de servicios profesionales"/>
    <n v="80111600"/>
    <n v="1"/>
    <n v="10"/>
    <n v="0"/>
    <n v="6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4"/>
    <x v="1"/>
    <x v="8"/>
    <s v="William Tovar Segura"/>
    <s v="Prestar sus servicios profesionales en las actividades relacionadas con la emision de conceptos a cargo de la Subdirección de Gestión del Riesgo._SGR"/>
    <s v="25 - contrato de prestacion de servicios profesionales"/>
    <n v="80111600"/>
    <n v="1"/>
    <n v="10"/>
    <n v="0"/>
    <n v="6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7"/>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8"/>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79"/>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1"/>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3"/>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4"/>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288"/>
    <x v="1"/>
    <x v="8"/>
    <s v="William Tovar Segura"/>
    <s v="Prestar servicios profesionales en los procesos de formacion y capacitacion de la subdirección de gestión del riesgo._SGR"/>
    <s v="25 - contrato de prestacion de servicios profesionales"/>
    <n v="80111600"/>
    <n v="1"/>
    <n v="10"/>
    <n v="0"/>
    <n v="9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89"/>
    <x v="1"/>
    <x v="8"/>
    <s v="William Tovar Segura"/>
    <s v="Prestar servicios profesionales en los procesos de formacion y capacitacion de la subdirección de gestión del riesgo._SGR"/>
    <s v="25 - contrato de prestacion de servicios profesionales"/>
    <n v="80111600"/>
    <n v="1"/>
    <n v="10"/>
    <n v="0"/>
    <n v="5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90"/>
    <x v="1"/>
    <x v="8"/>
    <s v="William Tovar Segura"/>
    <s v="Prestar servicios profesionales en los procesos de formacion y capacitacion de la subdirección de gestión del riesgo.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293"/>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4"/>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5"/>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6"/>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7"/>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8"/>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299"/>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0"/>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1"/>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2"/>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3"/>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4"/>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5"/>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6"/>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8"/>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7"/>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8"/>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09"/>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0"/>
    <x v="1"/>
    <x v="9"/>
    <s v="Yenire Yohansy Lozano Ascanio"/>
    <s v="Prestación de servicios para apoyar  la gestión administrativa y documental requerida a cargo de la Subdirección Operativa  S.O."/>
    <s v="26 - contrato de prestacion de servicios de apoyo a la gestion"/>
    <n v="80111600"/>
    <n v="2"/>
    <n v="7"/>
    <n v="0"/>
    <n v="22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1"/>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2"/>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3"/>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4"/>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5"/>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6"/>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7"/>
    <x v="1"/>
    <x v="9"/>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8"/>
    <x v="1"/>
    <x v="9"/>
    <s v="Yenire Yohansy Lozano Ascanio"/>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0"/>
    <n v="0"/>
    <n v="34066525"/>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19"/>
    <x v="1"/>
    <x v="9"/>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0"/>
    <x v="1"/>
    <x v="9"/>
    <s v="Yenire Yohansy Lozano Ascanio"/>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9"/>
    <n v="15"/>
    <n v="30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2"/>
    <x v="1"/>
    <x v="9"/>
    <s v="Yenire Yohansy Lozano Ascanio"/>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1"/>
    <n v="0"/>
    <n v="104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3"/>
    <x v="1"/>
    <x v="9"/>
    <s v="Yenire Yohansy Lozano Ascanio"/>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8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4"/>
    <x v="1"/>
    <x v="9"/>
    <s v="Yenire Yohansy Lozano Ascanio"/>
    <s v="prestación de servicios profesionales para  el fortalecimiento de los procesos de comunicaciones y análisis de información en articulación con otras dependencias de la entidad,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5"/>
    <x v="1"/>
    <x v="9"/>
    <s v="Yenire Yohansy Lozano Ascanio"/>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6"/>
    <x v="1"/>
    <x v="9"/>
    <s v="Yenire Yohansy Lozano Ascanio"/>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9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7"/>
    <x v="1"/>
    <x v="9"/>
    <s v="Yenire Yohansy Lozano Ascanio"/>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0"/>
    <n v="15"/>
    <n v="472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8"/>
    <x v="1"/>
    <x v="9"/>
    <s v="Yenire Yohansy Lozano Ascanio"/>
    <s v="prestación de servicios profesionales para realizar la planeación, trámite y seguimiento de los aspectos presupuestales, financieros y contractuales a cargo de la dependencia - s.o."/>
    <s v="25 - contrato de prestacion de servicios profesionales"/>
    <n v="80111600"/>
    <n v="2"/>
    <n v="10"/>
    <n v="0"/>
    <n v="745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29"/>
    <x v="1"/>
    <x v="9"/>
    <s v="Yenire Yohansy Lozano Ascanio"/>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0"/>
    <x v="1"/>
    <x v="9"/>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9"/>
    <n v="0"/>
    <n v="6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1"/>
    <x v="1"/>
    <x v="9"/>
    <s v="Yenire Yohansy Lozano Ascanio"/>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2"/>
    <x v="1"/>
    <x v="9"/>
    <s v="Yenire Yohansy Lozano Ascanio"/>
    <s v="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
    <s v="25 - contrato de prestacion de servicios profesionales"/>
    <n v="80111600"/>
    <n v="3"/>
    <n v="10"/>
    <n v="0"/>
    <n v="9468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3"/>
    <x v="1"/>
    <x v="9"/>
    <s v="Yenire Yohansy Lozano Ascanio"/>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4"/>
    <x v="1"/>
    <x v="9"/>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3"/>
    <n v="9"/>
    <n v="15"/>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5"/>
    <x v="1"/>
    <x v="9"/>
    <s v="Yenire Yohansy Lozano Ascanio"/>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0"/>
    <n v="15"/>
    <n v="5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6"/>
    <x v="1"/>
    <x v="9"/>
    <s v="Yenire Yohansy Lozano Ascanio"/>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9"/>
    <n v="0"/>
    <n v="6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7"/>
    <x v="1"/>
    <x v="9"/>
    <s v="Yenire Yohansy Lozano Ascanio"/>
    <s v="prestación de servicios profesionales para ejecutar las actividades relacionadas con el sistema de gestión de calidad, el sistema ambiental y el sistema de control interno-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8"/>
    <x v="1"/>
    <x v="9"/>
    <s v="Yenire Yohansy Lozano Ascanio"/>
    <s v="prestación de servicios profesionales para ejecutar las actividades de carácter administrativo y de apoyo de los procesos y procedimientos a cargo de la subdirección operativa-s.o."/>
    <s v="25 - contrato de prestacion de servicios profesionales"/>
    <n v="80111600"/>
    <n v="3"/>
    <n v="4"/>
    <n v="0"/>
    <n v="192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39"/>
    <x v="1"/>
    <x v="9"/>
    <s v="Yenire Yohansy Lozano Ascanio"/>
    <s v="prestación de servicios profesionales con plena autonomía técnica y administrativa en el seguimiento, verificación y alimentación de los sistemas de información y demás requerimientos de acuerdo con las funciones de la dependencia-s.o."/>
    <s v="25 - contrato de prestacion de servicios profesionales"/>
    <n v="80111600"/>
    <n v="3"/>
    <n v="10"/>
    <n v="0"/>
    <n v="8932875"/>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0"/>
    <x v="1"/>
    <x v="9"/>
    <s v="Yenire Yohansy Lozano Ascanio"/>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0"/>
    <n v="9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1"/>
    <x v="1"/>
    <x v="9"/>
    <s v="Yenire Yohansy Lozano Ascanio"/>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5"/>
    <n v="0"/>
    <n v="3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2"/>
    <x v="1"/>
    <x v="9"/>
    <s v="Yenire Yohansy Lozano Ascanio"/>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9"/>
    <n v="0"/>
    <n v="72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3"/>
    <x v="1"/>
    <x v="9"/>
    <s v="Yenire Yohansy Lozano Ascanio"/>
    <s v="prestación de servicios profesionales para gestionar y ejecutar la  estrategia de preparativos de la uae cuerpo oficial de bomberos de bogotá s.o."/>
    <s v="25 - contrato de prestacion de servicios profesionales"/>
    <n v="80111600"/>
    <n v="2"/>
    <n v="6"/>
    <n v="0"/>
    <n v="51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4"/>
    <x v="1"/>
    <x v="9"/>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2"/>
    <n v="6"/>
    <n v="0"/>
    <n v="3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5"/>
    <x v="1"/>
    <x v="9"/>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4"/>
    <n v="6"/>
    <n v="0"/>
    <n v="3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349"/>
    <x v="1"/>
    <x v="9"/>
    <s v="Yenire Yohansy Lozano Ascanio"/>
    <s v="Adquisición de tecnologia  especilizada para la atención de emergencias de la UAE  Cuerpo Oficial de Bomberos de Bogotá"/>
    <s v="06 - contrato de compraventa"/>
    <n v="80111600"/>
    <n v="2"/>
    <n v="12"/>
    <n v="0"/>
    <n v="117026000"/>
    <x v="0"/>
    <s v="04 - contratación mínima cuantía"/>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11"/>
    <s v="Si Secop "/>
  </r>
  <r>
    <n v="20250350"/>
    <x v="2"/>
    <x v="9"/>
    <s v="Yenire Yohansy Lozano Ascanio"/>
    <s v="Adquisición de uniformes para el personal operativo de la UAECOB"/>
    <s v="06 - contrato de compraventa"/>
    <n v="53102710"/>
    <n v="2"/>
    <n v="6"/>
    <n v="0"/>
    <n v="300050000"/>
    <x v="1"/>
    <s v="03 - selec. abrev. subasta inversa"/>
    <s v="No aplica"/>
    <s v="NA"/>
    <s v="NA"/>
    <s v="NA"/>
    <s v="N/A"/>
    <s v="N/A"/>
    <s v="N/A-N/A"/>
    <s v="N/A"/>
    <s v="N/A"/>
    <s v="N/A_N/A"/>
    <s v="N/A-N/A N/A_N/A"/>
    <x v="5"/>
    <x v="5"/>
    <x v="12"/>
    <s v="Si Secop "/>
  </r>
  <r>
    <n v="20250351"/>
    <x v="0"/>
    <x v="10"/>
    <s v="Paula Ximena Henao Escobar"/>
    <s v="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
    <s v="25 - contrato de prestacion de servicios profesionales"/>
    <n v="80111600"/>
    <n v="2"/>
    <n v="11"/>
    <n v="0"/>
    <n v="104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2"/>
    <x v="0"/>
    <x v="10"/>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37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3"/>
    <x v="0"/>
    <x v="10"/>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3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354"/>
    <x v="0"/>
    <x v="10"/>
    <s v="Paula Ximena Henao Escobar"/>
    <s v="Prestar servicios profesionales para administrar, gestionar y mantener las bases de datos de la UAE Cuerpo Oficial de Bomberos Bogotá. -TIC"/>
    <s v="25 - contrato de prestacion de servicios profesionales"/>
    <n v="80111600"/>
    <n v="2"/>
    <n v="11"/>
    <n v="0"/>
    <n v="372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5"/>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4968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6"/>
    <x v="0"/>
    <x v="10"/>
    <s v="Paula Ximena Henao Escobar"/>
    <s v="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
    <s v="26 - contrato de prestacion de servicios de apoyo a la gestion"/>
    <n v="80111600"/>
    <n v="2"/>
    <n v="11"/>
    <n v="0"/>
    <n v="405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7"/>
    <x v="0"/>
    <x v="10"/>
    <s v="Paula Ximena Henao Escobar"/>
    <s v="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
    <s v="25 - contrato de prestacion de servicios profesionales"/>
    <n v="80111600"/>
    <n v="2"/>
    <n v="11"/>
    <n v="0"/>
    <n v="372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8"/>
    <x v="0"/>
    <x v="10"/>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372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59"/>
    <x v="0"/>
    <x v="10"/>
    <s v="Paula Ximena Henao Escobar"/>
    <s v="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
    <s v="25 - contrato de prestacion de servicios profesionales"/>
    <n v="80111600"/>
    <n v="2"/>
    <n v="11"/>
    <n v="0"/>
    <n v="74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0"/>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8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361"/>
    <x v="0"/>
    <x v="10"/>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2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2"/>
    <x v="0"/>
    <x v="10"/>
    <s v="Paula Ximena Henao Escobar"/>
    <s v="Prestar los servicios profesionales en la administración, actualización, desarrollo y mantenimiento del Sistema Integrado de Administración de Personal - SIAP para la U.A.E. Cuerpo Oficial de Bomberos Bogotá."/>
    <s v="25 - contrato de prestacion de servicios profesionales"/>
    <n v="80111600"/>
    <n v="2"/>
    <n v="11"/>
    <n v="0"/>
    <n v="855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3"/>
    <x v="0"/>
    <x v="10"/>
    <s v="Paula Ximena Henao Escobar"/>
    <s v="Prestar los servicios profesionales en el área de Tecnologías de la Información y las Comunicaciones de la U.A.E. Cuerpo Oficial de Bomberos Bogotá, en la administración, seguimiento, monitoreo y gestión de los sitios web institucionales de la entidad. "/>
    <s v="25 - contrato de prestacion de servicios profesionales"/>
    <n v="80111600"/>
    <n v="2"/>
    <n v="11"/>
    <n v="0"/>
    <n v="6831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4"/>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4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5"/>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6"/>
    <x v="0"/>
    <x v="10"/>
    <s v="Paula Ximena Henao Escobar"/>
    <s v="Prestar los servicios de apoyo a la gestión al área de Tecnologías de la Información y las Comunicaciones de la U.A.E. Cuerpo Oficial de Bomberos Bogotá, para el apoyo en la creación de productos audiovisuales y generación de contenidos digitales en la entidad."/>
    <s v="26 - contrato de prestacion de servicios de apoyo a la gestion"/>
    <n v="80111600"/>
    <n v="2"/>
    <n v="11"/>
    <n v="0"/>
    <n v="304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7"/>
    <x v="0"/>
    <x v="10"/>
    <s v="Paula Ximena Henao Escobar"/>
    <s v="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
    <s v="26 - contrato de prestacion de servicios de apoyo a la gestion"/>
    <n v="80111600"/>
    <n v="2"/>
    <n v="11"/>
    <n v="0"/>
    <n v="33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8"/>
    <x v="0"/>
    <x v="10"/>
    <s v="Paula Ximena Henao Escobar"/>
    <s v="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
    <s v="26 - contrato de prestacion de servicios de apoyo a la gestion"/>
    <n v="80111600"/>
    <n v="2"/>
    <n v="11"/>
    <n v="0"/>
    <n v="396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69"/>
    <x v="0"/>
    <x v="10"/>
    <s v="Paula Ximena Henao Escobar"/>
    <s v="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
    <s v="26 - contrato de prestacion de servicios de apoyo a la gestion"/>
    <n v="80111600"/>
    <n v="2"/>
    <n v="11"/>
    <n v="0"/>
    <n v="38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0"/>
    <x v="0"/>
    <x v="10"/>
    <s v="Paula Ximena Henao Escobar"/>
    <s v="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
    <s v="26 - contrato de prestacion de servicios de apoyo a la gestion"/>
    <n v="80111600"/>
    <n v="2"/>
    <n v="11"/>
    <n v="0"/>
    <n v="22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1"/>
    <x v="0"/>
    <x v="10"/>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45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2"/>
    <x v="0"/>
    <x v="10"/>
    <s v="Paula Ximena Henao Escobar"/>
    <s v="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
    <s v="26 - contrato de prestacion de servicios de apoyo a la gestion"/>
    <n v="80111600"/>
    <n v="2"/>
    <n v="11"/>
    <n v="0"/>
    <n v="450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3"/>
    <x v="0"/>
    <x v="10"/>
    <s v="Paula Ximena Henao Escobar"/>
    <s v="Prestar los servicios profesionales al área de Tecnologías de la Información y las Comunicaciones de la U.A.E. Cuerpo Oficial de Bomberos Bogotá, realizando las actividades propias del oficial de seguridad de la infraestructura tecnológica de la entidad."/>
    <s v="25 - contrato de prestacion de servicios profesionales"/>
    <n v="80111600"/>
    <n v="2"/>
    <n v="11"/>
    <n v="0"/>
    <n v="770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4"/>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7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5"/>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6"/>
    <x v="0"/>
    <x v="10"/>
    <s v="Paula Ximena Henao Escobar"/>
    <s v="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
    <s v="25 - contrato de prestacion de servicios profesionales"/>
    <n v="80111600"/>
    <n v="2"/>
    <n v="11"/>
    <n v="0"/>
    <n v="4041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7"/>
    <x v="0"/>
    <x v="10"/>
    <s v="Paula Ximena Henao Escobar"/>
    <s v="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
    <s v="25 - contrato de prestacion de servicios profesionales"/>
    <n v="80111600"/>
    <n v="2"/>
    <n v="11"/>
    <n v="0"/>
    <n v="4041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8"/>
    <x v="0"/>
    <x v="10"/>
    <s v="Paula Ximena Henao Escobar"/>
    <s v="Prestar servicios asistenciales al área de Tecnologías de la Información y las Comunicaciones de la U.A.E. Cuerpo Oficial de Bomberos Bogotá, para la gestión y desarrollo de actividades administrativas en los procesos que adelanta el área."/>
    <s v="26 - contrato de prestacion de servicios de apoyo a la gestion"/>
    <n v="80111600"/>
    <n v="2"/>
    <n v="11"/>
    <n v="0"/>
    <n v="304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79"/>
    <x v="0"/>
    <x v="10"/>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5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380"/>
    <x v="0"/>
    <x v="10"/>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47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381"/>
    <x v="0"/>
    <x v="10"/>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3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383"/>
    <x v="0"/>
    <x v="10"/>
    <s v="Paula Ximena Henao Escobar"/>
    <s v="Contratar la prestación del servicio de monitoreo, control y seguimiento satelital a los vehículos de propiedad de la U.A.E. Cuerpo Oficial de Bomberos de Bogotá - TIC"/>
    <s v="03 - contrato de prestacion de servicios"/>
    <s v="83121700; 83111600; 43221700; 25173100;  81112000; 32101600 "/>
    <n v="3"/>
    <n v="9"/>
    <n v="0"/>
    <n v="95933779"/>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85"/>
    <x v="0"/>
    <x v="10"/>
    <s v="Paula Ximena Henao Escobar"/>
    <s v="Adquisición de un certificado digital servidor seguro SSL para múltiples subdominios y aplicaciones para los sistemas misionales de la UAE cuerpo oficial de bomberos de Bogotá"/>
    <s v="06 - contrato de compraventa"/>
    <n v="81111801"/>
    <n v="6"/>
    <n v="12"/>
    <n v="0"/>
    <n v="15000000"/>
    <x v="0"/>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86"/>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216142630"/>
    <x v="0"/>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88"/>
    <x v="0"/>
    <x v="10"/>
    <s v="Paula Ximena Henao Escobar"/>
    <s v="Contratar la adquisición, renovación y  suscripciones de licencia Microsoft para la U.A.E. Cuerpo Oficial de Bomberos de Bogotá - TIC"/>
    <s v="03 - contrato de prestacion de servicios"/>
    <s v="43231512;81112501"/>
    <n v="3"/>
    <n v="9"/>
    <n v="0"/>
    <n v="688906483"/>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389"/>
    <x v="0"/>
    <x v="10"/>
    <s v="Paula Ximena Henao Escobar"/>
    <s v="Contratar el alquiler de equipos tecnológicos, periféricos y servicios complementarios para la U.A.E. Cuerpo Oficial de Bomberos de Bogotá. - TIC"/>
    <s v="23 - contrato de alquiler"/>
    <n v="81112401"/>
    <n v="3"/>
    <n v="9"/>
    <n v="0"/>
    <n v="26656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390"/>
    <x v="0"/>
    <x v="10"/>
    <s v="Paula Ximena Henao Escobar"/>
    <s v="Contratar el servicio de soporte y mantenimiento del sistema de gestión documental  para la U.A.E. Cuerpo Oficial de Bomberos de Bogotá- TIC"/>
    <s v="13 - orden de servicio"/>
    <s v="43233000;81112200"/>
    <n v="3"/>
    <n v="9"/>
    <n v="0"/>
    <n v="169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94"/>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96"/>
    <x v="0"/>
    <x v="10"/>
    <s v="Paula Ximena Henao Escobar"/>
    <s v="Contratar la adquisicion, modernizacion y mantenimiento preventivo y correctivo de UPS,  aires acondicionados con suministro de repuestos, para todas las sedes de la U.A.E. Cuerpo Oficial de Bomberos de Bogotá - TIC."/>
    <s v="17 - contrato de mantenimiento"/>
    <s v="72151500; 72101500; 731521000; 39121600; 39121000; 72151500; 72101500; 73152100."/>
    <n v="3"/>
    <n v="9"/>
    <n v="0"/>
    <n v="200000000"/>
    <x v="0"/>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97"/>
    <x v="0"/>
    <x v="10"/>
    <s v="Paula Ximena Henao Escobar"/>
    <s v="Contratar el servicio de actualización y soporte de licenciamiento ArcGIS para la U.A.E. Cuerpo Oficial de Bomberos de Bogotá.- TIC&quot;"/>
    <s v="19 - contrato de renovacion de licencias"/>
    <n v="81112217"/>
    <n v="3"/>
    <n v="9"/>
    <n v="0"/>
    <n v="8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398"/>
    <x v="0"/>
    <x v="10"/>
    <s v="Paula Ximena Henao Escobar"/>
    <s v="Contratar la adquisición de usuarios de ArcGis para la U.A.E. Cuerpo Oficial de Bomberos de Bogotá. - TIC"/>
    <s v="19 - contrato de renovacion de licencias"/>
    <n v="81112217"/>
    <n v="1"/>
    <n v="12"/>
    <n v="0"/>
    <n v="16142952"/>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399"/>
    <x v="0"/>
    <x v="10"/>
    <s v="Paula Ximena Henao Escobar"/>
    <s v="Contratar la adquisición de tarjetas de comunicación satelital de voz, para la U.A.E. Cuerpo Oficial de Bomberos de Bogotá. "/>
    <s v="03 - contrato de prestacion de servicios"/>
    <s v="83121700;83111600;43221700"/>
    <n v="3"/>
    <n v="12"/>
    <n v="0"/>
    <n v="30000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401"/>
    <x v="0"/>
    <x v="10"/>
    <s v="Paula Ximena Henao Escobar"/>
    <s v="Contratar la adquisición de equipo, software e insumos para la generación de carnets, para la U.A.E. Cuerpo Oficial de Bomberos de Bogotá."/>
    <s v="06 - contrato de compraventa"/>
    <s v="43212105, 43212110,43212115"/>
    <n v="3"/>
    <n v="9"/>
    <n v="0"/>
    <n v="13446666.666666627"/>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402"/>
    <x v="0"/>
    <x v="10"/>
    <s v="Paula Ximena Henao Escobar"/>
    <s v="Contratar la adquisición de antenas y servicio de internet satelital, para la U.A.E. Cuerpo Oficial de Bomberos de Bogotá."/>
    <s v="03 - contrato de prestacion de servicios"/>
    <s v="83121700;83111600;43221700"/>
    <n v="3"/>
    <n v="9"/>
    <n v="0"/>
    <n v="34554076"/>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407"/>
    <x v="0"/>
    <x v="10"/>
    <s v="Paula Ximena Henao Escobar"/>
    <s v="Adquisición de Radios, para las comunicaciones de la U.A.E. Cuerpo Oficial de Bomberos de Bogotá."/>
    <s v="06 - contrato de compraventa"/>
    <n v="43232505"/>
    <n v="6"/>
    <n v="12"/>
    <n v="0"/>
    <n v="60000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409"/>
    <x v="0"/>
    <x v="10"/>
    <s v="Paula Ximena Henao Escobar"/>
    <s v="Adquisición de sistema de monitoreo para la prevención y alertas tempranas en lo que corresponde a los incidentes forestales en los cerros"/>
    <s v="06 - contrato de compraventa"/>
    <n v="43233700"/>
    <n v="3"/>
    <n v="9"/>
    <n v="0"/>
    <n v="165671889"/>
    <x v="0"/>
    <s v="02 - selec. abrev. menor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410"/>
    <x v="1"/>
    <x v="11"/>
    <s v="Fatima Veronica Quintero Nuñez"/>
    <s v="Pago de pasivos exigibles"/>
    <s v="12 - resolucion"/>
    <s v="N/A"/>
    <s v="N/A"/>
    <s v="N/A"/>
    <s v="N/A"/>
    <n v="872887446"/>
    <x v="2"/>
    <s v=" 91 - n/a acto administrativo (resolución, decreto, acuerdo, etc.)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411"/>
    <x v="0"/>
    <x v="11"/>
    <s v="Fatima Veronica Quintero Nuñez"/>
    <s v="Contratar la prestación del servicio de aseo y cafetería incluido insumos para la UAE Cuerpo Oficial de Bomberos -SGC"/>
    <s v="01 - orden de compra"/>
    <s v="44121700;44121800;44121900;44122000"/>
    <n v="2"/>
    <n v="11"/>
    <n v="0"/>
    <n v="16805758"/>
    <x v="0"/>
    <s v=" 17 - acuerdo marco de precios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5"/>
    <s v="Si Secop "/>
  </r>
  <r>
    <n v="2025041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3"/>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11"/>
    <n v="0"/>
    <n v="6380980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5"/>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6"/>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7"/>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8"/>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19"/>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0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4"/>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11"/>
    <n v="0"/>
    <n v="64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5"/>
    <x v="0"/>
    <x v="11"/>
    <s v="Fatima Veronica Quintero Nuñez"/>
    <s v="Prestación de servicios de apoyo en la gestión de seguros de la Subdirección de Gestión Corporativa. –SGC"/>
    <s v="26 - contrato de prestacion de servicios de apoyo a la gestion"/>
    <s v="80111600;"/>
    <n v="2"/>
    <n v="11"/>
    <n v="0"/>
    <n v="3002814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6"/>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11"/>
    <n v="0"/>
    <n v="4128869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7"/>
    <x v="0"/>
    <x v="11"/>
    <s v="Fatima Veronica Quintero Nuñez"/>
    <s v="Prestación de servicios de apoyo a la gestión de seguros de la Subdirección de Gestión Corporativa. –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8"/>
    <x v="0"/>
    <x v="11"/>
    <s v="Fatima Veronica Quintero Nuñez"/>
    <s v="Prestación de servicios profesionales en la Subdirección de Gestión Corporativa en las actividades relacionadas con MIPG-SGC"/>
    <s v="25 - contrato de prestacion de servicios profesionales"/>
    <s v="80111600;"/>
    <n v="2"/>
    <n v="11"/>
    <n v="0"/>
    <n v="663568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29"/>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663568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430"/>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1"/>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2"/>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3"/>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4"/>
    <x v="0"/>
    <x v="11"/>
    <s v="Fatima Veronica Quintero Nuñez"/>
    <s v="Prestar servicios profesionales en la Subdirección de Gestión Corporativa en lo relacionado con los procesos de inventarios, almacén y bajas-SGC"/>
    <s v="25 - contrato de prestacion de servicios profesionales"/>
    <s v="80111600;"/>
    <n v="2"/>
    <n v="11"/>
    <n v="0"/>
    <n v="72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6"/>
    <x v="0"/>
    <x v="11"/>
    <s v="Fatima Veronica Quintero Nuñez"/>
    <s v="Prestar servicios profesionales para desarrollar e implementar sistemas de información, brindar soporte, mantenimiento y generar interoperabilidad con la Subdirección de Gestión Corporativa -SGC"/>
    <s v="25 - contrato de prestacion de servicios profesionales"/>
    <s v="80111600;"/>
    <n v="2"/>
    <n v="11"/>
    <n v="0"/>
    <n v="5992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7"/>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8"/>
    <x v="0"/>
    <x v="11"/>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39"/>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11"/>
    <n v="0"/>
    <n v="65886667"/>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0"/>
    <x v="0"/>
    <x v="11"/>
    <s v="Fatima Veronica Quintero Nuñez"/>
    <s v="Prestación de servicios de apoyo a la gestión documental de la Subdirección de Gestión Corporativa de la Unidad.-SGC"/>
    <s v="26 - contrato de prestacion de servicios de apoyo a la gestion"/>
    <s v="80111600;"/>
    <n v="2"/>
    <n v="11"/>
    <n v="0"/>
    <n v="3317841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1"/>
    <x v="0"/>
    <x v="11"/>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2"/>
    <x v="0"/>
    <x v="11"/>
    <s v="Fatima Veronica Quintero Nuñez"/>
    <s v="Prestación de servicios de apoyo a la gestión documental de la Subdirección de Gestión Corporativa de la Unidad.-SGC"/>
    <s v="26 - contrato de prestacion de servicios de apoyo a la gestion"/>
    <s v="80111600;"/>
    <n v="2"/>
    <n v="11"/>
    <n v="0"/>
    <n v="1970597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3"/>
    <x v="0"/>
    <x v="11"/>
    <s v="Fatima Veronica Quintero Nuñez"/>
    <s v="Prestación de servicios de apoyo a la gestión documental de la Subdirección de Gestión Corporativa de la Unidad.-SGC"/>
    <s v="26 - contrato de prestacion de servicios de apoyo a la gestion"/>
    <s v="80111600;"/>
    <n v="2"/>
    <n v="11"/>
    <n v="0"/>
    <n v="248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4"/>
    <x v="0"/>
    <x v="11"/>
    <s v="Fatima Veronica Quintero Nuñez"/>
    <s v="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5"/>
    <x v="0"/>
    <x v="11"/>
    <s v="Fatima Veronica Quintero Nuñez"/>
    <s v="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6"/>
    <x v="0"/>
    <x v="11"/>
    <s v="Fatima Veronica Quintero Nuñez"/>
    <s v="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7"/>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8"/>
    <x v="0"/>
    <x v="11"/>
    <s v="Fatima Veronica Quintero Nuñez"/>
    <s v="Prestar los servicios como conductor de la Subdirección de Gestión Corporativa -SGC"/>
    <s v="26 - contrato de prestacion de servicios de apoyo a la gestion"/>
    <s v="80111600;"/>
    <n v="2"/>
    <n v="11"/>
    <n v="0"/>
    <n v="346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49"/>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11"/>
    <n v="0"/>
    <n v="3317841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50"/>
    <x v="0"/>
    <x v="11"/>
    <s v="Fatima Veronica Quintero Nuñez"/>
    <s v="Prestar servicios profesionales en la Subdirección de Gestión Corporativa en el marco de las actividades administrativas de la Dependencia.-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51"/>
    <x v="0"/>
    <x v="11"/>
    <s v="Fatima Veronica Quintero Nuñez"/>
    <s v="Prestación de servicios profesionales, en temas jurídicos de la gestión administrativa a cargo de la Subdirección de Gestión Corporativa.- SGC"/>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452"/>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2;_x000a_72151505;_x000a_73152108;"/>
    <n v="3"/>
    <n v="8"/>
    <n v="0"/>
    <n v="60000000"/>
    <x v="0"/>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453"/>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2;_x000a_47111503;_x000a_73151802;_x000a_73152100;"/>
    <n v="4"/>
    <n v="8"/>
    <n v="0"/>
    <n v="46000000"/>
    <x v="0"/>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454"/>
    <x v="0"/>
    <x v="11"/>
    <s v="Fatima Veronica Quintero Nuñez"/>
    <s v="Adición No. 1 al contrato 478 de 2024 que tiene como objeto &quot;Mantenimiento preventivo y correctivo, que incluye el suministro de insumos y repuestos de las lavadoras y secadoras industriales ubicadas en las estaciones de bomberos de la UAE Cuerpo Oficial de Bomberos de Bogotá-SGC"/>
    <s v="17 - contrato de mantenimiento"/>
    <s v="47111500;_x000a_47111502;_x000a_47111503;_x000a_73151802;_x000a_73152100;"/>
    <n v="3"/>
    <n v="0"/>
    <n v="0"/>
    <n v="26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No Secop"/>
  </r>
  <r>
    <n v="20250455"/>
    <x v="0"/>
    <x v="11"/>
    <s v="Fatima Veronica Quintero Nuñez"/>
    <s v="Mantenimiento preventivo y/o correctivo, suministros y repuestos de los equipos gasodomésticos y solares y adecuaciones de las redes de gas natural para las Estaciones de Bomberos de UAE Cuerpo Oficial de Bomberos SGC"/>
    <s v="17 - contrato de mantenimiento"/>
    <s v="72151001;_x000a_72101503;_x000a_72101504; 72101506; 72153208; 72154019;_x000a_72154059;_x000a_73152106"/>
    <n v="8"/>
    <n v="8"/>
    <n v="0"/>
    <n v="5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456"/>
    <x v="0"/>
    <x v="11"/>
    <s v="Fatima Veronica Quintero Nuñez"/>
    <s v="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
    <s v="17 - contrato de mantenimiento"/>
    <s v="72154100; 73152100"/>
    <n v="4"/>
    <n v="10"/>
    <n v="0"/>
    <n v="7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457"/>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9"/>
    <n v="0"/>
    <n v="10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459"/>
    <x v="1"/>
    <x v="11"/>
    <s v="Fatima Veronica Quintero Nuñez"/>
    <s v="Prestación de servicios profesionales para apoyar a la supervisión con las actividades técnicas del Área de Infraestructura de la Subdirección de Gestión Corporativa-SGC"/>
    <s v="25 - contrato de prestacion de servicios profesionales"/>
    <s v="80111600;"/>
    <n v="2"/>
    <n v="11"/>
    <n v="0"/>
    <n v="93075136"/>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460"/>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99918896"/>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461"/>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93075136"/>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0"/>
    <s v="Si Secop "/>
  </r>
  <r>
    <n v="20250462"/>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11"/>
    <n v="0"/>
    <n v="66356829"/>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63"/>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8100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64"/>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11"/>
    <n v="0"/>
    <n v="8348256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65"/>
    <x v="1"/>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726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
    <s v="Si Secop "/>
  </r>
  <r>
    <n v="20250466"/>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11"/>
    <n v="0"/>
    <n v="61530876"/>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68"/>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11"/>
    <n v="0"/>
    <n v="7528136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69"/>
    <x v="0"/>
    <x v="11"/>
    <s v="Fatima Veronica Quintero Nuñez"/>
    <s v="Prestar servicios profesionales especializados para acompañar jurídicamente los procesos y procedimientos del área de infraestructura de la Subdirección de Gestión Corporativa. SGC"/>
    <s v="25 - contrato de prestacion de servicios profesionales"/>
    <s v="80111600;"/>
    <n v="2"/>
    <n v="11"/>
    <n v="0"/>
    <n v="11223766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470"/>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11"/>
    <n v="0"/>
    <n v="8470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1"/>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11"/>
    <n v="0"/>
    <n v="582615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2"/>
    <x v="0"/>
    <x v="11"/>
    <s v="Fatima Veronica Quintero Nuñez"/>
    <s v="Prestar los servicios como conductor de la Subdirección de Gestión Corporativa -SGC"/>
    <s v="26 - contrato de prestacion de servicios de apoyo a la gestion"/>
    <s v="80111600;"/>
    <n v="2"/>
    <n v="11"/>
    <n v="0"/>
    <n v="38325056"/>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3"/>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6"/>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11"/>
    <n v="0"/>
    <n v="6050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8"/>
    <x v="0"/>
    <x v="11"/>
    <s v="Fatima Veronica Quintero Nuñez"/>
    <s v="Prestación de servicios profesionales al área Financiera de la Subdirección de Gestión Corporativa--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79"/>
    <x v="0"/>
    <x v="11"/>
    <s v="Fatima Veronica Quintero Nuñez"/>
    <s v="Prestación de servicios profesionales al área Financiera de la Subdirección de Gestión Corporativa--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80"/>
    <x v="0"/>
    <x v="11"/>
    <s v="Fatima Veronica Quintero Nuñez"/>
    <s v="Prestación de servicios de apoyo a la gestión del área Financiera de la Subdirección de Gestión Corporativa.-SGC"/>
    <s v="26 - contrato de prestacion de servicios de apoyo a la gestion"/>
    <s v="80111600;"/>
    <n v="2"/>
    <n v="11"/>
    <n v="0"/>
    <n v="4041734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81"/>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483"/>
    <x v="2"/>
    <x v="11"/>
    <s v="Fatima Veronica Quintero Nuñez"/>
    <s v="Contratar el servicio de saneamiento ambiental, corte de césped, jardinería, poda y tala de árboles para las sedes (predios y/o estaciones) de la UAECOB-SGC"/>
    <s v="03 - contrato de prestacion de servicios"/>
    <s v="72102104; 76101503; 70111503; 72154055; 70111703; 70111706;"/>
    <n v="1"/>
    <n v="10"/>
    <n v="0"/>
    <n v="240000000"/>
    <x v="1"/>
    <s v=" 02 - selec. abrev. menor cuantía "/>
    <s v="No aplica"/>
    <s v="NA"/>
    <s v="NA"/>
    <s v="NA"/>
    <s v="N/A"/>
    <s v="N/A"/>
    <s v="N/A-N/A"/>
    <s v="N/A"/>
    <s v="N/A"/>
    <s v="N/A_N/A"/>
    <s v="N/A-N/A N/A_N/A"/>
    <x v="5"/>
    <x v="5"/>
    <x v="17"/>
    <s v="Si Secop "/>
  </r>
  <r>
    <n v="20250484"/>
    <x v="2"/>
    <x v="11"/>
    <s v="Fatima Veronica Quintero Nuñez"/>
    <s v="Contratar la prestación del servicio de aseo y cafetería incluido insumos para la UAE Cuerpo Oficial de Bomberos -SGC"/>
    <s v="03 - contrato de prestacion de servicios"/>
    <s v="44121700;44121800;44121900;44122000"/>
    <n v="2"/>
    <n v="11"/>
    <n v="0"/>
    <n v="147853623"/>
    <x v="1"/>
    <s v=" 17 - acuerdo marco de precios "/>
    <s v="No aplica"/>
    <s v="NA"/>
    <s v="NA"/>
    <s v="NA"/>
    <s v="N/A"/>
    <s v="N/A"/>
    <s v="N/A-N/A"/>
    <s v="N/A"/>
    <s v="N/A"/>
    <s v="N/A_N/A"/>
    <s v="N/A-N/A N/A_N/A"/>
    <x v="5"/>
    <x v="5"/>
    <x v="17"/>
    <s v="Si Secop "/>
  </r>
  <r>
    <n v="20250485"/>
    <x v="2"/>
    <x v="11"/>
    <s v="Fatima Veronica Quintero Nuñez"/>
    <s v="Contratar la prestación del servicio de aseo y cafetería incluido insumos para la UAE Cuerpo Oficial de Bomberos -SGC"/>
    <s v="03 - contrato de prestacion de servicios"/>
    <s v="44121700;44121800;44121900;44122000"/>
    <n v="2"/>
    <n v="11"/>
    <n v="0"/>
    <n v="453335302"/>
    <x v="1"/>
    <s v=" 17 - acuerdo marco de precios "/>
    <s v="No aplica"/>
    <s v="NA"/>
    <s v="NA"/>
    <s v="NA"/>
    <s v="N/A"/>
    <s v="N/A"/>
    <s v="N/A-N/A"/>
    <s v="N/A"/>
    <s v="N/A"/>
    <s v="N/A_N/A"/>
    <s v="N/A-N/A N/A_N/A"/>
    <x v="5"/>
    <x v="5"/>
    <x v="17"/>
    <s v="Si Secop "/>
  </r>
  <r>
    <n v="20250486"/>
    <x v="2"/>
    <x v="11"/>
    <s v="Fatima Veronica Quintero Nuñez"/>
    <s v="Arrendamiento de instalaciones estación Ferias-SGC"/>
    <s v="07 - contrato de arrendamiento"/>
    <s v="80131502;"/>
    <n v="1"/>
    <n v="12"/>
    <n v="0"/>
    <n v="157080000"/>
    <x v="1"/>
    <s v=" 09 - contratación directa "/>
    <s v="No aplica"/>
    <s v="NA"/>
    <s v="NA"/>
    <s v="NA"/>
    <s v="N/A"/>
    <s v="N/A"/>
    <s v="N/A-N/A"/>
    <s v="N/A"/>
    <s v="N/A"/>
    <s v="N/A_N/A"/>
    <s v="N/A-N/A N/A_N/A"/>
    <x v="5"/>
    <x v="5"/>
    <x v="17"/>
    <s v="Si Secop "/>
  </r>
  <r>
    <n v="20250487"/>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12"/>
    <n v="0"/>
    <n v="139858097"/>
    <x v="1"/>
    <s v=" 09 - contratación directa "/>
    <s v="No aplica"/>
    <s v="NA"/>
    <s v="NA"/>
    <s v="NA"/>
    <s v="N/A"/>
    <s v="N/A"/>
    <s v="N/A-N/A"/>
    <s v="N/A"/>
    <s v="N/A"/>
    <s v="N/A_N/A"/>
    <s v="N/A-N/A N/A_N/A"/>
    <x v="5"/>
    <x v="5"/>
    <x v="2"/>
    <s v="No Secop"/>
  </r>
  <r>
    <n v="20250488"/>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6"/>
    <n v="0"/>
    <n v="51570633"/>
    <x v="1"/>
    <s v="03 - selec. abrev. subasta inversa"/>
    <s v="No aplica"/>
    <s v="NA"/>
    <s v="NA"/>
    <s v="NA"/>
    <s v="N/A"/>
    <s v="N/A"/>
    <s v="N/A-N/A"/>
    <s v="N/A"/>
    <s v="N/A"/>
    <s v="N/A_N/A"/>
    <s v="N/A-N/A N/A_N/A"/>
    <x v="5"/>
    <x v="5"/>
    <x v="17"/>
    <s v="Si Secop "/>
  </r>
  <r>
    <n v="20250489"/>
    <x v="2"/>
    <x v="11"/>
    <s v="Fatima Veronica Quintero Nuñez"/>
    <s v="Suministro de insumos para las impresoras de las dependencias de la UAE Cuerpo Oficial de Bomberos.-SGC."/>
    <s v="08 - contrato de suministro"/>
    <s v="44103100;44103101;44103103;44103105;44103106;44103108;44103110;44103111;55101500;"/>
    <n v="3"/>
    <n v="9"/>
    <n v="0"/>
    <n v="181000000"/>
    <x v="1"/>
    <s v="03 - selec. abrev. subasta inversa"/>
    <s v="No aplica"/>
    <s v="NA"/>
    <s v="NA"/>
    <s v="NA"/>
    <s v="N/A"/>
    <s v="N/A"/>
    <s v="N/A-N/A"/>
    <s v="N/A"/>
    <s v="N/A"/>
    <s v="N/A_N/A"/>
    <s v="N/A-N/A N/A_N/A"/>
    <x v="5"/>
    <x v="5"/>
    <x v="17"/>
    <s v="Si Secop "/>
  </r>
  <r>
    <n v="20250491"/>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11803000"/>
    <x v="1"/>
    <s v="02 - selec. abrev. menor cuantía"/>
    <s v="No aplica"/>
    <s v="NA"/>
    <s v="NA"/>
    <s v="NA"/>
    <s v="N/A"/>
    <s v="N/A"/>
    <s v="N/A-N/A"/>
    <s v="N/A"/>
    <s v="N/A"/>
    <s v="N/A_N/A"/>
    <s v="N/A-N/A N/A_N/A"/>
    <x v="5"/>
    <x v="5"/>
    <x v="17"/>
    <s v="Si Secop "/>
  </r>
  <r>
    <n v="20250492"/>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3"/>
    <n v="0"/>
    <n v="1309196051"/>
    <x v="1"/>
    <s v="01 - licitación pública"/>
    <s v="No aplica"/>
    <s v="NA"/>
    <s v="NA"/>
    <s v="NA"/>
    <s v="N/A"/>
    <s v="N/A"/>
    <s v="N/A-N/A"/>
    <s v="N/A"/>
    <s v="N/A"/>
    <s v="N/A_N/A"/>
    <s v="N/A-N/A N/A_N/A"/>
    <x v="5"/>
    <x v="5"/>
    <x v="17"/>
    <s v="No Secop"/>
  </r>
  <r>
    <n v="20250493"/>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3"/>
    <n v="0"/>
    <n v="6781178"/>
    <x v="1"/>
    <s v="01 - licitación pública"/>
    <s v="No aplica"/>
    <s v="NA"/>
    <s v="NA"/>
    <s v="NA"/>
    <s v="N/A"/>
    <s v="N/A"/>
    <s v="N/A-N/A"/>
    <s v="N/A"/>
    <s v="N/A"/>
    <s v="N/A_N/A"/>
    <s v="N/A-N/A N/A_N/A"/>
    <x v="5"/>
    <x v="5"/>
    <x v="17"/>
    <s v="No Secop"/>
  </r>
  <r>
    <n v="20250494"/>
    <x v="2"/>
    <x v="11"/>
    <s v="Fatima Veronica Quintero Nuñez"/>
    <s v="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10"/>
    <n v="0"/>
    <n v="6319572073"/>
    <x v="1"/>
    <s v="01 - licitación pública"/>
    <s v="No aplica"/>
    <s v="NA"/>
    <s v="NA"/>
    <s v="NA"/>
    <s v="N/A"/>
    <s v="N/A"/>
    <s v="N/A-N/A"/>
    <s v="N/A"/>
    <s v="N/A"/>
    <s v="N/A_N/A"/>
    <s v="N/A-N/A N/A_N/A"/>
    <x v="5"/>
    <x v="5"/>
    <x v="17"/>
    <s v="Si Secop "/>
  </r>
  <r>
    <n v="20250495"/>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2"/>
    <n v="3"/>
    <n v="0"/>
    <n v="85345380"/>
    <x v="1"/>
    <s v="01 - licitación pública"/>
    <s v="No aplica"/>
    <s v="NA"/>
    <s v="NA"/>
    <s v="NA"/>
    <s v="N/A"/>
    <s v="N/A"/>
    <s v="N/A-N/A"/>
    <s v="N/A"/>
    <s v="N/A"/>
    <s v="N/A_N/A"/>
    <s v="N/A-N/A N/A_N/A"/>
    <x v="5"/>
    <x v="5"/>
    <x v="17"/>
    <s v="No Secop"/>
  </r>
  <r>
    <n v="20250496"/>
    <x v="2"/>
    <x v="11"/>
    <s v="Fatima Veronica Quintero Nuñez"/>
    <s v="Mantenimiento ascensor nueva Estación de Bomberos de Fontibón-SGC"/>
    <s v="27 - contrato de prestacion de servicios de mantenimiento"/>
    <s v="72101506;_x000a_72154010;"/>
    <n v="4"/>
    <n v="10"/>
    <n v="0"/>
    <n v="11000000"/>
    <x v="1"/>
    <s v=" 09 - contratación directa "/>
    <s v="No aplica"/>
    <s v="NA"/>
    <s v="NA"/>
    <s v="NA"/>
    <s v="N/A"/>
    <s v="N/A"/>
    <s v="N/A-N/A"/>
    <s v="N/A"/>
    <s v="N/A"/>
    <s v="N/A_N/A"/>
    <s v="N/A-N/A N/A_N/A"/>
    <x v="5"/>
    <x v="5"/>
    <x v="17"/>
    <s v="Si Secop "/>
  </r>
  <r>
    <n v="20250497"/>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1141503;_x000a_81141804;"/>
    <n v="3"/>
    <n v="2"/>
    <n v="0"/>
    <n v="1285200"/>
    <x v="1"/>
    <s v="04 - contratación mínima cuantía"/>
    <s v="No aplica"/>
    <s v="NA"/>
    <s v="NA"/>
    <s v="NA"/>
    <s v="N/A"/>
    <s v="N/A"/>
    <s v="N/A-N/A"/>
    <s v="N/A"/>
    <s v="N/A"/>
    <s v="N/A_N/A"/>
    <s v="N/A-N/A N/A_N/A"/>
    <x v="5"/>
    <x v="5"/>
    <x v="17"/>
    <s v="Si Secop "/>
  </r>
  <r>
    <n v="20250500"/>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10"/>
    <n v="0"/>
    <n v="40000000"/>
    <x v="1"/>
    <s v="04 - contratación mínima cuantía"/>
    <s v="No aplica"/>
    <s v="NA"/>
    <s v="NA"/>
    <s v="NA"/>
    <s v="N/A"/>
    <s v="N/A"/>
    <s v="N/A-N/A"/>
    <s v="N/A"/>
    <s v="N/A"/>
    <s v="N/A_N/A"/>
    <s v="N/A-N/A N/A_N/A"/>
    <x v="5"/>
    <x v="5"/>
    <x v="17"/>
    <s v="Si Secop "/>
  </r>
  <r>
    <n v="20250501"/>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10"/>
    <n v="0"/>
    <n v="30000000"/>
    <x v="1"/>
    <s v="04 - contratación mínima cuantía"/>
    <s v="No aplica"/>
    <s v="NA"/>
    <s v="NA"/>
    <s v="NA"/>
    <s v="N/A"/>
    <s v="N/A"/>
    <s v="N/A-N/A"/>
    <s v="N/A"/>
    <s v="N/A"/>
    <s v="N/A_N/A"/>
    <s v="N/A-N/A N/A_N/A"/>
    <x v="5"/>
    <x v="5"/>
    <x v="17"/>
    <s v="Si Secop "/>
  </r>
  <r>
    <n v="20250502"/>
    <x v="2"/>
    <x v="11"/>
    <s v="Fatima Veronica Quintero Nuñez"/>
    <s v="Suministro de insumos para lavandería-SGC"/>
    <s v="08 - contrato de suministro"/>
    <s v="44103100;"/>
    <n v="3"/>
    <n v="8"/>
    <n v="0"/>
    <n v="10000000"/>
    <x v="1"/>
    <s v="04 - contratación mínima cuantía"/>
    <s v="No aplica"/>
    <s v="NA"/>
    <s v="NA"/>
    <s v="NA"/>
    <s v="N/A"/>
    <s v="N/A"/>
    <s v="N/A-N/A"/>
    <s v="N/A"/>
    <s v="N/A"/>
    <s v="N/A_N/A"/>
    <s v="N/A-N/A N/A_N/A"/>
    <x v="5"/>
    <x v="5"/>
    <x v="17"/>
    <s v="Si Secop "/>
  </r>
  <r>
    <n v="20250503"/>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3"/>
    <n v="0"/>
    <n v="29250000"/>
    <x v="1"/>
    <s v="04 - contratación mínima cuantía"/>
    <s v="No aplica"/>
    <s v="NA"/>
    <s v="NA"/>
    <s v="NA"/>
    <s v="N/A"/>
    <s v="N/A"/>
    <s v="N/A-N/A"/>
    <s v="N/A"/>
    <s v="N/A"/>
    <s v="N/A_N/A"/>
    <s v="N/A-N/A N/A_N/A"/>
    <x v="5"/>
    <x v="5"/>
    <x v="17"/>
    <s v="No Secop"/>
  </r>
  <r>
    <n v="20250504"/>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64528742"/>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8"/>
    <s v="Si Secop "/>
  </r>
  <r>
    <n v="20250505"/>
    <x v="0"/>
    <x v="11"/>
    <s v="Fatima Veronica Quintero Nuñez"/>
    <s v="Mantenimiento preventivo y/o correctivo, suministros y repuestos de los equipos de gimnasio de las diferentes instalaciones a cargo de la UAE Cuerpo Oficial de Bomberos. -SGC"/>
    <s v="17 - contrato de mantenimiento"/>
    <s v="72151802;"/>
    <n v="2"/>
    <n v="9"/>
    <n v="0"/>
    <n v="4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506"/>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6"/>
    <n v="0"/>
    <n v="1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507"/>
    <x v="0"/>
    <x v="11"/>
    <s v="Fatima Veronica Quintero Nuñez"/>
    <s v="Mantenimiento preventivo y/o correctivo, suministros y repuestos de los electrodomésticos de las instalaciones a cargo de la UAE Cuerpo Oficial de Bomberos Bogotá-SGC"/>
    <s v="17 - contrato de mantenimiento"/>
    <n v="73152108"/>
    <n v="3"/>
    <n v="8"/>
    <n v="0"/>
    <n v="15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508"/>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8"/>
    <n v="0"/>
    <n v="243061556"/>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Si Secop "/>
  </r>
  <r>
    <n v="20250510"/>
    <x v="0"/>
    <x v="11"/>
    <s v="Fatima Veronica Quintero Nuñez"/>
    <s v="Adición No. 1 y Prorroga No 2 del CTO 357 de 2024 - Realizar el mantenimiento predictivo, preventivo, correctivo, mejoras y dotación a las instalaciones de las dependencias de la Unidad Administrativa Especial Cuerpo Oficial de Bomberos de Bogotá D.C. - SGC"/>
    <s v="17 - contrato de mantenimiento"/>
    <s v="72102900; 72121400; 72151700;72154000;72101500"/>
    <n v="2"/>
    <n v="8"/>
    <n v="0"/>
    <n v="400000000"/>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4"/>
    <s v="No Secop"/>
  </r>
  <r>
    <n v="20250511"/>
    <x v="0"/>
    <x v="11"/>
    <s v="Fatima Veronica Quintero Nuñez"/>
    <s v="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 81101500; 72101500; 72121400"/>
    <n v="2"/>
    <n v="8"/>
    <n v="0"/>
    <n v="99999984"/>
    <x v="0"/>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4"/>
    <s v="No Secop"/>
  </r>
  <r>
    <n v="20250512"/>
    <x v="0"/>
    <x v="11"/>
    <s v="Fatima Veronica Quintero Nuñez"/>
    <s v="Adquisicion de las lavadoras industriales para las instalaciones de la UAE Cuerpo Oficial de Bomberos de Bogotá-SGC"/>
    <s v="06 - contrato de compraventa"/>
    <s v="47111500; 47111700"/>
    <n v="4"/>
    <n v="3"/>
    <n v="0"/>
    <n v="1000000"/>
    <x v="0"/>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3"/>
    <s v="Si Secop "/>
  </r>
  <r>
    <n v="20250515"/>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116435074"/>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8"/>
    <s v="No Secop"/>
  </r>
  <r>
    <n v="20250516"/>
    <x v="0"/>
    <x v="11"/>
    <s v="Fatima Veronica Quintero Nuñez"/>
    <s v="Adquisición de andamios, escaleras certificadas, y elementos de protección personal para la seguridad y salud en el trabajo en el desarrollo de actividades locativas de las estaciones y demás instalaciones de la UAECOB-SGC."/>
    <s v="08 - contrato de suministro"/>
    <s v="30191502; 30191501; 46182307; 46182314; 49211805; 46182002; 46181900; 46182304;"/>
    <n v="1"/>
    <n v="2"/>
    <n v="0"/>
    <n v="5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3"/>
    <s v="Si Secop "/>
  </r>
  <r>
    <n v="20250517"/>
    <x v="1"/>
    <x v="11"/>
    <s v="Fatima Veronica Quintero Nuñez"/>
    <s v="Elaboración de estudios y diseños técnicos para la construcción de la estación de bomberos  B-18 de la UAE Cuerpo Oficial de Bomberos de Bogotá – SGC"/>
    <s v="04 - contrato de consultoria"/>
    <s v="81101500;80101600"/>
    <n v="4"/>
    <n v="10"/>
    <n v="0"/>
    <n v="201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18"/>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10"/>
    <n v="0"/>
    <n v="1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19"/>
    <x v="1"/>
    <x v="11"/>
    <s v="Fatima Veronica Quintero Nuñez"/>
    <s v="Elaboración de estudios y diseños técnicos para la adecuación de la estación de bomberos de Chapinero B-01  de la UAE Cuerpo Oficial de Bomberos de Bogotá – SGC"/>
    <s v="04 - contrato de consultoria"/>
    <s v="81101500;80101600"/>
    <n v="4"/>
    <n v="10"/>
    <n v="0"/>
    <n v="300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20"/>
    <x v="1"/>
    <x v="11"/>
    <s v="Fatima Veronica Quintero Nuñez"/>
    <s v="Interventoría técnica, administrativa, financiera, contable, jurídica y ambiental para la elaboración de estudios y diseños técnicos para la adecuación de la estación de Bomberos de Chapinero B-01 de la UAE Cuerpo Oficial de Bomberos de Bogotá – SGC"/>
    <s v="14 - contrato de interventoria"/>
    <s v="80101600;81101500;72101500;72121400"/>
    <n v="4"/>
    <n v="10"/>
    <n v="0"/>
    <n v="74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21"/>
    <x v="1"/>
    <x v="11"/>
    <s v="Fatima Veronica Quintero Nuñez"/>
    <s v="Elaboración de estudios y diseños técnicos para la construcción de la estación de bomberos de Puente Aranda B-4 de la UAE Cuerpo Oficial de Bomberos de Bogotá – SGC"/>
    <s v="04 - contrato de consultoria"/>
    <s v="81101500;80101600"/>
    <n v="4"/>
    <n v="10"/>
    <n v="0"/>
    <n v="500000000"/>
    <x v="0"/>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5"/>
    <x v="15"/>
    <x v="14"/>
    <s v="Si Secop "/>
  </r>
  <r>
    <n v="20250522"/>
    <x v="1"/>
    <x v="11"/>
    <s v="Fatima Veronica Quintero Nuñez"/>
    <s v="Interventoría técnica, administrativa, financiera, contable, jurídica y ambiental para la elaboración de estudios y diseños técnicos para la construcción de la estación de Bomberos de Punete Aranda B-4 de la UAE Cuerpo Oficial de Bomberos de Bogotá – SGC"/>
    <s v="14 - contrato de interventoria"/>
    <s v="80101600;81101500;72101500;72121400"/>
    <n v="4"/>
    <n v="10"/>
    <n v="0"/>
    <n v="150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5"/>
    <x v="15"/>
    <x v="14"/>
    <s v="Si Secop "/>
  </r>
  <r>
    <n v="20250523"/>
    <x v="1"/>
    <x v="11"/>
    <s v="Fatima Veronica Quintero Nuñez"/>
    <s v="Construcción y adecuación de la estación de bomberos de Caobos Salazar B-13 de la UAE Cuerpo Oficial de Bomberos de Bogotá – SGC"/>
    <s v="05 - contrato de obra"/>
    <s v="72121400; 72151700; 72151700; 81101500"/>
    <n v="8"/>
    <n v="20"/>
    <n v="0"/>
    <n v="7629266116"/>
    <x v="0"/>
    <s v="01 - licitación públic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24"/>
    <x v="1"/>
    <x v="11"/>
    <s v="Fatima Veronica Quintero Nuñez"/>
    <s v="Interventoría técnica, administrativa, financiera, contable, jurídica y ambiental para Construcción y adecuación de la estación de bomberos de Caobos Salazar B-13 de la UAE Cuerpo Oficial de Bomberos de Bogotá – SGC"/>
    <s v="14 - contrato de interventoria"/>
    <s v="81101500; 80101600; 72121400; 95121700"/>
    <n v="8"/>
    <n v="20"/>
    <n v="0"/>
    <n v="392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Si Secop "/>
  </r>
  <r>
    <n v="20250525"/>
    <x v="0"/>
    <x v="11"/>
    <s v="Fatima Veronica Quintero Nuñez"/>
    <s v="Prestación de servicios profesionales especializados para apoyar las actividades de seguimiento técnico del Área de Infraestructura de la Subdirección de Gestión Corporativa-SGC"/>
    <s v="25 - contrato de prestacion de servicios profesionales"/>
    <s v="80111600;"/>
    <n v="2"/>
    <n v="11"/>
    <n v="0"/>
    <n v="11223766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2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2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2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29"/>
    <x v="1"/>
    <x v="11"/>
    <s v="Fatima Veronica Quintero Nuñez"/>
    <s v="Prestación de servicios profesionales para apoyar las actividades jurídicas de la Subdirección de Gestión Corporativa-SGC"/>
    <s v="25 - contrato de prestacion de servicios profesionales"/>
    <s v="80111600;"/>
    <n v="2"/>
    <n v="11"/>
    <n v="0"/>
    <n v="78650000"/>
    <x v="0"/>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5"/>
    <x v="15"/>
    <x v="1"/>
    <s v="Si Secop "/>
  </r>
  <r>
    <n v="20250530"/>
    <x v="1"/>
    <x v="11"/>
    <s v="Fatima Veronica Quintero Nuñez"/>
    <s v="Prestación de servicios profesionales en la proyección y el seguimiento financiero a los proyectos de la Subdirección de Gestión Corporativa-SGC"/>
    <s v="25 - contrato de prestacion de servicios profesionales"/>
    <s v="80111600;"/>
    <n v="2"/>
    <n v="11"/>
    <n v="0"/>
    <n v="6292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0"/>
    <s v="Si Secop "/>
  </r>
  <r>
    <n v="20250531"/>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11"/>
    <n v="0"/>
    <n v="6655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0"/>
    <s v="Si Secop "/>
  </r>
  <r>
    <n v="20250532"/>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4423788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533"/>
    <x v="1"/>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7940625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53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3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36"/>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11"/>
    <n v="0"/>
    <n v="8348256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37"/>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11"/>
    <n v="0"/>
    <n v="7623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38"/>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11"/>
    <n v="0"/>
    <n v="9991889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539"/>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11"/>
    <n v="0"/>
    <n v="3860761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0"/>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11"/>
    <n v="0"/>
    <n v="99918896"/>
    <x v="0"/>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x v="16"/>
    <x v="16"/>
    <x v="0"/>
    <s v="Si Secop "/>
  </r>
  <r>
    <n v="20250541"/>
    <x v="0"/>
    <x v="11"/>
    <s v="Fatima Veronica Quintero Nuñez"/>
    <s v="Prestación de servicios de apoyo en las actividades asociadas a los procesos de almacén de la Subdirección de Gestión Corporativa 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2"/>
    <x v="0"/>
    <x v="11"/>
    <s v="Fatima Veronica Quintero Nuñez"/>
    <s v="Prestación de servicios profesionales para atender las actividades financieras, a cargo de la Subdirección de Gestión Corporativa-SGC"/>
    <s v="25 - contrato de prestacion de servicios profesionales"/>
    <s v="80111600;"/>
    <n v="2"/>
    <n v="11"/>
    <n v="0"/>
    <n v="726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3"/>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11"/>
    <n v="0"/>
    <n v="372438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4"/>
    <x v="0"/>
    <x v="11"/>
    <s v="Fatima Veronica Quintero Nuñez"/>
    <s v="Prestación de servicios profesionales en el marco de las actividades administrativas de la Subdirección de Gestión Corporativa--SGC"/>
    <s v="25 - contrato de prestacion de servicios profesionales"/>
    <s v="80111600;"/>
    <n v="2"/>
    <n v="11"/>
    <n v="0"/>
    <n v="673863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5"/>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11"/>
    <n v="0"/>
    <n v="49066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46"/>
    <x v="1"/>
    <x v="11"/>
    <s v="Fatima Veronica Quintero Nuñez"/>
    <s v="Prestar servicios profesionales para realizar acompañamiento en los procesos contractuales adelantados por la Subdirección Gestión Corporativa -SGC"/>
    <s v="25 - contrato de prestacion de servicios profesionales"/>
    <s v="80111600;"/>
    <n v="2"/>
    <n v="11"/>
    <n v="0"/>
    <n v="605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547"/>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11"/>
    <n v="0"/>
    <n v="72600000"/>
    <x v="0"/>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x v="16"/>
    <x v="16"/>
    <x v="1"/>
    <s v="Si Secop "/>
  </r>
  <r>
    <n v="20250548"/>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11"/>
    <n v="0"/>
    <n v="72600000"/>
    <x v="0"/>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5"/>
    <x v="15"/>
    <x v="16"/>
    <s v="Si Secop "/>
  </r>
  <r>
    <n v="20250549"/>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11"/>
    <n v="0"/>
    <n v="67386352"/>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550"/>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11"/>
    <n v="0"/>
    <n v="9075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551"/>
    <x v="0"/>
    <x v="11"/>
    <s v="Fatima Veronica Quintero Nuñez"/>
    <s v="Prestación de servicios de apoyo a la gestión del proceso de inventarios de la Subdirección de Gestión Corporativa.-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2"/>
    <x v="0"/>
    <x v="11"/>
    <s v="Fatima Veronica Quintero Nuñez"/>
    <s v="Prestación de servicios de apoyo a la gestión del proceso de inventarios de la Subdirección de Gestión Corporativa.-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3"/>
    <x v="0"/>
    <x v="11"/>
    <s v="Fatima Veronica Quintero Nuñez"/>
    <s v="Prestar los servicios profesionales en las actividades asociadas del área de infraestructura que contribuyan para la implementación de procesos y procedimientos para la adecuada prestación del servicio-SGC."/>
    <s v="25 - contrato de prestacion de servicios profesionales"/>
    <s v="80111600;"/>
    <n v="2"/>
    <n v="6"/>
    <n v="0"/>
    <n v="46585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4"/>
    <x v="0"/>
    <x v="11"/>
    <s v="Fatima Veronica Quintero Nuñez"/>
    <s v="Prestación de servicios de apoyo a la gestión documental de la Subdirección de Gestión Corporativa de la Unidad.-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5"/>
    <x v="0"/>
    <x v="11"/>
    <s v="Fatima Veronica Quintero Nuñez"/>
    <s v="Prestación de servicios de apoyo a la gestión documental de la Subdirección de Gestión Corporativa de la Unidad.-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6"/>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11"/>
    <n v="0"/>
    <n v="335344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7"/>
    <x v="0"/>
    <x v="11"/>
    <s v="Fatima Veronica Quintero Nuñez"/>
    <s v="Prestación de servicios de apoyo técnico en la gestión documental de la Subdirección de Gestión Corporativa de la Unidad-SGC"/>
    <s v="26 - contrato de prestacion de servicios de apoyo a la gestion"/>
    <s v="80111600;"/>
    <n v="2"/>
    <n v="11"/>
    <n v="0"/>
    <n v="4585319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58"/>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440000000"/>
    <x v="1"/>
    <s v="01 - licitación pública"/>
    <s v="No aplica"/>
    <s v="NA"/>
    <s v="NA"/>
    <s v="NA"/>
    <s v="N/A"/>
    <s v="N/A"/>
    <s v="N/A-N/A"/>
    <s v="N/A"/>
    <s v="N/A"/>
    <s v="N/A_N/A"/>
    <s v="N/A-N/A N/A_N/A"/>
    <x v="5"/>
    <x v="5"/>
    <x v="17"/>
    <s v="No Secop"/>
  </r>
  <r>
    <n v="20250559"/>
    <x v="2"/>
    <x v="10"/>
    <s v="Paula Ximena Henao Escobar"/>
    <s v="Adición y prorróga al contrato No. 785 de 2024 cuyo objeto es &quot;_x0009_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quot;"/>
    <s v="27 - contrato de prestacion de servicios de mantenimiento"/>
    <s v="81111811;72151600; 43223300;_x000a_39131700"/>
    <n v="8"/>
    <n v="6"/>
    <n v="0"/>
    <n v="82808364"/>
    <x v="1"/>
    <s v="03 - selec. abrev. subasta inversa"/>
    <s v="No aplica"/>
    <s v="NA"/>
    <s v="NA"/>
    <s v="NA"/>
    <s v="N/A"/>
    <s v="N/A"/>
    <s v="N/A-N/A"/>
    <s v="N/A"/>
    <s v="N/A"/>
    <s v="N/A_N/A"/>
    <s v="N/A-N/A N/A_N/A"/>
    <x v="5"/>
    <x v="5"/>
    <x v="19"/>
    <s v="Si Secop "/>
  </r>
  <r>
    <n v="20250560"/>
    <x v="2"/>
    <x v="10"/>
    <s v="Paula Ximena Henao Escobar"/>
    <s v="Contratar los servicios de canales de datos dedicados para la UAE Cuerpo Oficial de Bomberos de Bogotá-TIC"/>
    <s v="24 - contrato de servicio"/>
    <n v="81112100"/>
    <n v="3"/>
    <n v="12"/>
    <n v="0"/>
    <n v="514061636"/>
    <x v="1"/>
    <s v="09 - contratación directa"/>
    <s v="No aplica"/>
    <s v="NA"/>
    <s v="NA"/>
    <s v="NA"/>
    <s v="N/A"/>
    <s v="N/A"/>
    <s v="N/A-N/A"/>
    <s v="N/A"/>
    <s v="N/A"/>
    <s v="N/A_N/A"/>
    <s v="N/A-N/A N/A_N/A"/>
    <x v="5"/>
    <x v="5"/>
    <x v="20"/>
    <s v="Si Secop "/>
  </r>
  <r>
    <n v="20250561"/>
    <x v="2"/>
    <x v="10"/>
    <s v="Paula Ximena Henao Escobar"/>
    <s v="Contratar  la suscripción de licencias Suite Adobe para la UAE Cuerpo Oficial de Bomberos de Bogotá-TIC"/>
    <s v="19 - contrato de renovacion de licencias"/>
    <s v="81112501;43232102;43232103;43231512"/>
    <n v="11"/>
    <n v="12"/>
    <n v="0"/>
    <n v="43000000"/>
    <x v="1"/>
    <s v="04 - contratación mínima cuantía"/>
    <s v="No aplica"/>
    <s v="NA"/>
    <s v="NA"/>
    <s v="NA"/>
    <s v="N/A"/>
    <s v="N/A"/>
    <s v="N/A-N/A"/>
    <s v="N/A"/>
    <s v="N/A"/>
    <s v="N/A_N/A"/>
    <s v="N/A-N/A N/A_N/A"/>
    <x v="5"/>
    <x v="5"/>
    <x v="21"/>
    <s v="Si Secop "/>
  </r>
  <r>
    <n v="20250562"/>
    <x v="2"/>
    <x v="10"/>
    <s v="Paula Ximena Henao Escobar"/>
    <s v="Contratar la renovación de la membresía LACNIC para mantener la disponibilidad del bloque de direcciones IPV6 adquirido por la U.A.E. Cuerpo Oficial de Bomberos de Bogotá"/>
    <s v="28 - contrato de ciencia y tecnologia"/>
    <s v="81112100;81111500"/>
    <n v="11"/>
    <n v="12"/>
    <n v="0"/>
    <n v="13000000"/>
    <x v="1"/>
    <s v="04 - contratación mínima cuantía"/>
    <s v="No aplica"/>
    <s v="NA"/>
    <s v="NA"/>
    <s v="NA"/>
    <s v="N/A"/>
    <s v="N/A"/>
    <s v="N/A-N/A"/>
    <s v="N/A"/>
    <s v="N/A"/>
    <s v="N/A_N/A"/>
    <s v="N/A-N/A N/A_N/A"/>
    <x v="5"/>
    <x v="5"/>
    <x v="20"/>
    <s v="Si Secop "/>
  </r>
  <r>
    <n v="20250563"/>
    <x v="0"/>
    <x v="4"/>
    <s v="Paula Ximena Henao Escobar"/>
    <s v="Prestar servicios profesionales en la Dirección General para gestionar las  actividades de cooperación técnica internacional y articulación interinstitucional encaminadas a fortalecer e impulsar las metas de la Entidad"/>
    <s v="25 - contrato de prestacion de servicios profesionales"/>
    <n v="80111600"/>
    <n v="2"/>
    <n v="8"/>
    <n v="0"/>
    <n v="6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64"/>
    <x v="0"/>
    <x v="4"/>
    <s v="Paula Ximena Henao Escobar"/>
    <s v="Prestar servicios profesionales especializados en la Dirección General de la UAECOB en la organización y liderazgo de los asuntos relacionados con cooperación técnica internacional y articulación interinstitucional de conformidad a la misionalidad de la entidad."/>
    <s v="25 - contrato de prestacion de servicios profesionales"/>
    <n v="80111600"/>
    <n v="2"/>
    <n v="8"/>
    <n v="0"/>
    <n v="7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65"/>
    <x v="0"/>
    <x v="5"/>
    <s v="Paula Ximena Henao Escobar"/>
    <s v="Prestar servicios de apoyo a la gestión en asuntos de comunicaciones y prensa para realizar labores de diseño y diagramación de productos editoriales de la UAECOB"/>
    <s v="26 - contrato de prestacion de servicios de apoyo a la gestion"/>
    <n v="80111600"/>
    <n v="2"/>
    <n v="6"/>
    <n v="0"/>
    <n v="26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566"/>
    <x v="0"/>
    <x v="5"/>
    <s v="Paula Ximena Henao Escobar"/>
    <s v="Prestación de servicios profesionales en asuntos de comunicaciones y prensa para la traducción de textos editoriales que contribuyan al fortalecimiento y gestión de la imagen corporativa de la entidad."/>
    <s v="25 - contrato de prestacion de servicios profesionales"/>
    <n v="80111600"/>
    <n v="2"/>
    <n v="3"/>
    <n v="0"/>
    <n v="18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567"/>
    <x v="0"/>
    <x v="4"/>
    <s v="Paula Ximena Henao Escobar"/>
    <s v="Prestar servicios profesionales en la Dirección General para apoyar las actividades de cooperación técnica internacional y articulación interinstitucional de conformidad a la misionalidad de la Entidad"/>
    <s v="25 - contrato de prestacion de servicios profesionales"/>
    <n v="80111600"/>
    <n v="2"/>
    <n v="8"/>
    <n v="0"/>
    <n v="6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68"/>
    <x v="0"/>
    <x v="5"/>
    <s v="Paula Ximena Henao Escobar"/>
    <s v="Prestar servicios profesionales en asuntos de comunicaciones y prensa para apoyar materia de seguimiento para el cumplimiento de la misionalidad"/>
    <s v="25 - contrato de prestacion de servicios profesionales"/>
    <n v="80111600"/>
    <n v="2"/>
    <n v="11"/>
    <n v="0"/>
    <n v="1103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569"/>
    <x v="1"/>
    <x v="6"/>
    <s v="Jose Andres Ponce Caicedo"/>
    <s v="SGH - Prestar servicios profesionales en la Subdireccion de Gestion Humana de la UAE Cuerpo Oficial de Bomberos en el proceso de ausentismo, recobro de incapacidades y los subprocesos directamente relacionados "/>
    <s v="25 - contrato de prestacion de servicios profesionales"/>
    <n v="80111600"/>
    <n v="2"/>
    <n v="8"/>
    <n v="15"/>
    <n v="48256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0"/>
    <x v="1"/>
    <x v="6"/>
    <s v="Jose Andres Ponce Caicedo"/>
    <s v="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
    <s v="26 - contrato de prestacion de servicios de apoyo a la gestion"/>
    <n v="80111600"/>
    <n v="2"/>
    <n v="10"/>
    <n v="0"/>
    <n v="22118946"/>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1"/>
    <x v="1"/>
    <x v="6"/>
    <s v="Jose Andres Ponce Caicedo"/>
    <s v="SGH - Prestar servicios profesionales para apoyar el programa de desórdenes musculoesqueléticos de la UAE Cuerpo Oficial de Bomberos de Bogotá&quot;."/>
    <s v="25 - contrato de prestacion de servicios profesionales"/>
    <n v="80111600"/>
    <n v="2"/>
    <n v="11"/>
    <n v="0"/>
    <n v="49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2"/>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2"/>
    <n v="11"/>
    <n v="0"/>
    <n v="48683333"/>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3"/>
    <x v="1"/>
    <x v="6"/>
    <s v="Jose Andres Ponce Caicedo"/>
    <s v="SGH - Prestar servicios profesionales para la implementación y seguimiento del sistema de gestión de seguridad y salud en el trabajo en la Subdirección de Gestión Humana."/>
    <s v="25 - contrato de prestacion de servicios profesionales"/>
    <n v="80111600"/>
    <n v="2"/>
    <n v="11"/>
    <n v="0"/>
    <n v="561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4"/>
    <x v="1"/>
    <x v="6"/>
    <s v="Jose Andres Ponce Caicedo"/>
    <s v="SGH - Prestar sus servicios profesionales en la Subdirección de Gestión Humana, en la administración de sistema de seguridad y salud en el trabajo"/>
    <s v="25 - contrato de prestacion de servicios profesionales"/>
    <n v="80111600"/>
    <n v="2"/>
    <n v="11"/>
    <n v="0"/>
    <n v="52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5"/>
    <x v="1"/>
    <x v="6"/>
    <s v="Jose Andres Ponce Caicedo"/>
    <s v="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
    <s v="25 - contrato de prestacion de servicios profesionales"/>
    <n v="80111600"/>
    <n v="2"/>
    <n v="11"/>
    <n v="0"/>
    <n v="76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6"/>
    <x v="1"/>
    <x v="6"/>
    <s v="Jose Andres Ponce Caicedo"/>
    <s v="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
    <s v="26 - contrato de prestacion de servicios de apoyo a la gestion"/>
    <n v="80111600"/>
    <n v="2"/>
    <n v="8"/>
    <n v="0"/>
    <n v="2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7"/>
    <x v="1"/>
    <x v="6"/>
    <s v="Jose Andres Ponce Caicedo"/>
    <s v="SGH - Prestar servicios de apoyo para ejecutar actividades en la gestión de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8"/>
    <n v="0"/>
    <n v="2627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8"/>
    <x v="1"/>
    <x v="6"/>
    <s v="Jose Andres Ponce Caicedo"/>
    <s v="SGH-Prestación de servicios profesionales para acompañar a la subdirección de gestión humana en el desarrollo de las actividades encaminadas al diseño de piezas comunicativas que se requieran en el marco de los procesos y procedimientos a cargo de la dependencia."/>
    <s v="25 - contrato de prestacion de servicios profesionales"/>
    <n v="80111600"/>
    <n v="2"/>
    <n v="11"/>
    <n v="0"/>
    <n v="45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79"/>
    <x v="1"/>
    <x v="6"/>
    <s v="Jose Andres Ponce Caicedo"/>
    <s v="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
    <s v="25 - contrato de prestacion de servicios profesionales"/>
    <n v="80111600"/>
    <n v="2"/>
    <n v="11"/>
    <n v="0"/>
    <n v="89299721"/>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Si Secop "/>
  </r>
  <r>
    <n v="20250580"/>
    <x v="1"/>
    <x v="6"/>
    <s v="Jose Andres Ponce Caicedo"/>
    <s v="SGH-Prestar servicios profesionales para acompañar a la subdirección de gestión humana en el desarrollo de las actividades realizadas en el marco de la actuación del comité de mujer y género"/>
    <s v="25 - contrato de prestacion de servicios profesionales"/>
    <n v="80111600"/>
    <n v="2"/>
    <n v="11"/>
    <n v="0"/>
    <n v="3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1"/>
    <x v="1"/>
    <x v="6"/>
    <s v="Jose Andres Ponce Caicedo"/>
    <s v="SGH - Prestar servicios profesionales para acompañar a la Subdireccion de Gestion Humana en la planeacion, trámite y seguimiento de los aspectos presupuestales, financieros y contractuales a cargo de la dependencia"/>
    <s v="25 - contrato de prestacion de servicios profesionales"/>
    <n v="80111600"/>
    <n v="2"/>
    <n v="11"/>
    <n v="0"/>
    <n v="6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2"/>
    <x v="1"/>
    <x v="6"/>
    <s v="Jose Andres Ponce Caicedo"/>
    <s v="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
    <s v="25 - contrato de prestacion de servicios profesionales"/>
    <n v="80111600"/>
    <n v="2"/>
    <n v="8"/>
    <n v="0"/>
    <n v="5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3"/>
    <x v="1"/>
    <x v="6"/>
    <s v="Jose Andres Ponce Caicedo"/>
    <s v="SGH - Prestar sus servicios profesionales en la Subdirección de Gestión Humana, en los procesos contractuales y demás actividades relacionadas con la Subdirección de Gestión Humana"/>
    <s v="25 - contrato de prestacion de servicios profesionales"/>
    <n v="80111600"/>
    <n v="2"/>
    <n v="11"/>
    <n v="0"/>
    <n v="40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4"/>
    <x v="1"/>
    <x v="6"/>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
    <s v="25 - contrato de prestacion de servicios profesionales"/>
    <n v="80111600"/>
    <n v="2"/>
    <n v="11"/>
    <n v="0"/>
    <n v="27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5"/>
    <x v="1"/>
    <x v="6"/>
    <s v="Jose Andres Ponce Caicedo"/>
    <s v="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
    <s v="25 - contrato de prestacion de servicios profesionales"/>
    <n v="80111600"/>
    <n v="2"/>
    <n v="11"/>
    <n v="0"/>
    <n v="27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586"/>
    <x v="0"/>
    <x v="1"/>
    <s v="Monica Perez Barragan"/>
    <s v="Prestar los servicios profesionales jurídicos para apoyar las actividades propias de la gestión contractual que adelanta la Oficina Jurídica"/>
    <s v="25 - contrato de prestacion de servicios profesionales"/>
    <n v="80111600"/>
    <n v="2"/>
    <n v="11"/>
    <n v="0"/>
    <n v="459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587"/>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4"/>
    <n v="0"/>
    <n v="28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88"/>
    <x v="2"/>
    <x v="11"/>
    <s v="Fatima Veronica Quintero Nuñez"/>
    <s v="Adición No 1. al contrato 244 de 2024 que tiene como objeto &quot;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0"/>
    <n v="5684125"/>
    <x v="1"/>
    <s v="02 - selec. abrev. menor cuantía"/>
    <s v="No aplica"/>
    <s v="NA"/>
    <s v="NA"/>
    <s v="NA"/>
    <s v="N/A"/>
    <s v="N/A"/>
    <s v="N/A-N/A"/>
    <s v="N/A"/>
    <s v="N/A"/>
    <s v="N/A_N/A"/>
    <s v="N/A-N/A N/A_N/A"/>
    <x v="5"/>
    <x v="5"/>
    <x v="2"/>
    <s v="No Secop"/>
  </r>
  <r>
    <n v="2025059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599"/>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00"/>
    <x v="0"/>
    <x v="11"/>
    <s v="Fatima Veronica Quintero Nuñez"/>
    <s v="Prestación de servicios de apoyo a la gestión del proceso de inventarios de la Subdirección de Gestión Corporativa.-SGC"/>
    <s v="26 - contrato de prestacion de servicios de apoyo a la gestion"/>
    <s v="80111600;"/>
    <n v="2"/>
    <n v="9"/>
    <n v="0"/>
    <n v="2533625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01"/>
    <x v="0"/>
    <x v="11"/>
    <s v="Fatima Veronica Quintero Nuñez"/>
    <s v="Prestar los servicios profesionales para el acompañamiento y seguimiento de los planes y proyectos del area de inventarios de la Subdireccion de Gestión Corporativa-SGC"/>
    <s v="25 - contrato de prestacion de servicios profesionales"/>
    <s v="80111600;"/>
    <n v="2"/>
    <n v="9"/>
    <n v="0"/>
    <n v="911568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02"/>
    <x v="0"/>
    <x v="11"/>
    <s v="Fatima Veronica Quintero Nuñez"/>
    <s v="Prestar los servicios profesionales en el area de inventarios de la Subdireccion de Gestión Corporativa-SGC"/>
    <s v="25 - contrato de prestacion de servicios profesionales"/>
    <s v="80111600;"/>
    <n v="2"/>
    <n v="9"/>
    <n v="0"/>
    <n v="41288696"/>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03"/>
    <x v="2"/>
    <x v="11"/>
    <s v="Fatima Veronica Quintero Nuñez"/>
    <s v="Contratar los seguros de casco aviación aeronaves no tri-puladas (drones)de propiedad y de aquellos por los cuales es legalmente responsable a Unidad Administrativa Especial del Cuerpo Oficial de Bomberos de Bogotá-SGC"/>
    <s v="15 - contrato de seguros"/>
    <n v="84131515"/>
    <n v="2"/>
    <n v="12"/>
    <n v="0"/>
    <n v="500000000"/>
    <x v="1"/>
    <s v="02 - selec. abrev. menor cuantía"/>
    <s v="No aplica"/>
    <s v="NA"/>
    <s v="NA"/>
    <s v="NA"/>
    <s v="N/A"/>
    <s v="N/A"/>
    <s v="N/A-N/A"/>
    <s v="N/A"/>
    <s v="N/A"/>
    <s v="N/A_N/A"/>
    <s v="N/A-N/A N/A_N/A"/>
    <x v="5"/>
    <x v="5"/>
    <x v="2"/>
    <s v="Si Secop "/>
  </r>
  <r>
    <n v="20250604"/>
    <x v="1"/>
    <x v="7"/>
    <s v="Omer Mauricio Rivera Ruiz"/>
    <s v="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2"/>
    <n v="3"/>
    <n v="0"/>
    <n v="253666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No Secop"/>
  </r>
  <r>
    <n v="20250605"/>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06"/>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07"/>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08"/>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09"/>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10"/>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11"/>
    <x v="1"/>
    <x v="7"/>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12"/>
    <x v="0"/>
    <x v="10"/>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
    <n v="6"/>
    <n v="0"/>
    <n v="6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613"/>
    <x v="0"/>
    <x v="10"/>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60000000"/>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614"/>
    <x v="0"/>
    <x v="10"/>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2"/>
    <n v="11"/>
    <n v="0"/>
    <n v="49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617"/>
    <x v="0"/>
    <x v="10"/>
    <s v="Paula Ximena Henao Escobar"/>
    <s v="Prestar los servicios profesionales en la estructuración, sustanciación, revisión y trámite de los procesos de contratación y gestión jurídica en el marco de los procesos y procedimientos a cargo de la dirección de la U.A.E. Cuerpo Oficial de Bomberos_x000a_Bogotá D.C"/>
    <s v="25 - contrato de prestacion de servicios profesionales"/>
    <n v="80111600"/>
    <n v="2"/>
    <n v="7"/>
    <n v="0"/>
    <n v="4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618"/>
    <x v="0"/>
    <x v="10"/>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35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619"/>
    <x v="0"/>
    <x v="10"/>
    <s v="Paula Ximena Henao Escobar"/>
    <s v="Adicion y prorroga a la orden de compra 121621, identificada con el numero de contrato 618-2023, cuyo objeto es  “Contratar el servicio de nube publica para la U.A.E Cuerpo Oficial de Bomberos de Bogotá - TIC”"/>
    <s v="03 - contrato de prestacion de servicios"/>
    <n v="81112006"/>
    <n v="2"/>
    <n v="4"/>
    <n v="0"/>
    <n v="7000000"/>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620"/>
    <x v="0"/>
    <x v="10"/>
    <s v="Paula Ximena Henao Escobar"/>
    <s v="Actualización y renovación para ASMS( Aranda service manangment suite), soporte y mantenimiento del licenciamiento Software Aranda para la U.A.E. Cuerpo Oficial de Bomberos Bogota - TIC"/>
    <s v="19 - contrato de renovacion de licencias"/>
    <s v="81112222_x000a_81111811_x000a_43231501_x000a_43231513 "/>
    <n v="4"/>
    <n v="12"/>
    <n v="0"/>
    <n v="54997754"/>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621"/>
    <x v="0"/>
    <x v="11"/>
    <s v="Fatima Veronica Quintero Nuñez"/>
    <s v="Austeridad 5% en los proyectos que tengan_x000a_definidos productos de fortalecimiento institucional "/>
    <s v="25 - contrato de prestacion de servicios profesionales"/>
    <n v="80111600"/>
    <n v="0"/>
    <n v="0"/>
    <n v="0"/>
    <n v="109465255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623"/>
    <x v="0"/>
    <x v="3"/>
    <s v="Manuel Eduardo Castillo Guzman"/>
    <s v="Prestar servicios profesionales para orientar las actividades relacionadas con la implementación del Sistema de Administración del Riesgo de Lavado de Activos y Financiación del Terrorismo (SARLAFT) en la Unidad Administrativa Especial Cuerpo Oficial de Bomberos de Bogotá."/>
    <s v="26 - contrato de prestacion de servicios de apoyo a la gestion"/>
    <n v="80111600"/>
    <n v="3"/>
    <n v="10"/>
    <n v="0"/>
    <n v="100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624"/>
    <x v="1"/>
    <x v="6"/>
    <s v="Jose Andres Ponce Caicedo"/>
    <s v="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
    <s v="26 - contrato de prestacion de servicios de apoyo a la gestion"/>
    <n v="80111600"/>
    <n v="2"/>
    <n v="8"/>
    <n v="0"/>
    <n v="2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25"/>
    <x v="1"/>
    <x v="6"/>
    <s v="Jose Andres Ponce Caicedo"/>
    <s v="SGH - Prestar servicios de apoyo a la gestión para acompañar a la Subdirección de Gestión Humana para en la realización de las actividades referentes al Plan de Bienestar e Incentivos."/>
    <s v="26 - contrato de prestacion de servicios de apoyo a la gestion"/>
    <n v="80111600"/>
    <n v="2"/>
    <n v="8"/>
    <n v="0"/>
    <n v="2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26"/>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6"/>
    <n v="0"/>
    <n v="21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28"/>
    <x v="1"/>
    <x v="8"/>
    <s v="William Tovar Segura"/>
    <s v="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03 - contrato de prestacion de servicios"/>
    <s v="80141900_x000a_90111500_x000a_90111600_x000a_80141600_x000a_80161502"/>
    <n v="2"/>
    <n v="12"/>
    <n v="0"/>
    <n v="190000000"/>
    <x v="0"/>
    <s v="02 - selec. abrev. menor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No Secop"/>
  </r>
  <r>
    <n v="20250629"/>
    <x v="1"/>
    <x v="8"/>
    <s v="William Tovar Segura"/>
    <s v="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2"/>
    <n v="3"/>
    <n v="0"/>
    <n v="197777090"/>
    <x v="0"/>
    <s v="01 - licitación públic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No Secop"/>
  </r>
  <r>
    <n v="20250630"/>
    <x v="1"/>
    <x v="9"/>
    <s v="Yenire Yohansy Lozano Ascanio"/>
    <s v="Prestación de servicios profesionales para  apoyar los procesos contractuales de la Subdirección Operativa en todas sus etapas, seguimiento financiero y apoyo técnico con base en las necesidades propias de la dependencia S.O."/>
    <s v="25 - contrato de prestacion de servicios profesionales"/>
    <n v="80111600"/>
    <n v="2"/>
    <n v="10"/>
    <n v="0"/>
    <n v="8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1"/>
    <x v="1"/>
    <x v="9"/>
    <s v="Yenire Yohansy Lozano Ascanio"/>
    <s v="Prestación de servicios profesionales para  apoyar los procesos contractuales de la Subdirección Operativa en todas sus etapas y apoyo técnico en los proyectos y proceso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2"/>
    <x v="1"/>
    <x v="9"/>
    <s v="Yenire Yohansy Lozano Ascanio"/>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3"/>
    <x v="1"/>
    <x v="9"/>
    <s v="Yenire Yohansy Lozano Ascanio"/>
    <s v="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4"/>
    <x v="1"/>
    <x v="9"/>
    <s v="Yenire Yohansy Lozano Ascanio"/>
    <s v="Prestación de servicios profesionales, con autonomía técnica y administrativa para brindar  soporte jurídico a la Subdirección Operativa, en la proyección de solicitudes dirigidas a autoridades administrativas, en la sustanciación de respuestas a PQR´s   y a requerimientos que efectúen los entes de control y autoridades, en el marco de los procesos y procedimientos a cargo de la dependencia. S.O."/>
    <s v="25 - contrato de prestacion de servicios profesionales"/>
    <n v="80111600"/>
    <n v="2"/>
    <n v="10"/>
    <n v="0"/>
    <n v="5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5"/>
    <x v="1"/>
    <x v="9"/>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2"/>
    <n v="9"/>
    <n v="15"/>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6"/>
    <x v="1"/>
    <x v="9"/>
    <s v="Yenire Yohansy Lozano Ascanio"/>
    <s v="Prestar los servicios profesionales para apoyar a la Subdirección Operativa en el fortalecimiento de los procesos de formación y capacitación al personal operativo y administrativo, en articulación con la academia y demás áreas de la entidad S.O."/>
    <s v="25 - contrato de prestacion de servicios profesionales"/>
    <n v="80111600"/>
    <n v="2"/>
    <n v="10"/>
    <n v="0"/>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7"/>
    <x v="1"/>
    <x v="9"/>
    <s v="Yenire Yohansy Lozano Ascanio"/>
    <s v="Prestación de servicios de apoyo a la gestión en las actividades documentales, administrativas y manejo de las herramientas de gestión que demanda la Subdirección Operativa S.O."/>
    <s v="26 - contrato de prestacion de servicios de apoyo a la gestion"/>
    <n v="80111600"/>
    <n v="2"/>
    <n v="10"/>
    <n v="0"/>
    <n v="28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38"/>
    <x v="1"/>
    <x v="9"/>
    <s v="Yenire Yohansy Lozano Ascanio"/>
    <s v="Adquisición de elementos y accesorios para el grupo especializado UARBO de la UAECOB."/>
    <s v="06 - contrato de compraventa"/>
    <s v="49141503;49141504;_x000a_49141505;49141506;_x000a_49141507"/>
    <n v="5"/>
    <n v="3"/>
    <n v="0"/>
    <n v="640575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17"/>
    <x v="17"/>
    <x v="3"/>
    <s v="Si Secop "/>
  </r>
  <r>
    <n v="20250639"/>
    <x v="1"/>
    <x v="9"/>
    <s v="Yenire Yohansy Lozano Ascanio"/>
    <s v="Adquisición de elementos y accesorios para el grupo especializado BRAE de la UAECOB."/>
    <s v="06 - contrato de compraventa"/>
    <s v="41102600;_x000a_11162108;_x000a_45121522"/>
    <n v="5"/>
    <n v="3"/>
    <n v="0"/>
    <n v="640575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17"/>
    <x v="17"/>
    <x v="3"/>
    <s v="Si Secop "/>
  </r>
  <r>
    <n v="20250640"/>
    <x v="1"/>
    <x v="9"/>
    <s v="Yenire Yohansy Lozano Ascanio"/>
    <s v="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
    <s v="25 - contrato de prestacion de servicios profesionales"/>
    <n v="80111600"/>
    <n v="3"/>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41"/>
    <x v="1"/>
    <x v="11"/>
    <s v="Fatima Veronica Quintero Nuñez"/>
    <s v="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
    <s v="25 - contrato de prestacion de servicios profesionales"/>
    <s v="80111600;"/>
    <n v="2"/>
    <n v="10"/>
    <n v="0"/>
    <n v="500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6"/>
    <s v="Si Secop "/>
  </r>
  <r>
    <n v="20250642"/>
    <x v="0"/>
    <x v="11"/>
    <s v="Fatima Veronica Quintero Nuñez"/>
    <s v="Prestación de servicios de apoyo en las actividades asociadas a los procesos administrativo de la Subdirección de Gestión Corporativa- SGC"/>
    <s v="26 - contrato de prestacion de servicios de apoyo a la gestion"/>
    <s v="80111600;"/>
    <n v="2"/>
    <n v="9"/>
    <n v="0"/>
    <n v="34384905"/>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3"/>
    <x v="0"/>
    <x v="11"/>
    <s v="Fatima Veronica Quintero Nuñez"/>
    <s v="Prestar los servicios profesionales para el acompañamiento y seguimiento de los planes y proyectos del grupo del almacén de la Subdireccion de Gestión Corporativa-SGC"/>
    <s v="25 - contrato de prestacion de servicios profesionales"/>
    <s v="80111600;"/>
    <n v="2"/>
    <n v="9"/>
    <n v="0"/>
    <n v="5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4"/>
    <x v="0"/>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9"/>
    <n v="0"/>
    <n v="54291951"/>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5"/>
    <x v="0"/>
    <x v="11"/>
    <s v="Fatima Veronica Quintero Nuñez"/>
    <s v="Adquisición de elementos de menaje para la sede comando de la UAECOB-SGC"/>
    <s v="06 - contrato de compraventa"/>
    <s v="48101800;_x000a_48101915;_x000a_24112601;_x000a_49121509;"/>
    <n v="4"/>
    <n v="3"/>
    <n v="0"/>
    <n v="15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6"/>
    <x v="0"/>
    <x v="11"/>
    <s v="Fatima Veronica Quintero Nuñez"/>
    <s v="Suministro y mantenimiento de equipos de higienización, desodorización y aromatización para la sede admistratica de comando de la UAECOB "/>
    <s v="08 - contrato de suministro"/>
    <s v="76101501;_x000a_47131829;"/>
    <n v="4"/>
    <n v="3"/>
    <n v="0"/>
    <n v="2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7"/>
    <x v="0"/>
    <x v="11"/>
    <s v="Fatima Veronica Quintero Nuñez"/>
    <s v="Adquisición de banderas con astas y accesorios para las sedes UAECOB-SGC"/>
    <s v="06 - contrato de compraventa"/>
    <s v="55121715;"/>
    <n v="4"/>
    <n v="2"/>
    <n v="0"/>
    <n v="34816052"/>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8"/>
    <x v="0"/>
    <x v="11"/>
    <s v="Fatima Veronica Quintero Nuñez"/>
    <s v="Suministros de parasoles, mesas y sillas para exteriores de las sedes UAECOB-SGC"/>
    <s v="08 - contrato de suministro"/>
    <s v="_x0009_53131600;"/>
    <n v="4"/>
    <n v="3"/>
    <n v="0"/>
    <n v="3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49"/>
    <x v="0"/>
    <x v="11"/>
    <s v="Fatima Veronica Quintero Nuñez"/>
    <s v="Adquisición de aviso de alto impacto visual para la recordación permanente del  edificio comando de la UAECOB-SGC"/>
    <s v="06 - contrato de compraventa"/>
    <s v="82121700;_x000a_82101500,;_x000a_82101600;_x000a_81161500;_x000a_13111203;_x000a_81112200;_x000a_55121700;"/>
    <n v="4"/>
    <n v="3"/>
    <n v="0"/>
    <n v="1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651"/>
    <x v="1"/>
    <x v="9"/>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52"/>
    <x v="1"/>
    <x v="9"/>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53"/>
    <x v="0"/>
    <x v="5"/>
    <s v="Paula Ximena Henao Escobar"/>
    <s v="Prestación de servicios profesionales en asuntos de comunicaciones y prensa para apoyar la conducción, presentación y divulgación de contenidos audiovisuales e informativos relacionados con la misionalidad de la UAECOB."/>
    <s v="25 - contrato de prestacion de servicios profesionales"/>
    <n v="80111600"/>
    <n v="3"/>
    <n v="6"/>
    <n v="0"/>
    <n v="4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3"/>
    <x v="3"/>
    <x v="0"/>
    <s v="Si Secop "/>
  </r>
  <r>
    <n v="20250654"/>
    <x v="1"/>
    <x v="6"/>
    <s v="Jose Andres Ponce Caicedo"/>
    <s v="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
    <s v="25 - contrato de prestacion de servicios profesionales"/>
    <n v="80111600"/>
    <n v="3"/>
    <n v="8"/>
    <n v="0"/>
    <n v="5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55"/>
    <x v="2"/>
    <x v="6"/>
    <s v="Jose Andres Ponce Caicedo"/>
    <s v="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
    <s v="03 - contrato de prestacion de servicios"/>
    <n v="81141504"/>
    <n v="5"/>
    <n v="6"/>
    <n v="0"/>
    <n v="50000000"/>
    <x v="1"/>
    <s v="04 - contratación mínima cuantía"/>
    <s v="No aplica"/>
    <s v="NA"/>
    <s v="NA"/>
    <s v="NA"/>
    <s v="N/A"/>
    <s v="N/A"/>
    <s v="N/A-N/A"/>
    <s v="N/A"/>
    <s v="N/A"/>
    <s v="N/A_N/A"/>
    <s v="N/A-N/A N/A_N/A"/>
    <x v="5"/>
    <x v="5"/>
    <x v="2"/>
    <s v="Si Secop "/>
  </r>
  <r>
    <n v="20250656"/>
    <x v="0"/>
    <x v="3"/>
    <s v="Manuel Eduardo Castillo Guzman"/>
    <s v="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
    <s v="26 - contrato de prestacion de servicios de apoyo a la gestion"/>
    <n v="80111601"/>
    <n v="3"/>
    <n v="8"/>
    <n v="0"/>
    <n v="4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657"/>
    <x v="1"/>
    <x v="7"/>
    <s v="Omer Mauricio Rivera Ruiz"/>
    <s v="Prestar servicios de apoyo a la gestión en las actividades de soporte operacional de la UAECOB Subdirección Logística. SBLG"/>
    <s v="26 - contrato de prestacion de servicios de apoyo a la gestion"/>
    <n v="80111600"/>
    <n v="3"/>
    <n v="8"/>
    <n v="0"/>
    <n v="19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58"/>
    <x v="1"/>
    <x v="7"/>
    <s v="Omer Mauricio Rivera Ruiz"/>
    <s v="Adicion y prorroga al contato 398 de 2024 que tiene como objeto  &quot;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3"/>
    <n v="3"/>
    <n v="0"/>
    <n v="16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No Secop"/>
  </r>
  <r>
    <n v="20250659"/>
    <x v="1"/>
    <x v="7"/>
    <s v="Omer Mauricio Rivera Ruiz"/>
    <s v="Pago de pasivo exigible UAECOB-contrato No. 125 de 2022"/>
    <s v="12 - resolucion"/>
    <s v="N/A"/>
    <n v="0"/>
    <n v="0"/>
    <n v="0"/>
    <n v="5635667"/>
    <x v="0"/>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9"/>
    <s v="No Secop"/>
  </r>
  <r>
    <n v="20250660"/>
    <x v="0"/>
    <x v="10"/>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438124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661"/>
    <x v="1"/>
    <x v="8"/>
    <s v="William Tovar Segura"/>
    <s v="Prestar servicios de apoyo en las actividades de Programas y Campañas de Prevención para la Subdirección de Gestión del Riesgo. _SGR"/>
    <s v="26 - contrato de prestacion de servicios de apoyo a la gestion"/>
    <n v="80111600"/>
    <n v="1"/>
    <n v="10"/>
    <n v="0"/>
    <n v="306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662"/>
    <x v="1"/>
    <x v="8"/>
    <s v="William Tovar Segura"/>
    <s v="pago pasivo exigible de &quot;Adición y Prorroga cto 495 de 2022 cuyo objeto es Prestar servicios profesionales para las actividades misionales de la Subdirección de Gestión del Riesgo._SGR&quot;"/>
    <s v="25 - contrato de prestacion de servicios profesionales"/>
    <n v="80111600"/>
    <n v="0"/>
    <n v="0"/>
    <n v="0"/>
    <n v="1410000"/>
    <x v="2"/>
    <s v="91 - n/a acto administrativo (resolución, decreto, acuerdo, etc.)"/>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No Secop"/>
  </r>
  <r>
    <n v="20250663"/>
    <x v="2"/>
    <x v="7"/>
    <s v="Omer Mauricio Rivera Ruiz"/>
    <s v="Adicion y Prorroga del cto 333 2024 , cuyo objeto es  &quot;Contratar el servicio de revision técnico mecánica y de emision de gases contaminantes para los vehiculos que forman parte del parque automotor de la Unidad Administrativa Especial Cuerpo Oficial de Bomberos de Bogotá - UAECOB-SBLG&quot;"/>
    <s v="03 - contrato de prestacion de servicios"/>
    <n v="78181505"/>
    <n v="3"/>
    <n v="2"/>
    <n v="0"/>
    <n v="2000000"/>
    <x v="1"/>
    <s v="04 - contratación mínima cuantía"/>
    <s v="No aplica"/>
    <s v="NA"/>
    <s v="NA"/>
    <s v="NA"/>
    <s v="N/A"/>
    <s v="N/A"/>
    <s v="N/A-N/A"/>
    <s v="N/A"/>
    <s v="N/A"/>
    <s v="N/A_N/A"/>
    <s v="N/A-N/A N/A_N/A"/>
    <x v="5"/>
    <x v="5"/>
    <x v="10"/>
    <s v="No Secop"/>
  </r>
  <r>
    <n v="20250664"/>
    <x v="1"/>
    <x v="7"/>
    <s v="Omer Mauricio Rivera Ruiz"/>
    <s v="Prestar servicios de apoyo en asuntos administrativos, financieros, documentales y emisión de informes a cargo de la Subdireccion Logística-SBLG.  "/>
    <s v="26 - contrato de prestacion de servicios de apoyo a la gestion"/>
    <n v="80111600"/>
    <n v="3"/>
    <n v="6"/>
    <n v="0"/>
    <n v="196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0"/>
    <s v="Si Secop "/>
  </r>
  <r>
    <n v="20250665"/>
    <x v="0"/>
    <x v="11"/>
    <s v="Fatima Veronica Quintero Nuñez"/>
    <s v="Adición No. 1 y prorroga No. 3 al contrato 779 de 2024 que tiene como objeto “Adquisición de mobiliario para la dotación de las instalaciones de la UAE cuerpo oficial de bomberos Bogotá- SGC.&quot;"/>
    <s v="22 - contrato de adquisicion de bienes"/>
    <s v="56101500;_x000a_56101700;_x000a_56101900;_x000a_56111500"/>
    <n v="3"/>
    <n v="3"/>
    <n v="0"/>
    <n v="50000000"/>
    <x v="0"/>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666"/>
    <x v="0"/>
    <x v="11"/>
    <s v="Fatima Veronica Quintero Nuñez"/>
    <s v="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
    <s v="17 - contrato de mantenimiento"/>
    <s v="40102000;_x000a_72121400;_x000a_72101500;_x000a_72151700;_x000a_73152100_x000a_;95121700;_x000a_40101800; 48101500;"/>
    <n v="4"/>
    <n v="1"/>
    <n v="0"/>
    <n v="1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No Secop"/>
  </r>
  <r>
    <n v="20250667"/>
    <x v="0"/>
    <x v="10"/>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4"/>
    <n v="8"/>
    <n v="0"/>
    <n v="4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668"/>
    <x v="1"/>
    <x v="9"/>
    <s v="Yenire Yohansy Lozano Ascanio"/>
    <s v="Pago pasivo exigible Subdirección Operativa"/>
    <s v="12 - resolucion"/>
    <s v="N/A"/>
    <n v="11"/>
    <n v="0"/>
    <n v="0"/>
    <n v="6914368197"/>
    <x v="0"/>
    <s v="91 - n/a acto administrativo (resolución, decreto, acuerdo, etc.)"/>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669"/>
    <x v="1"/>
    <x v="9"/>
    <s v="Yenire Yohansy Lozano Ascanio"/>
    <s v="Prestar servicios de asesoría jurídica especializada en la estructuración, seguimiento y revisión de  las acciones, actividades, procesos contractuales y procedimientos asociados al proceso de manejo a cargo de la Subdirección Operativa."/>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1"/>
    <s v="Si Secop "/>
  </r>
  <r>
    <n v="20250670"/>
    <x v="1"/>
    <x v="9"/>
    <s v="Yenire Yohansy Lozano Ascanio"/>
    <s v="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1"/>
    <s v="Si Secop "/>
  </r>
  <r>
    <n v="20250671"/>
    <x v="1"/>
    <x v="9"/>
    <s v="Yenire Yohansy Lozano Ascanio"/>
    <s v="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1"/>
    <s v="Si Secop "/>
  </r>
  <r>
    <n v="20250672"/>
    <x v="1"/>
    <x v="9"/>
    <s v="Yenire Yohansy Lozano Ascanio"/>
    <s v="Prestación de servicios de apoyo a la gestión para ejecutar actividades administrativas y asistenciales, así como el diligenciamiento y seguimiento de las solicitudes en las herramientas de gestión de los procedimientos a cargo de la subdirección operativa -s.o."/>
    <s v="26 - contrato de prestacion de servicios de apoyo a la gestion"/>
    <n v="80111600"/>
    <n v="6"/>
    <n v="9"/>
    <n v="0"/>
    <n v="396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73"/>
    <x v="1"/>
    <x v="9"/>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
    <s v="25 - contrato de prestacion de servicios profesionales"/>
    <n v="80111600"/>
    <n v="4"/>
    <n v="9"/>
    <n v="0"/>
    <n v="5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74"/>
    <x v="1"/>
    <x v="9"/>
    <s v="Yenire Yohansy Lozano Ascanio"/>
    <s v="Prestación de servicios de apoyo para desarrollar y mantener las condiciones básicas de bienestar de los caninos y de  animales rescatados o recuperados que atiende el grupo BRAE a Cargo de la Subdirección Operativa "/>
    <s v="26 - contrato de prestacion de servicios de apoyo a la gestion"/>
    <n v="80111600"/>
    <n v="4"/>
    <n v="6"/>
    <n v="0"/>
    <n v="215157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76"/>
    <x v="1"/>
    <x v="9"/>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4"/>
    <n v="6"/>
    <n v="0"/>
    <n v="3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Si Secop "/>
  </r>
  <r>
    <n v="20250677"/>
    <x v="2"/>
    <x v="9"/>
    <s v="Yenire Yohansy Lozano Ascanio"/>
    <s v="Adquisición de elementos de protección personal (E.P.P.) para la atención de emergencias de la UAE Cuerpo Oficial de Bomberos de Bogotá"/>
    <s v="06 - contrato de compraventa"/>
    <s v="46181500;_x000a_46181600"/>
    <n v="6"/>
    <n v="6"/>
    <n v="0"/>
    <n v="6000000000"/>
    <x v="1"/>
    <s v="03 - selec. abrev. subasta inversa"/>
    <s v="No aplica"/>
    <s v="NA"/>
    <s v="NA"/>
    <s v="NA"/>
    <s v="N/A"/>
    <s v="N/A"/>
    <s v="N/A-N/A"/>
    <s v="N/A"/>
    <s v="N/A"/>
    <s v="N/A_N/A"/>
    <s v="N/A-N/A N/A_N/A"/>
    <x v="5"/>
    <x v="5"/>
    <x v="12"/>
    <s v="Si Secop "/>
  </r>
  <r>
    <n v="20250678"/>
    <x v="0"/>
    <x v="10"/>
    <s v="Paula Ximena Henao Escobar"/>
    <s v="Pago pasivo del contrato 149 de 2020 cuyo objeto es: &quo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quot;"/>
    <s v="12 - resolucion"/>
    <n v="80111600"/>
    <n v="4"/>
    <n v="1"/>
    <n v="0"/>
    <n v="200000"/>
    <x v="2"/>
    <s v="91 - n/a acto administrativo (resolución, decreto, acuerdo, etc.)"/>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No Secop"/>
  </r>
  <r>
    <n v="20250679"/>
    <x v="0"/>
    <x v="10"/>
    <s v="Paula Ximena Henao Escobar"/>
    <s v="Pago pasivo del contrato 153 de 2020 cuyo objeto es: &quot;prestar servicios profesionales al área de gestión de recursos tecnológicos en temas relacionados con los procesos de administración de cuentas de correo electrónico, administración en el aplicativo de tarjetas de acceso de la UAECOB, contrato de prestación de servicios 153 de 2020.&quot;"/>
    <s v="12 - resolucion"/>
    <n v="80111600"/>
    <n v="4"/>
    <n v="1"/>
    <n v="0"/>
    <n v="133333"/>
    <x v="2"/>
    <s v="91 - n/a acto administrativo (resolución, decreto, acuerdo, etc.)"/>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No Secop"/>
  </r>
  <r>
    <n v="20250680"/>
    <x v="0"/>
    <x v="10"/>
    <s v="Paula Ximena Henao Escobar"/>
    <s v="Contratar el servicio de mantenimiento, soporte técnico y actualización del aplicativo PCT, utilizado por la UAE Cuerpo Oficial de Bomberos de Bogota - TIC"/>
    <s v="24 - contrato de servicio"/>
    <s v="81112200;81112201"/>
    <n v="4"/>
    <n v="9"/>
    <n v="0"/>
    <n v="185045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681"/>
    <x v="0"/>
    <x v="10"/>
    <s v="Paula Ximena Henao Escobar"/>
    <s v="Pago del pasivo del contrato 646 de 2023 con objeto &quot;Contratar el soporte y mantenimiento preventivo y correctivo con repuestos para los sistemas de video vigilancia de las estaciones de la U.A.E. Cuerpo Oficial de Bomberos de Bogotá - TIC.&quot;"/>
    <s v="12 - resolucion"/>
    <n v="43233200"/>
    <n v="3"/>
    <n v="9"/>
    <n v="0"/>
    <n v="9556238"/>
    <x v="2"/>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682"/>
    <x v="1"/>
    <x v="6"/>
    <s v="Jose Andres Ponce Caicedo"/>
    <s v="SGH - Prestar servicios profesionales para apoyar al equipo líder de la Escuela de Formación Bomberil – Academia, en los procesos y procedimientos administrativos, operativos y pedagógicos que le sean asignados."/>
    <s v="25 - contrato de prestacion de servicios profesionales"/>
    <n v="80111600"/>
    <n v="4"/>
    <n v="8"/>
    <n v="0"/>
    <n v="48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83"/>
    <x v="1"/>
    <x v="6"/>
    <s v="Jose Andres Ponce Caicedo"/>
    <s v="SGH - Prestar sus servicios profesionales especializados, en materia de producción audiovisual e imágenes en movimiento, enfocados al fortalecimiento de la imagen y redes institucionales, que sean requeridas por la Subdirección de Gestión Humana"/>
    <s v="25 - contrato de prestacion de servicios profesionales"/>
    <n v="80111600"/>
    <n v="4"/>
    <n v="8"/>
    <n v="0"/>
    <n v="73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84"/>
    <x v="1"/>
    <x v="7"/>
    <s v="Omer Mauricio Rivera Ruiz"/>
    <s v="Adicion y prorroga contrato  654 2024 cuyo objeto es &quot;Suministrar repuestos, accesorios e insumos para los equipos menores y transversales de propiedad de la UAECOB. – SBLG&quot;,"/>
    <s v="08 - contrato de suministro"/>
    <s v="31261500; 31161500; 31161600; 31162300; 31162800; 31171500; 31171700; 39121600; 27121600 "/>
    <n v="3"/>
    <n v="2"/>
    <n v="0"/>
    <n v="2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No Secop"/>
  </r>
  <r>
    <n v="20250685"/>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300000000"/>
    <x v="1"/>
    <s v="01 - licitación pública"/>
    <s v="No aplica"/>
    <s v="NA"/>
    <s v="NA"/>
    <s v="NA"/>
    <s v="N/A"/>
    <s v="N/A"/>
    <s v="N/A-N/A"/>
    <s v="N/A"/>
    <s v="N/A"/>
    <s v="N/A_N/A"/>
    <s v="N/A-N/A N/A_N/A"/>
    <x v="5"/>
    <x v="5"/>
    <x v="2"/>
    <s v="Si Secop "/>
  </r>
  <r>
    <n v="20250686"/>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666192913"/>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8"/>
    <s v="Si Secop "/>
  </r>
  <r>
    <n v="20250687"/>
    <x v="1"/>
    <x v="8"/>
    <s v="William Tovar Segura"/>
    <s v="ADICION Y PRORROGA CTO 791-2024 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4"/>
    <n v="4"/>
    <n v="0"/>
    <n v="19086500"/>
    <x v="0"/>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No Secop"/>
  </r>
  <r>
    <n v="20250688"/>
    <x v="1"/>
    <x v="8"/>
    <s v="William Tovar Segura"/>
    <s v="Adquisición de elementos de soporte  operacional  para la emergencia_SGR"/>
    <s v="06 - contrato de compraventa"/>
    <s v="56101900_x000a_60131500"/>
    <n v="5"/>
    <n v="4"/>
    <n v="0"/>
    <n v="5000000"/>
    <x v="0"/>
    <s v="04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689"/>
    <x v="1"/>
    <x v="8"/>
    <s v="William Tovar Segura"/>
    <s v="Prestar servicios de apoyo en las actividades de Programas y Campañas de Prevención para la Subdirección de Gestión del Riesgo._SGR"/>
    <s v="26 - contrato de prestacion de servicios de apoyo a la gestion"/>
    <n v="80111600"/>
    <n v="5"/>
    <n v="9"/>
    <n v="0"/>
    <n v="306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690"/>
    <x v="0"/>
    <x v="10"/>
    <s v="Paula Ximena Henao Escobar"/>
    <s v="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
    <s v="25 - contrato de prestacion de servicios profesionales"/>
    <n v="80111600"/>
    <n v="4"/>
    <n v="9"/>
    <n v="0"/>
    <n v="670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693"/>
    <x v="2"/>
    <x v="11"/>
    <s v="Fatima Veronica Quintero Nuñez"/>
    <s v="Adición No. 7 y prórroga No. 8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4"/>
    <n v="4"/>
    <n v="0"/>
    <n v="18003072"/>
    <x v="1"/>
    <s v="01 - licitación pública"/>
    <s v="No aplica"/>
    <s v="NA"/>
    <s v="NA"/>
    <s v="NA"/>
    <s v="N/A"/>
    <s v="N/A"/>
    <s v="N/A-N/A"/>
    <s v="N/A"/>
    <s v="N/A"/>
    <s v="N/A_N/A"/>
    <s v="N/A-N/A N/A_N/A"/>
    <x v="5"/>
    <x v="5"/>
    <x v="2"/>
    <s v="No Secop"/>
  </r>
  <r>
    <n v="20250694"/>
    <x v="1"/>
    <x v="8"/>
    <s v="William Tovar Segura"/>
    <s v="Prestar servicios apoyo técnico para el desarrollo de los contenidos graficos, piezas comunicativa y de imagen institucional para la Subdirección de Gestión del riesgo._SGR"/>
    <s v="26 - contrato de prestacion de servicios de apoyo a la gestion"/>
    <n v="80111600"/>
    <n v="6"/>
    <n v="8"/>
    <n v="0"/>
    <n v="395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695"/>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96"/>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97"/>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98"/>
    <x v="1"/>
    <x v="6"/>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699"/>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3"/>
    <n v="0"/>
    <n v="15483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700"/>
    <x v="1"/>
    <x v="6"/>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3"/>
    <n v="0"/>
    <n v="15483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701"/>
    <x v="1"/>
    <x v="7"/>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s v="17 - contrato de mantenimiento"/>
    <n v="78181500"/>
    <n v="6"/>
    <n v="4"/>
    <n v="0"/>
    <n v="285658"/>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Si Secop "/>
  </r>
  <r>
    <n v="20250702"/>
    <x v="1"/>
    <x v="7"/>
    <s v="Omer Mauricio Rivera Ruiz"/>
    <s v="Adcion y prroroga al contratro  696 de 2024. cuyo objeto es :&quot;Prestar el servicio de mantenimiento preventivo y correctivo, de latonería y pintura, incluyendo el suministro de repuestos, insumos y mano de obra especializada para los vehículos livianos pertenecientes al parque automotor de la UAE Cuerpo Oficial de Bomberos de Bogotá DC, &quot;"/>
    <s v="17 - contrato de mantenimiento"/>
    <n v="78181500"/>
    <n v="8"/>
    <n v="12"/>
    <n v="0"/>
    <n v="2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No Secop"/>
  </r>
  <r>
    <n v="20250703"/>
    <x v="1"/>
    <x v="7"/>
    <s v="Omer Mauricio Rivera Ruiz"/>
    <s v="Adición  del Cto 557 de 2024 cuyo objeto &quot;Prestación de servicios médicos veterinarios, con suministro de medicamentos e insumos veterinarios, para los caninos de la U.A.E. Cuerpo Oficial de Bomberos de Bogotá - SBLG"/>
    <s v="08 - contrato de suministro"/>
    <s v="10121801;10121802;10121602 "/>
    <n v="4"/>
    <n v="12"/>
    <n v="0"/>
    <n v="15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8"/>
    <s v="No Secop"/>
  </r>
  <r>
    <n v="20250704"/>
    <x v="1"/>
    <x v="7"/>
    <s v="Omer Mauricio Rivera Ruiz"/>
    <s v="Adquisición de concentrado de espuma, mantenimiento y recarga de extintores, cilindros y tanques de las maquinas extintoras de la UAECOB.   LOTE I Y LOTE II - SBLG"/>
    <s v="08 - contrato de suministro"/>
    <s v="46191506;46191601"/>
    <n v="9"/>
    <n v="6"/>
    <n v="0"/>
    <n v="5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3"/>
    <s v="Si Secop "/>
  </r>
  <r>
    <n v="20250705"/>
    <x v="0"/>
    <x v="3"/>
    <s v="Manuel Eduardo Castillo Guzman"/>
    <s v="_x000a_Pago pasivo del contrato 406 de 2020 cuyo objeto es: &quot;prestar servicios profesionales a la Oficina Asesora de Planeación, en el marco de los procesos y procedimientos que adelanta la dependencia, contrato de prestación de servicios 406 de 2020.&quot;"/>
    <s v="25 - contrato de prestacion de servicios profesionales"/>
    <n v="80111600"/>
    <n v="0"/>
    <n v="0"/>
    <n v="0"/>
    <n v="333333"/>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706"/>
    <x v="0"/>
    <x v="3"/>
    <s v="Manuel Eduardo Castillo Guzman"/>
    <s v="Pago pasivo del contrato 420 de 2022 cuyo objeto es: &quot;prestar servicios profesionales para apoyar a la Oficina Asesora de Planeación en la formulación, seguimiento y control presupuestal y estratégico de los proyectos de inversión de la Entidad.-OAP, CONTRATO DE PRESTACION DE SERVICIOS PROFESIONALES 420 DE 2022.&quot;"/>
    <s v="25 - contrato de prestacion de servicios profesionales"/>
    <n v="80111600"/>
    <n v="0"/>
    <n v="0"/>
    <n v="0"/>
    <n v="2100000"/>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707"/>
    <x v="0"/>
    <x v="3"/>
    <s v="Manuel Eduardo Castillo Guzman"/>
    <s v="Pago pasivo del contrato 270 de 2022 cuyo objeto es: &quot;Adición y prórroga al Contrato 270 de 2022 cuyo objeto es &quot;Prestar servicios profesionales en la Oficina Asesora de Planeación para liderar el fortalecimiento y cumplimiento de la Gestión Estratégica y la mejora continua en la entidad -OAP-&quot;, Otro Si No. 02 de 2022.&quot;"/>
    <s v="25 - contrato de prestacion de servicios profesionales"/>
    <n v="80111600"/>
    <n v="0"/>
    <n v="0"/>
    <n v="0"/>
    <n v="283334"/>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No Secop"/>
  </r>
  <r>
    <n v="20250708"/>
    <x v="0"/>
    <x v="3"/>
    <s v="Manuel Eduardo Castillo Guzman"/>
    <s v="Pago pasivo del contrato 271 de 2023 cuyo objeto es: &quot;Prestar servicios profesionales en la Oficina Asesora de Planeación de la UAE Cuerpo Oficial de Bomberos de Bogotá en el control y seguimiento del cumplimiento al Modelo Integrado de Planeación y Gestión - MIPG-OAP, CONTRATO DE PRESTACION DE SERVICIOS PROFESIONALES&quot;"/>
    <s v="25 - contrato de prestacion de servicios profesionales"/>
    <n v="80111600"/>
    <n v="0"/>
    <n v="0"/>
    <n v="0"/>
    <n v="800000"/>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709"/>
    <x v="0"/>
    <x v="3"/>
    <s v="Manuel Eduardo Castillo Guzman"/>
    <s v="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
    <s v="26 - contrato de prestacion de servicios de apoyo a la gestion"/>
    <n v="80111600"/>
    <n v="5"/>
    <n v="7"/>
    <n v="0"/>
    <n v="31435712"/>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710"/>
    <x v="0"/>
    <x v="1"/>
    <s v="Monica Perez Barragan"/>
    <s v="Adición y prórroga al contrato 61 de 2025 cuyo objeto es: &quot;Prestar los servicios profesionales jurídicos especializados en la Oficina Jurídica que garantice la verificación de la legalidad, en apoyo a cada una de las actuaciones a cargo de esta Oficina&quot;."/>
    <s v="25 - contrato de prestacion de servicios profesionales"/>
    <n v="80111600"/>
    <n v="6"/>
    <n v="2"/>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11"/>
    <x v="0"/>
    <x v="3"/>
    <s v="Manuel Eduardo Castillo Guzman"/>
    <s v="adiciones y prorrogas OAP"/>
    <s v="26 - contrato de prestacion de servicios de apoyo a la gestion"/>
    <n v="80111600"/>
    <n v="9"/>
    <n v="0"/>
    <n v="0"/>
    <n v="72438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712"/>
    <x v="0"/>
    <x v="10"/>
    <s v="Paula Ximena Henao Escobar"/>
    <s v="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
    <s v="09 - convenio interadministrativo"/>
    <s v="81111500; 81111900; 81112200; 43232400; 43231500"/>
    <n v="6"/>
    <n v="12"/>
    <n v="0"/>
    <n v="65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713"/>
    <x v="1"/>
    <x v="7"/>
    <s v="Omer Mauricio Rivera Ruiz"/>
    <s v="Adicion y Prorrga Contrato  801 de 2024.cuyo objeto es &quot;Contratar el mantenimiento y recarga de los extintores y otros elementos pertinentes a la U.A.E.Cuerpo Oficial de Bomberos de Bogotá. - SBLG&quot;"/>
    <s v="08 - contrato de suministro"/>
    <s v="46191506;46191601"/>
    <n v="5"/>
    <n v="2"/>
    <n v="0"/>
    <n v="5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3"/>
    <s v="Si Secop "/>
  </r>
  <r>
    <n v="20250714"/>
    <x v="0"/>
    <x v="11"/>
    <s v="Fatima Veronica Quintero Nuñez"/>
    <s v="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
    <s v="12 - resolucion"/>
    <s v="N/A"/>
    <s v="N/A"/>
    <s v="N/A"/>
    <s v="N/A"/>
    <n v="513333"/>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715"/>
    <x v="0"/>
    <x v="11"/>
    <s v="Fatima Veronica Quintero Nuñez"/>
    <s v="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
    <s v="12 - resolucion"/>
    <s v="N/A"/>
    <s v="N/A"/>
    <s v="N/A"/>
    <s v="N/A"/>
    <n v="1100000"/>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16"/>
    <x v="1"/>
    <x v="11"/>
    <s v="Fatima Veronica Quintero Nuñez"/>
    <s v="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
    <s v="12 - resolucion"/>
    <s v="N/A"/>
    <s v="N/A"/>
    <s v="N/A"/>
    <s v="N/A"/>
    <n v="80100864"/>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717"/>
    <x v="1"/>
    <x v="11"/>
    <s v="Fatima Veronica Quintero Nuñez"/>
    <s v="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
    <s v="12 - resolucion"/>
    <s v="N/A"/>
    <s v="N/A"/>
    <s v="N/A"/>
    <s v="N/A"/>
    <n v="35774826"/>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718"/>
    <x v="1"/>
    <x v="11"/>
    <s v="Fatima Veronica Quintero Nuñez"/>
    <s v="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
    <s v="12 - resolucion"/>
    <s v="N/A"/>
    <s v="N/A"/>
    <s v="N/A"/>
    <s v="N/A"/>
    <n v="2450000"/>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0"/>
    <s v="No Secop"/>
  </r>
  <r>
    <n v="20250719"/>
    <x v="1"/>
    <x v="11"/>
    <s v="Fatima Veronica Quintero Nuñez"/>
    <s v="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
    <s v="12 - resolucion"/>
    <s v="N/A"/>
    <s v="N/A"/>
    <s v="N/A"/>
    <s v="N/A"/>
    <n v="95749143"/>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720"/>
    <x v="1"/>
    <x v="11"/>
    <s v="Fatima Veronica Quintero Nuñez"/>
    <s v="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quot;realizar la adecuación y mejoramiento de las instalaciones de las estaciones de Bomberos de la UAE Cuerpo oficial de Bomberos Bogotá&quot;-SGC. Reconoce el valor de $10´284.691 según factura No. ORL1-1014 del 14 de mayo de 2024. Resolución 0161 de 2025. "/>
    <s v="12 - resolucion"/>
    <s v="N/A"/>
    <s v="N/A"/>
    <s v="N/A"/>
    <s v="N/A"/>
    <n v="10284691"/>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721"/>
    <x v="2"/>
    <x v="11"/>
    <s v="Fatima Veronica Quintero Nuñez"/>
    <s v="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
    <s v="12 - resolucion"/>
    <s v="N/A"/>
    <s v="N/A"/>
    <s v="N/A"/>
    <s v="N/A"/>
    <n v="1732849"/>
    <x v="2"/>
    <s v="91 - n/a acto administrativo (resolución, decreto, acuerdo, etc.)"/>
    <s v="No aplica"/>
    <s v="NA"/>
    <s v="NA"/>
    <s v="NA"/>
    <s v="N/A"/>
    <s v="N/A"/>
    <s v="N/A-N/A"/>
    <s v="N/A"/>
    <s v="N/A"/>
    <s v="N/A_N/A"/>
    <s v="N/A-N/A N/A_N/A"/>
    <x v="5"/>
    <x v="5"/>
    <x v="17"/>
    <s v="No Secop"/>
  </r>
  <r>
    <n v="20250722"/>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6"/>
    <n v="12"/>
    <n v="0"/>
    <n v="187921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723"/>
    <x v="0"/>
    <x v="10"/>
    <s v="Paula Ximena Henao Escobar"/>
    <s v="Pago pasivo del contrato No. 624 de 2020, cuyo objeto es “Prestar servicios profesionales en la oficina asesora de planeación para elaborar, ejecutar y poner en marcha sistemas de información de la entidad”"/>
    <s v="12 - resolucion"/>
    <n v="80111600"/>
    <n v="6"/>
    <n v="6"/>
    <n v="0"/>
    <n v="200000"/>
    <x v="2"/>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724"/>
    <x v="0"/>
    <x v="10"/>
    <s v="Paula Ximena Henao Escobar"/>
    <s v="Pago pasivo del contrato No. 614 de 2020 Adición y prorroga cuyo objeto es &quot;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quot;"/>
    <s v="12 - resolucion"/>
    <n v="80111600"/>
    <n v="6"/>
    <n v="6"/>
    <n v="0"/>
    <n v="213334"/>
    <x v="2"/>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725"/>
    <x v="0"/>
    <x v="10"/>
    <s v="Paula Ximena Henao Escobar"/>
    <s v="Pago pasivo del contrato 230 de 2020 Adición y Prorroga cuyo objeto es &quot;Prestar servicios para dar continuidad a los procesos de soporte técnico, administración, actualización y mantenimiento del Sistema Integrado de Administración dePersonal - SIAP, Otro Si No. 01 de 2020.&quot;"/>
    <s v="12 - resolucion"/>
    <n v="80111600"/>
    <n v="6"/>
    <n v="6"/>
    <n v="0"/>
    <n v="213333"/>
    <x v="2"/>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No Secop"/>
  </r>
  <r>
    <n v="20250726"/>
    <x v="0"/>
    <x v="1"/>
    <s v="Monica Perez Barragan"/>
    <s v="Adición y prórroga al contrato 164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6"/>
    <n v="1"/>
    <n v="0"/>
    <n v="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27"/>
    <x v="0"/>
    <x v="1"/>
    <s v="Monica Perez Barragan"/>
    <s v="Adición y prórroga al contrato 40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2"/>
    <n v="11"/>
    <n v="0"/>
    <n v="1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28"/>
    <x v="1"/>
    <x v="9"/>
    <s v="Yenire Yohansy Lozano Ascanio"/>
    <s v="Adquisición de elementos de protección personal (E.P.P.) para la atención de emergencias de la UAE Cuerpo Oficial de Bomberos de Bogotá"/>
    <s v="06 - contrato de compraventa"/>
    <s v="46181500;_x000a_46181600"/>
    <n v="6"/>
    <n v="6"/>
    <n v="0"/>
    <n v="5607172370"/>
    <x v="0"/>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5"/>
    <s v="Si Secop "/>
  </r>
  <r>
    <n v="20250729"/>
    <x v="1"/>
    <x v="7"/>
    <s v="Omer Mauricio Rivera Ruiz"/>
    <s v="Adición y prórroga  Contrato  374-2024 cuyo objeto es:   &quot;Prestación del servicio de mantenimiento preventivo y correctivo de los equipos de respiración autónoma Interspiro propiedad de la UAECOB, incluido el suministro de repuestos, insumos y mano de obra especializada&quot;"/>
    <s v="03 - contrato de prestacion de servicios"/>
    <n v="72101509"/>
    <n v="6"/>
    <n v="2"/>
    <n v="0"/>
    <n v="3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No Secop"/>
  </r>
  <r>
    <n v="20250730"/>
    <x v="1"/>
    <x v="7"/>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6"/>
    <n v="12"/>
    <n v="0"/>
    <n v="6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6"/>
    <s v="No Secop"/>
  </r>
  <r>
    <n v="20250731"/>
    <x v="0"/>
    <x v="11"/>
    <s v="Fatima Veronica Quintero Nuñez"/>
    <s v="Contratar la prestación del servicio de aseo y cafetería incluido insumos para la UAE Cuerpo Oficial de Bomberos -SGC"/>
    <s v="03 - contrato de prestacion de servicios"/>
    <s v="44121700;44121800;44121900;44122000"/>
    <n v="8"/>
    <n v="4"/>
    <n v="0"/>
    <n v="223594153"/>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22"/>
    <s v="Si Secop "/>
  </r>
  <r>
    <n v="20250732"/>
    <x v="0"/>
    <x v="11"/>
    <s v="Fatima Veronica Quintero Nuñez"/>
    <s v=" Adición No. 2 y Prorroga No 3 del CTO 357 de 2024 cuyo objeto es &quot;Realizar el mantenimiento predictivo, preventivo, correctivo, mejoras y dotación a las instalaciones de las dependencias de la Unidad Administrativa Especial Cuerpo Oficial de Bomberos de Bogotá D.C. - SGC"/>
    <s v="17 - contrato de mantenimiento"/>
    <s v="72102900; _x000a_72121400; _x000a_72151700;_x000a_72154000;_x000a_72101500"/>
    <n v="7"/>
    <n v="1"/>
    <n v="17"/>
    <n v="200000000"/>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4"/>
    <s v="Si Secop "/>
  </r>
  <r>
    <n v="20250733"/>
    <x v="0"/>
    <x v="11"/>
    <s v="Fatima Veronica Quintero Nuñez"/>
    <s v="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_x000a_81101500; _x000a_72101500; _x000a_72121400"/>
    <n v="7"/>
    <n v="1"/>
    <n v="17"/>
    <n v="47080000"/>
    <x v="0"/>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4"/>
    <s v="Si Secop "/>
  </r>
  <r>
    <n v="20250734"/>
    <x v="2"/>
    <x v="11"/>
    <s v="Fatima Veronica Quintero Nuñez"/>
    <s v="Contratar la prestación del servicio de aseo y cafetería incluido insumos para la UAE Cuerpo Oficial de Bomberos -SGC"/>
    <s v="03 - contrato de prestacion de servicios"/>
    <s v="44121700;44121800;44121900;44122000"/>
    <n v="8"/>
    <n v="4"/>
    <n v="0"/>
    <n v="116520528"/>
    <x v="1"/>
    <s v="17 - acuerdo marco de precios"/>
    <s v="No aplica"/>
    <s v="NA"/>
    <s v="NA"/>
    <s v="NA"/>
    <s v="N/A"/>
    <s v="N/A"/>
    <s v="N/A-N/A"/>
    <s v="N/A"/>
    <s v="N/A"/>
    <s v="N/A_N/A"/>
    <s v="N/A-N/A N/A_N/A"/>
    <x v="5"/>
    <x v="5"/>
    <x v="2"/>
    <s v="Si Secop "/>
  </r>
  <r>
    <n v="20250735"/>
    <x v="2"/>
    <x v="11"/>
    <s v="Fatima Veronica Quintero Nuñez"/>
    <s v="Contratar la prestación del servicio de aseo y cafetería incluido insumos para la UAE Cuerpo Oficial de Bomberos -SGC"/>
    <s v="03 - contrato de prestacion de servicios"/>
    <s v="44121700;44121800;44121900;44122000"/>
    <n v="8"/>
    <n v="4"/>
    <n v="0"/>
    <n v="166486111"/>
    <x v="1"/>
    <s v="17 - acuerdo marco de precios"/>
    <s v="No aplica"/>
    <s v="NA"/>
    <s v="NA"/>
    <s v="NA"/>
    <s v="N/A"/>
    <s v="N/A"/>
    <s v="N/A-N/A"/>
    <s v="N/A"/>
    <s v="N/A"/>
    <s v="N/A_N/A"/>
    <s v="N/A-N/A N/A_N/A"/>
    <x v="5"/>
    <x v="5"/>
    <x v="2"/>
    <s v="Si Secop "/>
  </r>
  <r>
    <n v="20250736"/>
    <x v="0"/>
    <x v="11"/>
    <s v="Fatima Veronica Quintero Nuñez"/>
    <s v="Prestar los servicios profesionales para el acompañamiento y el seguimiento de los comodatos y demás actividades relacionadas con los procesos y procedimientos de inventarios de la Subdireccion de Gestión Corporativa-SGC"/>
    <s v="25 - contrato de prestacion de servicios profesionales"/>
    <s v="80111600;"/>
    <n v="2"/>
    <n v="6"/>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37"/>
    <x v="2"/>
    <x v="11"/>
    <s v="Fatima Veronica Quintero Nuñez"/>
    <s v="Mantenimiento correctivo y preventivo con suministro de repuestos para los Ascensores Edificio Comando-SGC"/>
    <s v="27 - contrato de prestacion de servicios de mantenimiento"/>
    <s v="72101506;_x000a_72154010;"/>
    <n v="4"/>
    <n v="8"/>
    <n v="0"/>
    <n v="20500000"/>
    <x v="1"/>
    <s v="09 - contratación directa"/>
    <s v="No aplica"/>
    <s v="NA"/>
    <s v="NA"/>
    <s v="NA"/>
    <s v="N/A"/>
    <s v="N/A"/>
    <s v="N/A-N/A"/>
    <s v="N/A"/>
    <s v="N/A"/>
    <s v="N/A_N/A"/>
    <s v="N/A-N/A N/A_N/A"/>
    <x v="5"/>
    <x v="5"/>
    <x v="2"/>
    <s v="Si Secop "/>
  </r>
  <r>
    <n v="20250738"/>
    <x v="2"/>
    <x v="11"/>
    <s v="Fatima Veronica Quintero Nuñez"/>
    <s v="Mantenimiento correctivo y preventivo con suministro de repuestos ascensor nueva Estación de Bomberos BELLAVISTA- SGC"/>
    <s v="27 - contrato de prestacion de servicios de mantenimiento"/>
    <s v="72101506;_x000a_72154010;"/>
    <n v="3"/>
    <n v="8"/>
    <n v="0"/>
    <n v="8714800"/>
    <x v="1"/>
    <s v="09 - contratación directa"/>
    <s v="No aplica"/>
    <s v="NA"/>
    <s v="NA"/>
    <s v="NA"/>
    <s v="N/A"/>
    <s v="N/A"/>
    <s v="N/A-N/A"/>
    <s v="N/A"/>
    <s v="N/A"/>
    <s v="N/A_N/A"/>
    <s v="N/A-N/A N/A_N/A"/>
    <x v="5"/>
    <x v="5"/>
    <x v="2"/>
    <s v="Si Secop "/>
  </r>
  <r>
    <n v="20250739"/>
    <x v="2"/>
    <x v="11"/>
    <s v="Fatima Veronica Quintero Nuñez"/>
    <s v="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
    <s v="12 - resolucion"/>
    <s v="N/A"/>
    <s v="N/A"/>
    <s v="N/A"/>
    <s v="N/A"/>
    <n v="737336"/>
    <x v="2"/>
    <s v="91 - n/a acto administrativo (resolución, decreto, acuerdo, etc.)"/>
    <s v="No aplica"/>
    <s v="NA"/>
    <s v="NA"/>
    <s v="NA"/>
    <s v="N/A"/>
    <s v="N/A"/>
    <s v="N/A-N/A"/>
    <s v="N/A"/>
    <s v="N/A"/>
    <s v="N/A_N/A"/>
    <s v="N/A-N/A N/A_N/A"/>
    <x v="5"/>
    <x v="5"/>
    <x v="2"/>
    <s v="No Secop"/>
  </r>
  <r>
    <n v="20250740"/>
    <x v="2"/>
    <x v="11"/>
    <s v="Fatima Veronica Quintero Nuñez"/>
    <s v="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
    <s v="12 - resolucion"/>
    <s v="N/A"/>
    <s v="N/A"/>
    <s v="N/A"/>
    <s v="N/A"/>
    <n v="1830230"/>
    <x v="2"/>
    <s v="91 - n/a acto administrativo (resolución, decreto, acuerdo, etc.)"/>
    <s v="No aplica"/>
    <s v="NA"/>
    <s v="NA"/>
    <s v="NA"/>
    <s v="N/A"/>
    <s v="N/A"/>
    <s v="N/A-N/A"/>
    <s v="N/A"/>
    <s v="N/A"/>
    <s v="N/A_N/A"/>
    <s v="N/A-N/A N/A_N/A"/>
    <x v="5"/>
    <x v="5"/>
    <x v="2"/>
    <s v="No Secop"/>
  </r>
  <r>
    <n v="20250741"/>
    <x v="2"/>
    <x v="11"/>
    <s v="Fatima Veronica Quintero Nuñez"/>
    <s v="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
    <s v="12 - resolucion"/>
    <s v="N/A"/>
    <s v="N/A"/>
    <s v="N/A"/>
    <s v="N/A"/>
    <n v="855310"/>
    <x v="2"/>
    <s v="91 - n/a acto administrativo (resolución, decreto, acuerdo, etc.)"/>
    <s v="No aplica"/>
    <s v="NA"/>
    <s v="NA"/>
    <s v="NA"/>
    <s v="N/A"/>
    <s v="N/A"/>
    <s v="N/A-N/A"/>
    <s v="N/A"/>
    <s v="N/A"/>
    <s v="N/A_N/A"/>
    <s v="N/A-N/A N/A_N/A"/>
    <x v="5"/>
    <x v="5"/>
    <x v="2"/>
    <s v="No Secop"/>
  </r>
  <r>
    <n v="2025074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6"/>
    <n v="7"/>
    <n v="0"/>
    <n v="28000000"/>
    <x v="0"/>
    <s v="09 - contratación directa"/>
    <s v="8173 5-Realizar 3 Estrategias de Investigación, desarrollo e innovación en gestión del riesgo"/>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10"/>
    <x v="10"/>
    <x v="0"/>
    <s v="Si Secop "/>
  </r>
  <r>
    <n v="20250743"/>
    <x v="1"/>
    <x v="8"/>
    <s v="William Tovar Segura"/>
    <s v="Prestar servicios profesionales para el desarrollo de actividades de planeación y gestión para la Subdirección de Gestión del Riesgo._SGR"/>
    <s v="25 - contrato de prestacion de servicios profesionales"/>
    <n v="80111600"/>
    <n v="9"/>
    <n v="4"/>
    <n v="0"/>
    <n v="20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0"/>
    <s v="Si Secop "/>
  </r>
  <r>
    <n v="20250744"/>
    <x v="1"/>
    <x v="8"/>
    <s v="William Tovar Segura"/>
    <s v="Prestar servicios profesionales en las actividades de identificacion de escenarios a cargo de la Subdirección de Gestión del Riesgo._SGR"/>
    <s v="25 - contrato de prestacion de servicios profesionales"/>
    <n v="80111600"/>
    <n v="7"/>
    <n v="6"/>
    <n v="0"/>
    <n v="3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745"/>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8"/>
    <n v="5"/>
    <n v="0"/>
    <n v="30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1"/>
    <x v="11"/>
    <x v="1"/>
    <s v="Si Secop "/>
  </r>
  <r>
    <n v="20250746"/>
    <x v="1"/>
    <x v="8"/>
    <s v="William Tovar Segura"/>
    <s v="Prestar  servicios profesionales en las actividades de proyeccion e innovacion para la Subdirección de Gestión del Riesgo._SGR"/>
    <s v="25 - contrato de prestacion de servicios profesionales"/>
    <n v="80111600"/>
    <n v="6"/>
    <n v="6"/>
    <n v="0"/>
    <n v="54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747"/>
    <x v="1"/>
    <x v="8"/>
    <s v="William Tovar Segura"/>
    <s v="Prestar servicios de apoyo en las actividades de Programas y Campañas de Prevención para la Subdirección de Gestión del Riesgo._SGR"/>
    <s v="26 - contrato de prestacion de servicios de apoyo a la gestion"/>
    <n v="80111600"/>
    <n v="6"/>
    <n v="6"/>
    <n v="0"/>
    <n v="22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0"/>
    <s v="Si Secop "/>
  </r>
  <r>
    <n v="20250749"/>
    <x v="0"/>
    <x v="10"/>
    <s v="Paula Ximena Henao Escobar"/>
    <s v="Prestar servicios profesionales para administrar, gestionar y mantener las bases de datos de la UAE Cuerpo Oficial de Bomberos Bogotá. -TIC"/>
    <s v="25 - contrato de prestacion de servicios profesionales"/>
    <n v="80111600"/>
    <n v="2"/>
    <n v="11"/>
    <n v="0"/>
    <n v="4172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0"/>
    <x v="0"/>
    <x v="10"/>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51933333.333333336"/>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751"/>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35052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2"/>
    <x v="0"/>
    <x v="10"/>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4108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753"/>
    <x v="0"/>
    <x v="10"/>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37498333.333333336"/>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4"/>
    <x v="0"/>
    <x v="10"/>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4316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Si Secop "/>
  </r>
  <r>
    <n v="20250755"/>
    <x v="0"/>
    <x v="10"/>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001666.666666664"/>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6"/>
    <x v="0"/>
    <x v="10"/>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28233333.333333332"/>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7"/>
    <x v="0"/>
    <x v="10"/>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0468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8"/>
    <x v="0"/>
    <x v="10"/>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29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Si Secop "/>
  </r>
  <r>
    <n v="20250759"/>
    <x v="0"/>
    <x v="10"/>
    <s v="Paula Ximena Henao Escobar"/>
    <s v="Adición y prórroga Cto. 54 cuyo objeto es: &quot;Prestar los servicios profesionales jurídicos para apoyar las actividades propias de la gestión contractual que adelanta la UAE Cuerpo Oficial de Bomberos&quot;"/>
    <s v="25 - contrato de prestacion de servicios profesionales"/>
    <n v="80111600"/>
    <n v="2"/>
    <n v="11"/>
    <n v="0"/>
    <n v="52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No Secop"/>
  </r>
  <r>
    <n v="20250761"/>
    <x v="0"/>
    <x v="10"/>
    <s v="Paula Ximena Henao Escobar"/>
    <s v="Adición y prórroga Cto. 197  cuyo objeto es: &quot;Prestar los servicios profesionales en la administración, actualización, desarrollo y mantenimiento del Sistema Integrado de Administración de Personal - SIAP para la U.A.E. Cuerpo Oficial de Bomberos Bogotá&quot;."/>
    <s v="25 - contrato de prestacion de servicios profesionales"/>
    <n v="80111600"/>
    <n v="2"/>
    <n v="11"/>
    <n v="0"/>
    <n v="3483333.333333333"/>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0"/>
    <s v="No Secop"/>
  </r>
  <r>
    <n v="20250762"/>
    <x v="0"/>
    <x v="10"/>
    <s v="Paula Ximena Henao Escobar"/>
    <s v="Adición y prórroga Cto. 339 cuyo objeto es: &quot;Prestar los servicios profesionales en la estructuración, sustanciación, revisión y trámite de los procesos de contratación y gestión jurídica en el marco de los procesos y procedimientos a cargo de la dirección de la U.A.E. Cuerpo Oficial de Bomberos&quot;"/>
    <s v="25 - contrato de prestacion de servicios profesionales"/>
    <n v="80111600"/>
    <n v="2"/>
    <n v="7"/>
    <n v="0"/>
    <n v="8633333.333333334"/>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
    <s v="No Secop"/>
  </r>
  <r>
    <n v="20250763"/>
    <x v="0"/>
    <x v="10"/>
    <s v="Paula Ximena Henao Escobar"/>
    <s v="Adquisición, actualización y configuración de la plataforma de comunicaciones de Voz IP compatible con la solución actual con la que cuenta la entidad."/>
    <s v="03 - contrato de prestacion de servicios"/>
    <s v="43191500_x000a_43221500_x000a_43222800_x000a_81161700_x000a_72151600"/>
    <n v="9"/>
    <n v="12"/>
    <n v="0"/>
    <n v="245000000"/>
    <x v="0"/>
    <s v="02 - selec. abrev. menor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764"/>
    <x v="0"/>
    <x v="10"/>
    <s v="Paula Ximena Henao Escobar"/>
    <s v="Contratar el servicios de mantenimiento para el sistema de atención de turnos de la U.A.E. Cuerpo Ofical de Bomberos de Bogotá - TIC"/>
    <s v="27 - contrato de prestacion de servicios de mantenimiento"/>
    <s v="32131023;39121011;43232300"/>
    <n v="7"/>
    <n v="12"/>
    <n v="0"/>
    <n v="59016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1"/>
    <s v="Si Secop "/>
  </r>
  <r>
    <n v="20250765"/>
    <x v="2"/>
    <x v="10"/>
    <s v="Paula Ximena Henao Escobar"/>
    <s v="Contratar el servicio integral para la modernización  de los equipos activos de red como parte de la renovación, de la infraestructura tecnológica de la U.A.E. Cuerpo Oficial de Bomberos de Bogotá."/>
    <s v="06 - contrato de compraventa"/>
    <s v="43201800; 43222600"/>
    <n v="7"/>
    <n v="8"/>
    <n v="0"/>
    <n v="200000000"/>
    <x v="1"/>
    <s v="02 - selec. abrev. menor cuantía"/>
    <s v="No aplica"/>
    <s v="NA"/>
    <s v="NA"/>
    <s v="NA"/>
    <s v="N/A"/>
    <s v="N/A"/>
    <s v="N/A-N/A"/>
    <s v="N/A"/>
    <s v="N/A"/>
    <s v="N/A_N/A"/>
    <s v="N/A-N/A N/A_N/A"/>
    <x v="5"/>
    <x v="5"/>
    <x v="2"/>
    <s v="Si Secop "/>
  </r>
  <r>
    <n v="20250766"/>
    <x v="2"/>
    <x v="10"/>
    <s v="Paula Ximena Henao Escobar"/>
    <s v="Contratar la renovación de garantía y soporte de fabrica de los equipos activos que hacen parte de la infraestructura tecnológica de la U.A.E. Cuerpo Oficial de Bomberos de Bogotá."/>
    <s v="19 - contrato de renovacion de licencias"/>
    <n v="43222635"/>
    <n v="7"/>
    <n v="8"/>
    <n v="0"/>
    <n v="150000000"/>
    <x v="1"/>
    <s v="02 - selec. abrev. menor cuantía"/>
    <s v="No aplica"/>
    <s v="NA"/>
    <s v="NA"/>
    <s v="NA"/>
    <s v="N/A"/>
    <s v="N/A"/>
    <s v="N/A-N/A"/>
    <s v="N/A"/>
    <s v="N/A"/>
    <s v="N/A_N/A"/>
    <s v="N/A-N/A N/A_N/A"/>
    <x v="5"/>
    <x v="5"/>
    <x v="21"/>
    <s v="Si Secop "/>
  </r>
  <r>
    <n v="20250767"/>
    <x v="2"/>
    <x v="10"/>
    <s v="Paula Ximena Henao Escobar"/>
    <s v="Contratar la modernización integral  tecnológica, soporte y mantenimiento preventivo y correctivo con repuestos, para los sistemas de video vigilancia de la U.A.E. Cuerpo Oficial de Bomberos de Bogotá - TIC."/>
    <s v="24 - contrato de servicio"/>
    <s v="43233200; 72151700"/>
    <n v="8"/>
    <n v="6"/>
    <n v="0"/>
    <n v="240000000"/>
    <x v="1"/>
    <s v="03 - selec. abrev. subasta inversa"/>
    <s v="No aplica"/>
    <s v="NA"/>
    <s v="NA"/>
    <s v="NA"/>
    <s v="N/A"/>
    <s v="N/A"/>
    <s v="N/A-N/A"/>
    <s v="N/A"/>
    <s v="N/A"/>
    <s v="N/A_N/A"/>
    <s v="N/A-N/A N/A_N/A"/>
    <x v="5"/>
    <x v="5"/>
    <x v="2"/>
    <s v="Si Secop "/>
  </r>
  <r>
    <n v="20250768"/>
    <x v="0"/>
    <x v="2"/>
    <s v="Yenire Yohansy Lozano Ascanio"/>
    <s v="Adición y prórroga del Contrato 284-2025 cuyo objeto es: &quot;Prestar servicios profesionales jurídicos para apoyar la instrucción y demás actuaciones que deban surtirse en los procesos disciplinarios adelantados por la Oficina de Control Disciplinario Interno.&quot;"/>
    <s v="25 - contrato de prestacion de servicios profesionales"/>
    <n v="80111600"/>
    <n v="7"/>
    <n v="2"/>
    <n v="0"/>
    <n v="13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69"/>
    <x v="0"/>
    <x v="2"/>
    <s v="Yenire Yohansy Lozano Ascanio"/>
    <s v="Adición y prórroga del Contrato 295-2025 cuyo objeto es: &quot;Prestar servicios profesionales para ejercer las labores de secretaría común y actividades jurídicas que requieren las actuaciones disciplinarias en etapa de instrucción adelantadas por la Oficina de Control Disciplinario Interno.&quot;"/>
    <s v="25 - contrato de prestacion de servicios profesionales"/>
    <n v="80111600"/>
    <n v="7"/>
    <n v="2"/>
    <n v="0"/>
    <n v="1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71"/>
    <x v="1"/>
    <x v="6"/>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
    <s v="25 - contrato de prestacion de servicios profesionales"/>
    <n v="80111600"/>
    <n v="2"/>
    <n v="11"/>
    <n v="0"/>
    <n v="37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772"/>
    <x v="1"/>
    <x v="6"/>
    <s v="Jose Andres Ponce Caicedo"/>
    <s v="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
    <s v="25 - contrato de prestacion de servicios profesionales"/>
    <n v="80111600"/>
    <n v="2"/>
    <n v="11"/>
    <n v="0"/>
    <n v="37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Si Secop "/>
  </r>
  <r>
    <n v="20250773"/>
    <x v="1"/>
    <x v="6"/>
    <s v="Jose Andres Ponce Caicedo"/>
    <s v="Adición y prórroga al contrato 262 de 2025, cuyo objeto es SGH - Prestar servicios profesionales juridicos para desarrollar actividades en la Subdireccion de Gestion Humana y el area de academia."/>
    <s v="25 - contrato de prestacion de servicios profesionales"/>
    <n v="80111600"/>
    <n v="4"/>
    <n v="10"/>
    <n v="0"/>
    <n v="136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1"/>
    <s v="No Secop"/>
  </r>
  <r>
    <n v="20250774"/>
    <x v="0"/>
    <x v="1"/>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8"/>
    <n v="5"/>
    <n v="0"/>
    <n v="17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75"/>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8"/>
    <n v="5"/>
    <n v="0"/>
    <n v="5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76"/>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8"/>
    <n v="5"/>
    <n v="0"/>
    <n v="29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77"/>
    <x v="0"/>
    <x v="1"/>
    <s v="Monica Perez Barragan"/>
    <s v="Prestar los servicios profesionales jurídicos especializados para apoyar el desarrollo de las funciones de la Oficina Jurídica"/>
    <s v="25 - contrato de prestacion de servicios profesionales"/>
    <n v="80111600"/>
    <n v="8"/>
    <n v="5"/>
    <n v="0"/>
    <n v="4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78"/>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79"/>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25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80"/>
    <x v="0"/>
    <x v="1"/>
    <s v="Monica Perez Barragan"/>
    <s v="Adición y prórroga al contrato 416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8"/>
    <n v="5"/>
    <n v="0"/>
    <n v="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781"/>
    <x v="0"/>
    <x v="1"/>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8"/>
    <n v="5"/>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82"/>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2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83"/>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22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84"/>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85"/>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86"/>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23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87"/>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4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88"/>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4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89"/>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8"/>
    <n v="3"/>
    <n v="0"/>
    <n v="41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0"/>
    <x v="0"/>
    <x v="1"/>
    <s v="Monica Perez Barragan"/>
    <s v="Prestar los servicios profesionales especializados para la representación judicial  de la Entidad y la prevención del daño antijurídico."/>
    <s v="25 - contrato de prestacion de servicios profesionales"/>
    <n v="80111600"/>
    <n v="8"/>
    <n v="3"/>
    <n v="0"/>
    <n v="73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91"/>
    <x v="0"/>
    <x v="1"/>
    <s v="Monica Perez Barragan"/>
    <s v="Prestar los servicios de apoyo para las gestiones administrativas requeridas en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2"/>
    <x v="0"/>
    <x v="1"/>
    <s v="Monica Perez Barragan"/>
    <s v="Prestar los servicios de apoyo para las gestiones documentales y administrativas requerida por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3"/>
    <x v="0"/>
    <x v="1"/>
    <s v="Monica Perez Barragan"/>
    <s v="Prestar los servicios de apoyo para las gestiones documentales y administrativas requerida por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4"/>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8"/>
    <n v="6"/>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5"/>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8"/>
    <n v="3"/>
    <n v="0"/>
    <n v="19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96"/>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7"/>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23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798"/>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8"/>
    <n v="5"/>
    <n v="0"/>
    <n v="2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799"/>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8"/>
    <n v="5"/>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00"/>
    <x v="0"/>
    <x v="1"/>
    <s v="Monica Perez Barragan"/>
    <s v="Prestar los servicios profesionales jurídicos para apoyar las actividades propias de la gestión contractual que adelanta la Oficina Jurídica"/>
    <s v="25 - contrato de prestacion de servicios profesionales"/>
    <n v="80111600"/>
    <n v="8"/>
    <n v="5"/>
    <n v="0"/>
    <n v="30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01"/>
    <x v="0"/>
    <x v="1"/>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8"/>
    <n v="5"/>
    <n v="0"/>
    <n v="4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02"/>
    <x v="0"/>
    <x v="1"/>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8"/>
    <n v="5"/>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03"/>
    <x v="1"/>
    <x v="7"/>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7"/>
    <n v="0"/>
    <n v="20"/>
    <n v="64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7"/>
    <s v="Si Secop "/>
  </r>
  <r>
    <n v="20250804"/>
    <x v="1"/>
    <x v="7"/>
    <s v="Omer Mauricio Rivera Ruiz"/>
    <s v="Adicion y prorroga contrato 502-2024 cuyo objeto es: &quot;Proveer el suministro de elementos de bioseguridad e insumos médicos básicos y otros para la atención de emergencias. - SBLG&quot;"/>
    <s v="08 - contrato de suministro"/>
    <s v="42141501;42141502;42141503;42142101;42142103;42142105;42142108;42172010;42172013;42172016;42172201;42281502;42291902"/>
    <n v="7"/>
    <n v="1"/>
    <n v="0"/>
    <n v="2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5"/>
    <s v="Si Secop "/>
  </r>
  <r>
    <n v="20250805"/>
    <x v="2"/>
    <x v="11"/>
    <s v="Fatima Veronica Quintero Nuñez"/>
    <s v="Contratar los seguros obligatorios &quot;SOAT&quot; para el parque automotor de propiedad de la Unidad Administrativa Especial Cuerpo Oficial de Bomberos Bogotá D.C y de aquellos por los cuales fuere legalmente responsable-SGC"/>
    <s v="04 - contrato de consultoria"/>
    <s v="84131501;84131503;84131504;84131512;84131513;84131515; 84131601,84131603;84131607"/>
    <n v="8"/>
    <n v="12"/>
    <n v="0"/>
    <n v="133704463"/>
    <x v="1"/>
    <s v="02 - selec. abrev. menor cuantía"/>
    <s v="No aplica"/>
    <s v="NA"/>
    <s v="NA"/>
    <s v="NA"/>
    <s v="N/A"/>
    <s v="N/A"/>
    <s v="N/A-N/A"/>
    <s v="N/A"/>
    <s v="N/A"/>
    <s v="N/A_N/A"/>
    <s v="N/A-N/A N/A_N/A"/>
    <x v="5"/>
    <x v="5"/>
    <x v="2"/>
    <s v="Si Secop "/>
  </r>
  <r>
    <n v="20250806"/>
    <x v="0"/>
    <x v="10"/>
    <s v="Paula Ximena Henao Escobar"/>
    <s v="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
    <s v="06 - contrato de compraventa"/>
    <s v="43232309; 43233416_x000a_43232915; 43233203_x000a_43233204; 43233405_x000a_43233403; 43233415; 81112201; 81112203; 43233205; 43231500; 43231501; 81111802; 81111808; 81111812; 43233400; 43232907"/>
    <n v="9"/>
    <n v="12"/>
    <n v="0"/>
    <n v="470000000"/>
    <x v="0"/>
    <s v="02 - selec. abrev. menor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13"/>
    <x v="13"/>
    <x v="13"/>
    <s v="Si Secop "/>
  </r>
  <r>
    <n v="20250807"/>
    <x v="0"/>
    <x v="1"/>
    <s v="Monica Perez Barragan"/>
    <s v="Brindar apoyo en temas propios de gestión documental y de soporte administrativo que se requieran en las actividades desplegadas por la Oficina Jurídica en etapa de juzgamiento de los procesos disciplinarios a cargo"/>
    <s v="26 - contrato de prestacion de servicios de apoyo a la gestion"/>
    <n v="80111600"/>
    <n v="8"/>
    <n v="3"/>
    <n v="0"/>
    <n v="18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808"/>
    <x v="0"/>
    <x v="1"/>
    <s v="Monica Perez Barragan"/>
    <s v="Prestar los servicios profesionales jurídicos para apoyar las actuaciones procesales y procedimentales de la Oficina Jurídica"/>
    <s v="25 - contrato de prestacion de servicios profesionales"/>
    <n v="80111600"/>
    <n v="5"/>
    <n v="5"/>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09"/>
    <x v="1"/>
    <x v="8"/>
    <s v="William Tovar Segura"/>
    <s v="Prestar servicios profesionales para apoyar la gestión jurídica y el desarrollo de actividades relacionadas con las funciones de la subdirección de gestión del riesgo_SGR"/>
    <s v="25 - contrato de prestacion de servicios profesionales"/>
    <n v="80111600"/>
    <n v="8"/>
    <n v="5"/>
    <n v="0"/>
    <n v="40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8"/>
    <x v="8"/>
    <x v="1"/>
    <s v="Si Secop "/>
  </r>
  <r>
    <n v="20250810"/>
    <x v="0"/>
    <x v="2"/>
    <s v="Yenire Yohansy Lozano Ascanio"/>
    <s v="Adición y prórroga del Contrato 056-2025 cuyo objeto es: 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9"/>
    <n v="3"/>
    <n v="15"/>
    <n v="273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811"/>
    <x v="0"/>
    <x v="2"/>
    <s v="Yenire Yohansy Lozano Ascanio"/>
    <s v="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2"/>
    <n v="1"/>
    <n v="0"/>
    <n v="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812"/>
    <x v="0"/>
    <x v="2"/>
    <s v="Yenire Yohansy Lozano Ascanio"/>
    <s v="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2"/>
    <n v="1"/>
    <n v="7"/>
    <n v="92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No Secop"/>
  </r>
  <r>
    <n v="20250813"/>
    <x v="0"/>
    <x v="2"/>
    <s v="Yenire Yohansy Lozano Ascanio"/>
    <s v="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1"/>
    <n v="0"/>
    <n v="33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14"/>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20"/>
    <n v="3033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15"/>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19"/>
    <n v="3011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16"/>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7"/>
    <n v="2751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17"/>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9"/>
    <n v="3"/>
    <n v="15"/>
    <n v="22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18"/>
    <x v="0"/>
    <x v="2"/>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9"/>
    <n v="3"/>
    <n v="15"/>
    <n v="1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1"/>
    <s v="Si Secop "/>
  </r>
  <r>
    <n v="20250819"/>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4"/>
    <n v="0"/>
    <n v="1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Si Secop "/>
  </r>
  <r>
    <n v="20250820"/>
    <x v="1"/>
    <x v="7"/>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8"/>
    <n v="2"/>
    <n v="0"/>
    <n v="33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6"/>
    <s v="No Secop"/>
  </r>
  <r>
    <n v="20250821"/>
    <x v="1"/>
    <x v="7"/>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8"/>
    <n v="1"/>
    <n v="20"/>
    <n v="50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7"/>
    <x v="7"/>
    <x v="7"/>
    <s v="No Secop"/>
  </r>
  <r>
    <n v="20250822"/>
    <x v="1"/>
    <x v="9"/>
    <s v="Yenire Yohansy Lozano Ascanio"/>
    <s v="ADICIÓN Y PRÓRROGA AL CPS 277-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3"/>
    <x v="1"/>
    <x v="9"/>
    <s v="Yenire Yohansy Lozano Ascanio"/>
    <s v="ADICIÓN Y PRÓRROGA AL CPS 300-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4"/>
    <x v="1"/>
    <x v="9"/>
    <s v="Yenire Yohansy Lozano Ascanio"/>
    <s v="ADICIÓN Y PRÓRROGA AL CPS 301-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5"/>
    <x v="1"/>
    <x v="9"/>
    <s v="Yenire Yohansy Lozano Ascanio"/>
    <s v="ADICIÓN Y PRÓRROGA AL CPS 303-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s v="80111600H47:S48H47:U48"/>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6"/>
    <x v="1"/>
    <x v="9"/>
    <s v="Yenire Yohansy Lozano Ascanio"/>
    <s v="ADICIÓN Y PRÓRROGA AL CPS 305-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7"/>
    <x v="1"/>
    <x v="9"/>
    <s v="Yenire Yohansy Lozano Ascanio"/>
    <s v="ADICIÓN Y PRÓRROGA AL CPS 312-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8"/>
    <x v="1"/>
    <x v="9"/>
    <s v="Yenire Yohansy Lozano Ascanio"/>
    <s v="ADICIÓN Y PRÓRROGA AL CPS 313-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0"/>
    <s v="No Secop"/>
  </r>
  <r>
    <n v="20250829"/>
    <x v="1"/>
    <x v="9"/>
    <s v="Yenire Yohansy Lozano Ascanio"/>
    <s v="Prestación de servicios profesionales para  apoyar jurídicamente los  proyectos, procesos y procedimientos a cargo de la Subdirección Operativa-S.O."/>
    <s v="25 - contrato de prestacion de servicios profesionales"/>
    <n v="80111600"/>
    <n v="8"/>
    <n v="5"/>
    <n v="0"/>
    <n v="42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2"/>
    <x v="12"/>
    <x v="1"/>
    <s v="Si Secop "/>
  </r>
  <r>
    <n v="20250830"/>
    <x v="2"/>
    <x v="6"/>
    <s v="Jose Andres Ponce Caicedo"/>
    <s v="UTILIZACIÓN LISTA DE ELEGIBLES CNSC PARA PROVISIÓN DE VACANTES"/>
    <s v="12 - resolucion"/>
    <s v="N/A"/>
    <n v="8"/>
    <n v="1"/>
    <n v="0"/>
    <n v="74022000"/>
    <x v="1"/>
    <s v="91 - n/a acto administrativo (resolución, decreto, acuerdo, etc.)"/>
    <s v="No aplica"/>
    <s v="NA"/>
    <s v="NA"/>
    <s v="NA"/>
    <s v="N/A"/>
    <s v="N/A"/>
    <s v="N/A-N/A"/>
    <s v="N/A"/>
    <s v="N/A"/>
    <s v="N/A_N/A"/>
    <s v="N/A-N/A N/A_N/A"/>
    <x v="5"/>
    <x v="5"/>
    <x v="2"/>
    <s v="Si Secop "/>
  </r>
  <r>
    <n v="20250831"/>
    <x v="1"/>
    <x v="6"/>
    <s v="Jose Andres Ponce Caicedo"/>
    <s v="Pago de pasivos exigibles ROBINSON LUIS CASARRUBIA CARDONA"/>
    <s v="12 - resolucion"/>
    <s v="N/A"/>
    <s v="N/A"/>
    <s v="N/A"/>
    <s v="N/A"/>
    <n v="2100000"/>
    <x v="0"/>
    <s v="91 - n/a acto administrativo (resolución, decreto, acuerdo, etc.)"/>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4"/>
    <x v="4"/>
    <x v="0"/>
    <s v="No Secop"/>
  </r>
  <r>
    <n v="20250832"/>
    <x v="0"/>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22"/>
    <s v="Si Secop "/>
  </r>
  <r>
    <n v="20250833"/>
    <x v="2"/>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x v="1"/>
    <s v="17 - acuerdo marco de precios"/>
    <s v="No aplica"/>
    <s v="NA"/>
    <s v="NA"/>
    <s v="NA"/>
    <s v="N/A"/>
    <s v="N/A"/>
    <s v="N/A-N/A"/>
    <s v="N/A"/>
    <s v="N/A"/>
    <s v="N/A_N/A"/>
    <s v="N/A-N/A N/A_N/A"/>
    <x v="5"/>
    <x v="5"/>
    <x v="2"/>
    <s v="Si Secop "/>
  </r>
  <r>
    <n v="20250834"/>
    <x v="2"/>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24625216"/>
    <x v="1"/>
    <s v="17 - acuerdo marco de precios"/>
    <s v="No aplica"/>
    <s v="NA"/>
    <s v="NA"/>
    <s v="NA"/>
    <s v="N/A"/>
    <s v="N/A"/>
    <s v="N/A-N/A"/>
    <s v="N/A"/>
    <s v="N/A"/>
    <s v="N/A_N/A"/>
    <s v="N/A-N/A N/A_N/A"/>
    <x v="5"/>
    <x v="5"/>
    <x v="2"/>
    <s v="Si Secop "/>
  </r>
  <r>
    <n v="20250835"/>
    <x v="1"/>
    <x v="11"/>
    <s v="Fatima Veronica Quintero Nuñez"/>
    <s v="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
    <s v="12 - resolucion"/>
    <s v="N/A"/>
    <s v="N/A"/>
    <s v="N/A"/>
    <s v="N/A"/>
    <n v="12461974"/>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836"/>
    <x v="1"/>
    <x v="11"/>
    <s v="Fatima Veronica Quintero Nuñez"/>
    <s v="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
    <s v="12 - resolucion"/>
    <s v="N/A"/>
    <s v="N/A"/>
    <s v="N/A"/>
    <s v="N/A"/>
    <n v="19812726"/>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837"/>
    <x v="1"/>
    <x v="11"/>
    <s v="Fatima Veronica Quintero Nuñez"/>
    <s v=" Reconocimiento y pago Pasivo Exigible contrato de consultoría No 564 de 2021 suscrito con INTER OBRAS GR SAS cuyo objeto  Mantenimiento y/o rehabilitación de sala de máquinas y área de acceso de las instalaciones de la UAE Cuerpo Oficial de Bomberos de Bogotá.-SGC"/>
    <s v="12 - resolucion"/>
    <s v="N/A"/>
    <s v="N/A"/>
    <s v="N/A"/>
    <s v="N/A"/>
    <n v="21730672"/>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14"/>
    <x v="14"/>
    <x v="14"/>
    <s v="No Secop"/>
  </r>
  <r>
    <n v="20250838"/>
    <x v="0"/>
    <x v="11"/>
    <s v="Fatima Veronica Quintero Nuñez"/>
    <s v="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
    <s v="12 - resolucion"/>
    <s v="N/A"/>
    <s v="N/A"/>
    <s v="N/A"/>
    <s v="N/A"/>
    <n v="9295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9"/>
    <s v="No Secop"/>
  </r>
  <r>
    <n v="20250839"/>
    <x v="0"/>
    <x v="11"/>
    <s v="Fatima Veronica Quintero Nuñez"/>
    <s v="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
    <s v="12 - resolucion"/>
    <s v="N/A"/>
    <s v="N/A"/>
    <s v="N/A"/>
    <s v="N/A"/>
    <n v="735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40"/>
    <x v="0"/>
    <x v="11"/>
    <s v="Fatima Veronica Quintero Nuñez"/>
    <s v="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
    <s v="12 - resolucion"/>
    <s v="N/A"/>
    <s v="N/A"/>
    <s v="N/A"/>
    <s v="N/A"/>
    <n v="1306667"/>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41"/>
    <x v="0"/>
    <x v="11"/>
    <s v="Fatima Veronica Quintero Nuñez"/>
    <s v="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
    <s v="12 - resolucion"/>
    <s v="N/A"/>
    <s v="N/A"/>
    <s v="N/A"/>
    <s v="N/A"/>
    <n v="1460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42"/>
    <x v="0"/>
    <x v="11"/>
    <s v="Fatima Veronica Quintero Nuñez"/>
    <s v="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
    <s v="12 - resolucion"/>
    <s v="N/A"/>
    <s v="N/A"/>
    <s v="N/A"/>
    <s v="N/A"/>
    <n v="2041667"/>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43"/>
    <x v="0"/>
    <x v="11"/>
    <s v="Fatima Veronica Quintero Nuñez"/>
    <s v="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
    <s v="12 - resolucion"/>
    <s v="N/A"/>
    <s v="N/A"/>
    <s v="N/A"/>
    <s v="N/A"/>
    <n v="4583333"/>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0"/>
    <x v="0"/>
    <x v="0"/>
    <s v="No Secop"/>
  </r>
  <r>
    <n v="20250844"/>
    <x v="0"/>
    <x v="3"/>
    <s v="Manuel Eduardo Castillo Guzman"/>
    <s v="Adición y prórroga al contrato 004 de 2025 cuyo objeto es: Prestación de servicios de apoyo a la gestión como conductor para atender los diferentes requerimientos e incidentes en la Oficina Asesora de Planeación"/>
    <s v="26 - contrato de prestacion de servicios de apoyo a la gestion"/>
    <n v="80111600"/>
    <n v="10"/>
    <n v="3"/>
    <n v="0"/>
    <n v="1126055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No Secop"/>
  </r>
  <r>
    <n v="20250845"/>
    <x v="0"/>
    <x v="3"/>
    <s v="Manuel Eduardo Castillo Guzman"/>
    <s v="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10"/>
    <n v="3"/>
    <n v="0"/>
    <n v="13472448"/>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No Secop"/>
  </r>
  <r>
    <n v="20250846"/>
    <x v="0"/>
    <x v="3"/>
    <s v="Manuel Eduardo Castillo Guzman"/>
    <s v="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
    <s v="25 - contrato de prestacion de servicios profesionales"/>
    <n v="80111600"/>
    <n v="9"/>
    <n v="4"/>
    <n v="0"/>
    <n v="28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847"/>
    <x v="0"/>
    <x v="3"/>
    <s v="Manuel Eduardo Castillo Guzman"/>
    <s v="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9"/>
    <n v="3"/>
    <n v="0"/>
    <n v="219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No Secop"/>
  </r>
  <r>
    <n v="20250848"/>
    <x v="0"/>
    <x v="3"/>
    <s v="Manuel Eduardo Castillo Guzman"/>
    <s v="Prestación de servicios profesionales para el desarrollo de las actividades asignadas de acuerdo con el plan de trabajo de la implementación del Sistema de Gestión de la Calidaden el marco del Modelo Integrado de Planeación y Gestión (MIPG)"/>
    <s v="25 - contrato de prestacion de servicios profesionales"/>
    <n v="80111600"/>
    <n v="9"/>
    <n v="4"/>
    <n v="0"/>
    <n v="30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849"/>
    <x v="0"/>
    <x v="3"/>
    <s v="Manuel Eduardo Castillo Guzman"/>
    <s v="Prestar servicios de apoyo a la gestión para la ejecución de actividades asistenciales, administrativas y de gestión documental que se requieran en la implementación del sistema de gestión de la calidad."/>
    <s v="26 - contrato de prestacion de servicios de apoyo a la gestion"/>
    <n v="80111600"/>
    <n v="9"/>
    <n v="4"/>
    <n v="0"/>
    <n v="16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
    <x v="1"/>
    <x v="0"/>
    <s v="Si Secop "/>
  </r>
  <r>
    <n v="20250850"/>
    <x v="0"/>
    <x v="3"/>
    <s v="Manuel Eduardo Castillo Guzman"/>
    <s v="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3"/>
    <n v="0"/>
    <n v="25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851"/>
    <x v="0"/>
    <x v="3"/>
    <s v="Manuel Eduardo Castillo Guzman"/>
    <s v="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9"/>
    <n v="3"/>
    <n v="0"/>
    <n v="195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852"/>
    <x v="0"/>
    <x v="3"/>
    <s v="Manuel Eduardo Castillo Guzman"/>
    <s v="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9"/>
    <n v="3"/>
    <n v="0"/>
    <n v="21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r>
    <n v="20250853"/>
    <x v="0"/>
    <x v="3"/>
    <s v="Manuel Eduardo Castillo Guzman"/>
    <s v="Adición y prórroga al contrato 234 de 2025 cuyo objeto es: 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2"/>
    <n v="1"/>
    <n v="0"/>
    <n v="4490816"/>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2"/>
    <x v="2"/>
    <x v="0"/>
    <s v="No Seco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E605CE-8F79-48A0-8087-293633230AC6}" name="TablaDinámica1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F41" firstHeaderRow="1" firstDataRow="1" firstDataCol="5" rowPageCount="1" colPageCount="1"/>
  <pivotFields count="28">
    <pivotField showAll="0"/>
    <pivotField axis="axisPage" multipleItemSelectionAllowed="1" showAll="0">
      <items count="4">
        <item h="1" x="2"/>
        <item h="1" x="0"/>
        <item x="1"/>
        <item t="default"/>
      </items>
    </pivotField>
    <pivotField axis="axisRow" outline="0" showAll="0" defaultSubtotal="0">
      <items count="12">
        <item x="4"/>
        <item x="5"/>
        <item x="10"/>
        <item x="3"/>
        <item x="2"/>
        <item x="0"/>
        <item x="1"/>
        <item x="11"/>
        <item x="6"/>
        <item x="8"/>
        <item x="7"/>
        <item x="9"/>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numFmtId="165" showAll="0"/>
    <pivotField axis="axisRow" outline="0" showAll="0" defaultSubtotal="0">
      <items count="3">
        <item x="1"/>
        <item x="0"/>
        <item x="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axis="axisRow" outline="0" showAll="0" defaultSubtotal="0">
      <items count="18">
        <item x="5"/>
        <item x="12"/>
        <item x="11"/>
        <item x="8"/>
        <item x="10"/>
        <item x="4"/>
        <item x="14"/>
        <item x="16"/>
        <item x="15"/>
        <item x="6"/>
        <item x="17"/>
        <item x="9"/>
        <item x="7"/>
        <item x="0"/>
        <item x="13"/>
        <item x="3"/>
        <item x="2"/>
        <item x="1"/>
      </items>
      <extLst>
        <ext xmlns:x14="http://schemas.microsoft.com/office/spreadsheetml/2009/9/main" uri="{2946ED86-A175-432a-8AC1-64E0C546D7DE}">
          <x14:pivotField fillDownLabels="1"/>
        </ext>
      </extLst>
    </pivotField>
    <pivotField axis="axisRow" showAll="0">
      <items count="19">
        <item x="5"/>
        <item x="12"/>
        <item x="11"/>
        <item x="8"/>
        <item x="10"/>
        <item x="4"/>
        <item x="14"/>
        <item x="16"/>
        <item x="15"/>
        <item x="0"/>
        <item x="6"/>
        <item x="17"/>
        <item x="9"/>
        <item x="13"/>
        <item x="7"/>
        <item x="3"/>
        <item x="2"/>
        <item x="1"/>
        <item t="default"/>
      </items>
    </pivotField>
    <pivotField axis="axisRow" outline="0" showAll="0" defaultSubtotal="0">
      <items count="23">
        <item x="17"/>
        <item x="16"/>
        <item x="15"/>
        <item x="2"/>
        <item x="12"/>
        <item x="21"/>
        <item x="20"/>
        <item x="19"/>
        <item x="10"/>
        <item x="3"/>
        <item x="7"/>
        <item x="5"/>
        <item x="14"/>
        <item x="6"/>
        <item x="1"/>
        <item x="11"/>
        <item x="13"/>
        <item x="8"/>
        <item x="0"/>
        <item x="18"/>
        <item x="22"/>
        <item x="4"/>
        <item x="9"/>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38">
    <i>
      <x v="7"/>
      <x v="6"/>
      <x v="1"/>
      <x v="1"/>
      <x v="6"/>
    </i>
    <i r="3">
      <x v="12"/>
      <x v="6"/>
    </i>
    <i r="3">
      <x v="14"/>
      <x v="6"/>
    </i>
    <i r="3">
      <x v="18"/>
      <x v="6"/>
    </i>
    <i r="2">
      <x v="2"/>
      <x v="12"/>
      <x v="6"/>
    </i>
    <i r="3">
      <x v="18"/>
      <x v="6"/>
    </i>
    <i r="1">
      <x v="7"/>
      <x v="1"/>
      <x v="14"/>
      <x v="7"/>
    </i>
    <i r="3">
      <x v="18"/>
      <x v="7"/>
    </i>
    <i r="1">
      <x v="8"/>
      <x v="1"/>
      <x v="1"/>
      <x v="8"/>
    </i>
    <i r="3">
      <x v="12"/>
      <x v="8"/>
    </i>
    <i r="3">
      <x v="14"/>
      <x v="8"/>
    </i>
    <i>
      <x v="8"/>
      <x v="5"/>
      <x v="1"/>
      <x v="14"/>
      <x v="5"/>
    </i>
    <i r="3">
      <x v="18"/>
      <x v="5"/>
    </i>
    <i>
      <x v="9"/>
      <x v="2"/>
      <x v="1"/>
      <x v="14"/>
      <x v="2"/>
    </i>
    <i r="3">
      <x v="18"/>
      <x v="2"/>
    </i>
    <i r="1">
      <x v="3"/>
      <x v="1"/>
      <x v="14"/>
      <x v="3"/>
    </i>
    <i r="3">
      <x v="18"/>
      <x v="3"/>
    </i>
    <i r="1">
      <x v="4"/>
      <x v="1"/>
      <x v="18"/>
      <x v="4"/>
    </i>
    <i r="1">
      <x v="11"/>
      <x v="1"/>
      <x v="18"/>
      <x v="12"/>
    </i>
    <i r="2">
      <x v="2"/>
      <x v="18"/>
      <x v="12"/>
    </i>
    <i>
      <x v="10"/>
      <x v="9"/>
      <x v="1"/>
      <x v="9"/>
      <x v="10"/>
    </i>
    <i r="3">
      <x v="18"/>
      <x v="10"/>
    </i>
    <i r="3">
      <x v="21"/>
      <x v="10"/>
    </i>
    <i r="3">
      <x v="22"/>
      <x v="10"/>
    </i>
    <i r="1">
      <x v="12"/>
      <x v="1"/>
      <x v="9"/>
      <x v="14"/>
    </i>
    <i r="3">
      <x v="10"/>
      <x v="14"/>
    </i>
    <i r="3">
      <x v="11"/>
      <x v="14"/>
    </i>
    <i r="3">
      <x v="13"/>
      <x v="14"/>
    </i>
    <i r="3">
      <x v="14"/>
      <x v="14"/>
    </i>
    <i r="3">
      <x v="17"/>
      <x v="14"/>
    </i>
    <i r="3">
      <x v="18"/>
      <x v="14"/>
    </i>
    <i r="3">
      <x v="22"/>
      <x v="14"/>
    </i>
    <i>
      <x v="11"/>
      <x v="1"/>
      <x v="1"/>
      <x v="11"/>
      <x v="1"/>
    </i>
    <i r="3">
      <x v="14"/>
      <x v="1"/>
    </i>
    <i r="3">
      <x v="15"/>
      <x v="1"/>
    </i>
    <i r="3">
      <x v="18"/>
      <x v="1"/>
    </i>
    <i r="1">
      <x v="10"/>
      <x v="1"/>
      <x v="9"/>
      <x v="11"/>
    </i>
    <i t="grand">
      <x/>
    </i>
  </rowItems>
  <colItems count="1">
    <i/>
  </colItems>
  <pageFields count="1">
    <pageField fld="1" hier="-1"/>
  </pageFields>
  <dataFields count="1">
    <dataField name="Suma de Valor Programado" fld="10"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1:AC826" totalsRowShown="0" headerRowDxfId="86" dataDxfId="84" headerRowBorderDxfId="85" tableBorderDxfId="83" totalsRowBorderDxfId="82">
  <sortState xmlns:xlrd2="http://schemas.microsoft.com/office/spreadsheetml/2017/richdata2" ref="B12:AC826">
    <sortCondition sortBy="cellColor" ref="B11:B826" dxfId="81"/>
  </sortState>
  <tableColumns count="28">
    <tableColumn id="1" xr3:uid="{00000000-0010-0000-0000-000001000000}" name="Id" dataDxfId="80" dataCellStyle="Millares"/>
    <tableColumn id="2" xr3:uid="{00000000-0010-0000-0000-000002000000}" name="Proyecto y nombre " dataDxfId="79" dataCellStyle="Millares"/>
    <tableColumn id="3" xr3:uid="{00000000-0010-0000-0000-000003000000}" name="Dependencia " dataDxfId="78"/>
    <tableColumn id="4" xr3:uid="{00000000-0010-0000-0000-000004000000}" name="Responsable" dataDxfId="77" dataCellStyle="Normal 2"/>
    <tableColumn id="5" xr3:uid="{00000000-0010-0000-0000-000005000000}" name="Objeto" dataDxfId="76"/>
    <tableColumn id="6" xr3:uid="{00000000-0010-0000-0000-000006000000}" name="Tipo de Contratación" dataDxfId="75"/>
    <tableColumn id="7" xr3:uid="{00000000-0010-0000-0000-000007000000}" name="Código UNSPSC (cada código separado por ;)" dataDxfId="74" dataCellStyle="Moneda"/>
    <tableColumn id="8" xr3:uid="{00000000-0010-0000-0000-000008000000}" name="Mes inicio de ejecución" dataDxfId="73"/>
    <tableColumn id="9" xr3:uid="{00000000-0010-0000-0000-000009000000}" name="plazo ejec Meses" dataDxfId="72"/>
    <tableColumn id="10" xr3:uid="{00000000-0010-0000-0000-00000A000000}" name="mas plazo ejec Días (si aplica)" dataDxfId="71" dataCellStyle="Millares"/>
    <tableColumn id="11" xr3:uid="{00000000-0010-0000-0000-00000B000000}" name="Valor Programado" dataDxfId="70" dataCellStyle="Millares"/>
    <tableColumn id="12" xr3:uid="{00000000-0010-0000-0000-00000C000000}" name="Fuente de Recursos" dataDxfId="69"/>
    <tableColumn id="13" xr3:uid="{00000000-0010-0000-0000-00000D000000}" name="Modalidad de Selección" dataDxfId="68" dataCellStyle="Millares"/>
    <tableColumn id="14" xr3:uid="{00000000-0010-0000-0000-00000E000000}" name="Meta Proyecto de Inversión" dataDxfId="67" dataCellStyle="Normal 2"/>
    <tableColumn id="15" xr3:uid="{00000000-0010-0000-0000-00000F000000}" name="Bogotá camina segura" dataDxfId="66" dataCellStyle="Normal 2">
      <calculatedColumnFormula>IFERROR(VLOOKUP(C12,TD!$B$33:$F$37,2,0)," ")</calculatedColumnFormula>
    </tableColumn>
    <tableColumn id="16" xr3:uid="{00000000-0010-0000-0000-000010000000}" name="Sector_Programa MGA" dataDxfId="65" dataCellStyle="Normal 2">
      <calculatedColumnFormula>IFERROR(VLOOKUP(C12,TD!$B$33:$F$37,3,0)," ")</calculatedColumnFormula>
    </tableColumn>
    <tableColumn id="17" xr3:uid="{00000000-0010-0000-0000-000011000000}" name="BPIN (AÑO+COD_PROYECTO)" dataDxfId="64" dataCellStyle="Normal 2">
      <calculatedColumnFormula>IFERROR(VLOOKUP(C12,TD!$B$33:$F$37,4,0)," ")</calculatedColumnFormula>
    </tableColumn>
    <tableColumn id="18" xr3:uid="{00000000-0010-0000-0000-000012000000}" name="Producto PMR" dataDxfId="63" dataCellStyle="Normal 2"/>
    <tableColumn id="19" xr3:uid="{00000000-0010-0000-0000-000013000000}" name="Descripción Producto PMR" dataDxfId="62" dataCellStyle="Normal 2"/>
    <tableColumn id="20" xr3:uid="{00000000-0010-0000-0000-000014000000}" name="PMR conca" dataDxfId="61" dataCellStyle="Normal 2">
      <calculatedColumnFormula>CONCATENATE(S12,"-",T12)</calculatedColumnFormula>
    </tableColumn>
    <tableColumn id="21" xr3:uid="{00000000-0010-0000-0000-000015000000}" name="Producto MGA" dataDxfId="60" dataCellStyle="Normal 2"/>
    <tableColumn id="22" xr3:uid="{00000000-0010-0000-0000-000016000000}" name="Descripción Producto MGA" dataDxfId="59" dataCellStyle="Normal 2"/>
    <tableColumn id="23" xr3:uid="{00000000-0010-0000-0000-000017000000}" name="concatenarMGA" dataDxfId="58" dataCellStyle="Normal 2">
      <calculatedColumnFormula>CONCATENATE(V12,"_",W12)</calculatedColumnFormula>
    </tableColumn>
    <tableColumn id="24" xr3:uid="{00000000-0010-0000-0000-000018000000}" name="PM MGA conca" dataDxfId="57" dataCellStyle="Normal 2">
      <calculatedColumnFormula>CONCATENATE(U12," ",X12)</calculatedColumnFormula>
    </tableColumn>
    <tableColumn id="25" xr3:uid="{00000000-0010-0000-0000-000019000000}" name="Código de proyecto de inversión, asociado a productos PMR y MGA" dataDxfId="56" dataCellStyle="Normal 2">
      <calculatedColumnFormula>CONCATENATE(P12,Q12,R12,S12,V12)</calculatedColumnFormula>
    </tableColumn>
    <tableColumn id="26" xr3:uid="{00000000-0010-0000-0000-00001A000000}" name="codigo PEP" dataDxfId="55" dataCellStyle="Normal 2">
      <calculatedColumnFormula>IFERROR(VLOOKUP(Y12,TD!$K$47:$L$65,2,0)," ")</calculatedColumnFormula>
    </tableColumn>
    <tableColumn id="27" xr3:uid="{00000000-0010-0000-0000-00001B000000}" name="POSPRE" dataDxfId="54" dataCellStyle="Millares"/>
    <tableColumn id="28" xr3:uid="{00000000-0010-0000-0000-00001C000000}" name="Si Secop / No Secop" dataDxfId="53"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A4CC-1D14-44B6-9679-5F3E3A737448}">
  <dimension ref="A1:F41"/>
  <sheetViews>
    <sheetView topLeftCell="A13" zoomScale="70" zoomScaleNormal="70" workbookViewId="0">
      <selection activeCell="A3" sqref="A3:F40"/>
    </sheetView>
  </sheetViews>
  <sheetFormatPr baseColWidth="10" defaultRowHeight="14.5" x14ac:dyDescent="0.35"/>
  <cols>
    <col min="1" max="1" width="36.1796875" bestFit="1" customWidth="1"/>
    <col min="2" max="2" width="33.453125" customWidth="1"/>
    <col min="3" max="3" width="30.1796875" bestFit="1" customWidth="1"/>
    <col min="4" max="4" width="30.81640625" customWidth="1"/>
    <col min="5" max="5" width="17.1796875" customWidth="1"/>
    <col min="6" max="6" width="14.54296875" customWidth="1"/>
  </cols>
  <sheetData>
    <row r="1" spans="1:6" x14ac:dyDescent="0.35">
      <c r="A1" s="165" t="s">
        <v>296</v>
      </c>
      <c r="B1" t="s">
        <v>209</v>
      </c>
    </row>
    <row r="3" spans="1:6" x14ac:dyDescent="0.35">
      <c r="A3" s="165" t="s">
        <v>447</v>
      </c>
      <c r="B3" s="165" t="s">
        <v>206</v>
      </c>
      <c r="C3" s="165" t="s">
        <v>71</v>
      </c>
      <c r="D3" s="165" t="s">
        <v>84</v>
      </c>
      <c r="E3" s="165" t="s">
        <v>231</v>
      </c>
      <c r="F3" t="s">
        <v>449</v>
      </c>
    </row>
    <row r="4" spans="1:6" x14ac:dyDescent="0.35">
      <c r="A4" s="166" t="s">
        <v>166</v>
      </c>
      <c r="B4" s="166" t="s">
        <v>337</v>
      </c>
      <c r="C4" s="166" t="s">
        <v>465</v>
      </c>
      <c r="D4" s="166" t="s">
        <v>674</v>
      </c>
      <c r="E4" s="166" t="s">
        <v>264</v>
      </c>
      <c r="F4" s="167">
        <v>541036634</v>
      </c>
    </row>
    <row r="5" spans="1:6" x14ac:dyDescent="0.35">
      <c r="A5" s="166" t="s">
        <v>166</v>
      </c>
      <c r="B5" s="166" t="s">
        <v>337</v>
      </c>
      <c r="C5" s="166" t="s">
        <v>465</v>
      </c>
      <c r="D5" s="166" t="s">
        <v>102</v>
      </c>
      <c r="E5" s="166" t="s">
        <v>264</v>
      </c>
      <c r="F5" s="167">
        <v>8597266116</v>
      </c>
    </row>
    <row r="6" spans="1:6" x14ac:dyDescent="0.35">
      <c r="A6" s="166" t="s">
        <v>166</v>
      </c>
      <c r="B6" s="166" t="s">
        <v>337</v>
      </c>
      <c r="C6" s="166" t="s">
        <v>465</v>
      </c>
      <c r="D6" s="166" t="s">
        <v>120</v>
      </c>
      <c r="E6" s="166" t="s">
        <v>264</v>
      </c>
      <c r="F6" s="167">
        <v>72600000</v>
      </c>
    </row>
    <row r="7" spans="1:6" x14ac:dyDescent="0.35">
      <c r="A7" s="166" t="s">
        <v>166</v>
      </c>
      <c r="B7" s="166" t="s">
        <v>337</v>
      </c>
      <c r="C7" s="166" t="s">
        <v>465</v>
      </c>
      <c r="D7" s="166" t="s">
        <v>138</v>
      </c>
      <c r="E7" s="166" t="s">
        <v>264</v>
      </c>
      <c r="F7" s="167">
        <v>222545136</v>
      </c>
    </row>
    <row r="8" spans="1:6" x14ac:dyDescent="0.35">
      <c r="A8" s="166" t="s">
        <v>166</v>
      </c>
      <c r="B8" s="166" t="s">
        <v>337</v>
      </c>
      <c r="C8" s="166" t="s">
        <v>173</v>
      </c>
      <c r="D8" s="166" t="s">
        <v>102</v>
      </c>
      <c r="E8" s="166" t="s">
        <v>264</v>
      </c>
      <c r="F8" s="167">
        <v>1148802342</v>
      </c>
    </row>
    <row r="9" spans="1:6" x14ac:dyDescent="0.35">
      <c r="A9" s="166" t="s">
        <v>166</v>
      </c>
      <c r="B9" s="166" t="s">
        <v>337</v>
      </c>
      <c r="C9" s="166" t="s">
        <v>173</v>
      </c>
      <c r="D9" s="166" t="s">
        <v>138</v>
      </c>
      <c r="E9" s="166" t="s">
        <v>264</v>
      </c>
      <c r="F9" s="167">
        <v>2450000</v>
      </c>
    </row>
    <row r="10" spans="1:6" x14ac:dyDescent="0.35">
      <c r="A10" s="166" t="s">
        <v>166</v>
      </c>
      <c r="B10" s="166" t="s">
        <v>339</v>
      </c>
      <c r="C10" s="166" t="s">
        <v>465</v>
      </c>
      <c r="D10" s="166" t="s">
        <v>120</v>
      </c>
      <c r="E10" s="166" t="s">
        <v>265</v>
      </c>
      <c r="F10" s="167">
        <v>72600000</v>
      </c>
    </row>
    <row r="11" spans="1:6" x14ac:dyDescent="0.35">
      <c r="A11" s="166" t="s">
        <v>166</v>
      </c>
      <c r="B11" s="166" t="s">
        <v>339</v>
      </c>
      <c r="C11" s="166" t="s">
        <v>465</v>
      </c>
      <c r="D11" s="166" t="s">
        <v>138</v>
      </c>
      <c r="E11" s="166" t="s">
        <v>265</v>
      </c>
      <c r="F11" s="167">
        <v>99918896</v>
      </c>
    </row>
    <row r="12" spans="1:6" x14ac:dyDescent="0.35">
      <c r="A12" s="166" t="s">
        <v>166</v>
      </c>
      <c r="B12" s="166" t="s">
        <v>966</v>
      </c>
      <c r="C12" s="166" t="s">
        <v>465</v>
      </c>
      <c r="D12" s="166" t="s">
        <v>674</v>
      </c>
      <c r="E12" s="166" t="s">
        <v>274</v>
      </c>
      <c r="F12" s="167">
        <v>72600000</v>
      </c>
    </row>
    <row r="13" spans="1:6" x14ac:dyDescent="0.35">
      <c r="A13" s="166" t="s">
        <v>166</v>
      </c>
      <c r="B13" s="166" t="s">
        <v>966</v>
      </c>
      <c r="C13" s="166" t="s">
        <v>465</v>
      </c>
      <c r="D13" s="166" t="s">
        <v>102</v>
      </c>
      <c r="E13" s="166" t="s">
        <v>274</v>
      </c>
      <c r="F13" s="167">
        <v>650000000</v>
      </c>
    </row>
    <row r="14" spans="1:6" x14ac:dyDescent="0.35">
      <c r="A14" s="166" t="s">
        <v>166</v>
      </c>
      <c r="B14" s="166" t="s">
        <v>966</v>
      </c>
      <c r="C14" s="166" t="s">
        <v>465</v>
      </c>
      <c r="D14" s="166" t="s">
        <v>120</v>
      </c>
      <c r="E14" s="166" t="s">
        <v>274</v>
      </c>
      <c r="F14" s="167">
        <v>78650000</v>
      </c>
    </row>
    <row r="15" spans="1:6" x14ac:dyDescent="0.35">
      <c r="A15" s="166" t="s">
        <v>165</v>
      </c>
      <c r="B15" s="166" t="s">
        <v>341</v>
      </c>
      <c r="C15" s="166" t="s">
        <v>465</v>
      </c>
      <c r="D15" s="166" t="s">
        <v>120</v>
      </c>
      <c r="E15" s="166" t="s">
        <v>263</v>
      </c>
      <c r="F15" s="167">
        <v>360774721</v>
      </c>
    </row>
    <row r="16" spans="1:6" x14ac:dyDescent="0.35">
      <c r="A16" s="166" t="s">
        <v>165</v>
      </c>
      <c r="B16" s="166" t="s">
        <v>341</v>
      </c>
      <c r="C16" s="166" t="s">
        <v>465</v>
      </c>
      <c r="D16" s="166" t="s">
        <v>138</v>
      </c>
      <c r="E16" s="166" t="s">
        <v>263</v>
      </c>
      <c r="F16" s="167">
        <v>3813225279</v>
      </c>
    </row>
    <row r="17" spans="1:6" x14ac:dyDescent="0.35">
      <c r="A17" s="166" t="s">
        <v>167</v>
      </c>
      <c r="B17" s="166" t="s">
        <v>325</v>
      </c>
      <c r="C17" s="166" t="s">
        <v>465</v>
      </c>
      <c r="D17" s="166" t="s">
        <v>120</v>
      </c>
      <c r="E17" s="166" t="s">
        <v>259</v>
      </c>
      <c r="F17" s="167">
        <v>136000000</v>
      </c>
    </row>
    <row r="18" spans="1:6" x14ac:dyDescent="0.35">
      <c r="A18" s="166" t="s">
        <v>167</v>
      </c>
      <c r="B18" s="166" t="s">
        <v>325</v>
      </c>
      <c r="C18" s="166" t="s">
        <v>465</v>
      </c>
      <c r="D18" s="166" t="s">
        <v>138</v>
      </c>
      <c r="E18" s="166" t="s">
        <v>259</v>
      </c>
      <c r="F18" s="167">
        <v>1283834376</v>
      </c>
    </row>
    <row r="19" spans="1:6" x14ac:dyDescent="0.35">
      <c r="A19" s="166" t="s">
        <v>167</v>
      </c>
      <c r="B19" s="166" t="s">
        <v>326</v>
      </c>
      <c r="C19" s="166" t="s">
        <v>465</v>
      </c>
      <c r="D19" s="166" t="s">
        <v>120</v>
      </c>
      <c r="E19" s="166" t="s">
        <v>260</v>
      </c>
      <c r="F19" s="167">
        <v>40000000</v>
      </c>
    </row>
    <row r="20" spans="1:6" x14ac:dyDescent="0.35">
      <c r="A20" s="166" t="s">
        <v>167</v>
      </c>
      <c r="B20" s="166" t="s">
        <v>326</v>
      </c>
      <c r="C20" s="166" t="s">
        <v>465</v>
      </c>
      <c r="D20" s="166" t="s">
        <v>138</v>
      </c>
      <c r="E20" s="166" t="s">
        <v>260</v>
      </c>
      <c r="F20" s="167">
        <v>874200000</v>
      </c>
    </row>
    <row r="21" spans="1:6" x14ac:dyDescent="0.35">
      <c r="A21" s="166" t="s">
        <v>167</v>
      </c>
      <c r="B21" s="166" t="s">
        <v>328</v>
      </c>
      <c r="C21" s="166" t="s">
        <v>465</v>
      </c>
      <c r="D21" s="166" t="s">
        <v>138</v>
      </c>
      <c r="E21" s="166" t="s">
        <v>262</v>
      </c>
      <c r="F21" s="167">
        <v>996700000</v>
      </c>
    </row>
    <row r="22" spans="1:6" x14ac:dyDescent="0.35">
      <c r="A22" s="166" t="s">
        <v>167</v>
      </c>
      <c r="B22" s="166" t="s">
        <v>336</v>
      </c>
      <c r="C22" s="166" t="s">
        <v>465</v>
      </c>
      <c r="D22" s="166" t="s">
        <v>138</v>
      </c>
      <c r="E22" s="166" t="s">
        <v>261</v>
      </c>
      <c r="F22" s="167">
        <v>1199386500</v>
      </c>
    </row>
    <row r="23" spans="1:6" x14ac:dyDescent="0.35">
      <c r="A23" s="166" t="s">
        <v>167</v>
      </c>
      <c r="B23" s="166" t="s">
        <v>336</v>
      </c>
      <c r="C23" s="166" t="s">
        <v>173</v>
      </c>
      <c r="D23" s="166" t="s">
        <v>138</v>
      </c>
      <c r="E23" s="166" t="s">
        <v>261</v>
      </c>
      <c r="F23" s="167">
        <v>1410000</v>
      </c>
    </row>
    <row r="24" spans="1:6" x14ac:dyDescent="0.35">
      <c r="A24" s="166" t="s">
        <v>168</v>
      </c>
      <c r="B24" s="166" t="s">
        <v>333</v>
      </c>
      <c r="C24" s="166" t="s">
        <v>465</v>
      </c>
      <c r="D24" s="166" t="s">
        <v>87</v>
      </c>
      <c r="E24" s="166" t="s">
        <v>267</v>
      </c>
      <c r="F24" s="167">
        <v>1151230920</v>
      </c>
    </row>
    <row r="25" spans="1:6" x14ac:dyDescent="0.35">
      <c r="A25" s="166" t="s">
        <v>168</v>
      </c>
      <c r="B25" s="166" t="s">
        <v>333</v>
      </c>
      <c r="C25" s="166" t="s">
        <v>465</v>
      </c>
      <c r="D25" s="166" t="s">
        <v>138</v>
      </c>
      <c r="E25" s="166" t="s">
        <v>267</v>
      </c>
      <c r="F25" s="167">
        <v>432300000</v>
      </c>
    </row>
    <row r="26" spans="1:6" x14ac:dyDescent="0.35">
      <c r="A26" s="166" t="s">
        <v>168</v>
      </c>
      <c r="B26" s="166" t="s">
        <v>333</v>
      </c>
      <c r="C26" s="166" t="s">
        <v>465</v>
      </c>
      <c r="D26" s="166" t="s">
        <v>145</v>
      </c>
      <c r="E26" s="166" t="s">
        <v>267</v>
      </c>
      <c r="F26" s="167">
        <v>3900285658</v>
      </c>
    </row>
    <row r="27" spans="1:6" x14ac:dyDescent="0.35">
      <c r="A27" s="166" t="s">
        <v>168</v>
      </c>
      <c r="B27" s="166" t="s">
        <v>333</v>
      </c>
      <c r="C27" s="166" t="s">
        <v>465</v>
      </c>
      <c r="D27" s="166" t="s">
        <v>147</v>
      </c>
      <c r="E27" s="166" t="s">
        <v>267</v>
      </c>
      <c r="F27" s="167">
        <v>95347742</v>
      </c>
    </row>
    <row r="28" spans="1:6" x14ac:dyDescent="0.35">
      <c r="A28" s="166" t="s">
        <v>168</v>
      </c>
      <c r="B28" s="166" t="s">
        <v>335</v>
      </c>
      <c r="C28" s="166" t="s">
        <v>465</v>
      </c>
      <c r="D28" s="166" t="s">
        <v>87</v>
      </c>
      <c r="E28" s="166" t="s">
        <v>270</v>
      </c>
      <c r="F28" s="167">
        <v>355000000</v>
      </c>
    </row>
    <row r="29" spans="1:6" x14ac:dyDescent="0.35">
      <c r="A29" s="166" t="s">
        <v>168</v>
      </c>
      <c r="B29" s="166" t="s">
        <v>335</v>
      </c>
      <c r="C29" s="166" t="s">
        <v>465</v>
      </c>
      <c r="D29" s="166" t="s">
        <v>92</v>
      </c>
      <c r="E29" s="166" t="s">
        <v>270</v>
      </c>
      <c r="F29" s="167">
        <v>1085000000</v>
      </c>
    </row>
    <row r="30" spans="1:6" x14ac:dyDescent="0.35">
      <c r="A30" s="166" t="s">
        <v>168</v>
      </c>
      <c r="B30" s="166" t="s">
        <v>335</v>
      </c>
      <c r="C30" s="166" t="s">
        <v>465</v>
      </c>
      <c r="D30" s="166" t="s">
        <v>97</v>
      </c>
      <c r="E30" s="166" t="s">
        <v>270</v>
      </c>
      <c r="F30" s="167">
        <v>66000000</v>
      </c>
    </row>
    <row r="31" spans="1:6" x14ac:dyDescent="0.35">
      <c r="A31" s="166" t="s">
        <v>168</v>
      </c>
      <c r="B31" s="166" t="s">
        <v>335</v>
      </c>
      <c r="C31" s="166" t="s">
        <v>465</v>
      </c>
      <c r="D31" s="166" t="s">
        <v>110</v>
      </c>
      <c r="E31" s="166" t="s">
        <v>270</v>
      </c>
      <c r="F31" s="167">
        <v>313000000</v>
      </c>
    </row>
    <row r="32" spans="1:6" x14ac:dyDescent="0.35">
      <c r="A32" s="166" t="s">
        <v>168</v>
      </c>
      <c r="B32" s="166" t="s">
        <v>335</v>
      </c>
      <c r="C32" s="166" t="s">
        <v>465</v>
      </c>
      <c r="D32" s="166" t="s">
        <v>120</v>
      </c>
      <c r="E32" s="166" t="s">
        <v>270</v>
      </c>
      <c r="F32" s="167">
        <v>193000000</v>
      </c>
    </row>
    <row r="33" spans="1:6" x14ac:dyDescent="0.35">
      <c r="A33" s="166" t="s">
        <v>168</v>
      </c>
      <c r="B33" s="166" t="s">
        <v>335</v>
      </c>
      <c r="C33" s="166" t="s">
        <v>465</v>
      </c>
      <c r="D33" s="166" t="s">
        <v>134</v>
      </c>
      <c r="E33" s="166" t="s">
        <v>270</v>
      </c>
      <c r="F33" s="167">
        <v>105000000</v>
      </c>
    </row>
    <row r="34" spans="1:6" x14ac:dyDescent="0.35">
      <c r="A34" s="166" t="s">
        <v>168</v>
      </c>
      <c r="B34" s="166" t="s">
        <v>335</v>
      </c>
      <c r="C34" s="166" t="s">
        <v>465</v>
      </c>
      <c r="D34" s="166" t="s">
        <v>138</v>
      </c>
      <c r="E34" s="166" t="s">
        <v>270</v>
      </c>
      <c r="F34" s="167">
        <v>2268200013</v>
      </c>
    </row>
    <row r="35" spans="1:6" x14ac:dyDescent="0.35">
      <c r="A35" s="166" t="s">
        <v>168</v>
      </c>
      <c r="B35" s="166" t="s">
        <v>335</v>
      </c>
      <c r="C35" s="166" t="s">
        <v>465</v>
      </c>
      <c r="D35" s="166" t="s">
        <v>147</v>
      </c>
      <c r="E35" s="166" t="s">
        <v>270</v>
      </c>
      <c r="F35" s="167">
        <v>5635667</v>
      </c>
    </row>
    <row r="36" spans="1:6" x14ac:dyDescent="0.35">
      <c r="A36" s="166" t="s">
        <v>169</v>
      </c>
      <c r="B36" s="166" t="s">
        <v>330</v>
      </c>
      <c r="C36" s="166" t="s">
        <v>465</v>
      </c>
      <c r="D36" s="166" t="s">
        <v>97</v>
      </c>
      <c r="E36" s="166" t="s">
        <v>258</v>
      </c>
      <c r="F36" s="167">
        <v>5607172370</v>
      </c>
    </row>
    <row r="37" spans="1:6" x14ac:dyDescent="0.35">
      <c r="A37" s="166" t="s">
        <v>169</v>
      </c>
      <c r="B37" s="166" t="s">
        <v>330</v>
      </c>
      <c r="C37" s="166" t="s">
        <v>465</v>
      </c>
      <c r="D37" s="166" t="s">
        <v>120</v>
      </c>
      <c r="E37" s="166" t="s">
        <v>258</v>
      </c>
      <c r="F37" s="167">
        <v>299000000</v>
      </c>
    </row>
    <row r="38" spans="1:6" x14ac:dyDescent="0.35">
      <c r="A38" s="166" t="s">
        <v>169</v>
      </c>
      <c r="B38" s="166" t="s">
        <v>330</v>
      </c>
      <c r="C38" s="166" t="s">
        <v>465</v>
      </c>
      <c r="D38" s="166" t="s">
        <v>125</v>
      </c>
      <c r="E38" s="166" t="s">
        <v>258</v>
      </c>
      <c r="F38" s="167">
        <v>117026000</v>
      </c>
    </row>
    <row r="39" spans="1:6" x14ac:dyDescent="0.35">
      <c r="A39" s="166" t="s">
        <v>169</v>
      </c>
      <c r="B39" s="166" t="s">
        <v>330</v>
      </c>
      <c r="C39" s="166" t="s">
        <v>465</v>
      </c>
      <c r="D39" s="166" t="s">
        <v>138</v>
      </c>
      <c r="E39" s="166" t="s">
        <v>258</v>
      </c>
      <c r="F39" s="167">
        <v>9849062630</v>
      </c>
    </row>
    <row r="40" spans="1:6" x14ac:dyDescent="0.35">
      <c r="A40" s="166" t="s">
        <v>169</v>
      </c>
      <c r="B40" s="166" t="s">
        <v>331</v>
      </c>
      <c r="C40" s="166" t="s">
        <v>465</v>
      </c>
      <c r="D40" s="166" t="s">
        <v>87</v>
      </c>
      <c r="E40" s="166" t="s">
        <v>268</v>
      </c>
      <c r="F40" s="167">
        <v>128115000</v>
      </c>
    </row>
    <row r="41" spans="1:6" x14ac:dyDescent="0.35">
      <c r="A41" s="166" t="s">
        <v>448</v>
      </c>
      <c r="F41" s="167">
        <v>46234376000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C826"/>
  <sheetViews>
    <sheetView showGridLines="0" tabSelected="1" topLeftCell="A11" zoomScale="65" zoomScaleNormal="65" zoomScaleSheetLayoutView="55" workbookViewId="0">
      <selection activeCell="D11" sqref="D11"/>
    </sheetView>
  </sheetViews>
  <sheetFormatPr baseColWidth="10" defaultColWidth="17.453125" defaultRowHeight="99" customHeight="1" x14ac:dyDescent="0.35"/>
  <cols>
    <col min="1" max="1" width="9.81640625" style="70" customWidth="1"/>
    <col min="2" max="2" width="17.453125" style="97" customWidth="1"/>
    <col min="3" max="3" width="29.7265625" style="69" customWidth="1"/>
    <col min="4" max="5" width="17.453125" style="70"/>
    <col min="6" max="6" width="59.81640625" style="70" customWidth="1"/>
    <col min="7" max="7" width="19.7265625" style="70" customWidth="1"/>
    <col min="8" max="8" width="23.1796875" style="70" customWidth="1"/>
    <col min="9" max="10" width="12.81640625" style="70" customWidth="1"/>
    <col min="11" max="11" width="12.81640625" style="71" customWidth="1"/>
    <col min="12" max="12" width="20.54296875" style="98" bestFit="1" customWidth="1"/>
    <col min="13" max="13" width="28.1796875" style="97" customWidth="1"/>
    <col min="14" max="14" width="22.81640625" style="70" customWidth="1"/>
    <col min="15" max="15" width="49.54296875" style="98" customWidth="1"/>
    <col min="16" max="16" width="21.81640625" style="70" customWidth="1"/>
    <col min="17" max="17" width="22.54296875" style="73" customWidth="1"/>
    <col min="18" max="18" width="20.1796875" style="73" customWidth="1"/>
    <col min="19" max="19" width="21" style="73" bestFit="1" customWidth="1"/>
    <col min="20" max="20" width="41.7265625" style="70" bestFit="1" customWidth="1"/>
    <col min="21" max="21" width="26.7265625" style="73" hidden="1" customWidth="1"/>
    <col min="22" max="22" width="20.7265625" style="107" customWidth="1"/>
    <col min="23" max="23" width="34.1796875" style="70" customWidth="1"/>
    <col min="24" max="24" width="29" style="73" hidden="1" customWidth="1"/>
    <col min="25" max="25" width="35.1796875" style="107" hidden="1" customWidth="1"/>
    <col min="26" max="26" width="36.453125" style="107" customWidth="1"/>
    <col min="27" max="27" width="32.453125" style="73" customWidth="1"/>
    <col min="28" max="28" width="40.1796875" style="73" customWidth="1"/>
    <col min="29" max="29" width="27.1796875" style="98" customWidth="1"/>
    <col min="30" max="16384" width="17.453125" style="70"/>
  </cols>
  <sheetData>
    <row r="1" spans="1:29" ht="14" x14ac:dyDescent="0.35">
      <c r="B1" s="68"/>
      <c r="L1" s="72"/>
      <c r="M1" s="68"/>
      <c r="O1" s="72"/>
      <c r="AC1" s="72"/>
    </row>
    <row r="2" spans="1:29" s="28" customFormat="1" ht="14" x14ac:dyDescent="0.35">
      <c r="B2" s="196"/>
      <c r="C2" s="196"/>
      <c r="D2" s="27"/>
      <c r="F2" s="27"/>
      <c r="G2" s="27"/>
      <c r="H2" s="27"/>
      <c r="I2" s="27"/>
      <c r="J2" s="27"/>
      <c r="K2" s="75"/>
      <c r="L2" s="125"/>
      <c r="M2" s="101"/>
      <c r="N2" s="27"/>
      <c r="O2" s="27"/>
      <c r="P2" s="27"/>
      <c r="Q2" s="29"/>
      <c r="R2" s="29"/>
      <c r="S2" s="29"/>
      <c r="U2" s="30"/>
      <c r="V2" s="108"/>
      <c r="X2" s="30"/>
      <c r="Y2" s="108"/>
      <c r="Z2" s="108"/>
      <c r="AA2" s="30"/>
      <c r="AB2" s="30"/>
      <c r="AC2" s="27"/>
    </row>
    <row r="3" spans="1:29" s="28" customFormat="1" ht="17.5" x14ac:dyDescent="0.35">
      <c r="C3" s="27"/>
      <c r="D3" s="27"/>
      <c r="E3" s="197" t="s">
        <v>66</v>
      </c>
      <c r="F3" s="197"/>
      <c r="G3" s="197"/>
      <c r="H3" s="197"/>
      <c r="I3" s="197"/>
      <c r="J3" s="197"/>
      <c r="K3" s="197"/>
      <c r="L3" s="197"/>
      <c r="M3" s="102"/>
      <c r="N3" s="66" t="s">
        <v>441</v>
      </c>
      <c r="O3" s="31" t="s">
        <v>67</v>
      </c>
      <c r="P3" s="32">
        <v>2025</v>
      </c>
      <c r="Q3" s="30"/>
      <c r="R3" s="106"/>
      <c r="S3" s="29"/>
      <c r="T3"/>
      <c r="U3" s="100"/>
      <c r="V3" s="108"/>
      <c r="X3" s="30"/>
      <c r="Y3" s="108"/>
      <c r="Z3" s="108"/>
      <c r="AA3" s="30"/>
      <c r="AB3" s="30"/>
    </row>
    <row r="4" spans="1:29" s="28" customFormat="1" ht="17.5" x14ac:dyDescent="0.35">
      <c r="C4" s="27"/>
      <c r="D4" s="27"/>
      <c r="E4" s="197" t="s">
        <v>456</v>
      </c>
      <c r="F4" s="197"/>
      <c r="G4" s="197"/>
      <c r="H4" s="197"/>
      <c r="I4" s="197"/>
      <c r="J4" s="197"/>
      <c r="K4" s="197"/>
      <c r="L4" s="197"/>
      <c r="M4" s="195" t="s">
        <v>299</v>
      </c>
      <c r="N4" s="195"/>
      <c r="O4" s="195"/>
      <c r="P4" s="96">
        <f>IFERROR(SUMIF($C$12:$C$826,"8126-Fortalecimiento institucional de la UAECOB para un gobierno confiable Bogotá D.C.",$L$12:$L$826),0)</f>
        <v>21893050999.999992</v>
      </c>
      <c r="Q4" s="30"/>
      <c r="R4" s="74" t="s">
        <v>302</v>
      </c>
      <c r="S4" s="95">
        <f>IFERROR(SUMIF($C$12:$C$826,"131- Funcionamiento",$L$12:$L$826),0)</f>
        <v>21532826999</v>
      </c>
      <c r="T4" s="100">
        <v>21893051000</v>
      </c>
      <c r="U4" s="100"/>
      <c r="V4" s="131">
        <f>P4-T4</f>
        <v>0</v>
      </c>
      <c r="X4" s="30"/>
      <c r="Y4" s="108"/>
      <c r="Z4" s="108"/>
      <c r="AA4" s="30"/>
      <c r="AB4" s="30"/>
    </row>
    <row r="5" spans="1:29" s="28" customFormat="1" ht="17.5" x14ac:dyDescent="0.35">
      <c r="A5" s="28" t="s">
        <v>926</v>
      </c>
      <c r="B5" s="34"/>
      <c r="C5" s="35"/>
      <c r="D5" s="35"/>
      <c r="E5" s="197" t="s">
        <v>1109</v>
      </c>
      <c r="F5" s="197"/>
      <c r="G5" s="197"/>
      <c r="H5" s="197"/>
      <c r="I5" s="197"/>
      <c r="J5" s="197"/>
      <c r="K5" s="197"/>
      <c r="L5" s="197"/>
      <c r="M5" s="195" t="s">
        <v>300</v>
      </c>
      <c r="N5" s="195"/>
      <c r="O5" s="195"/>
      <c r="P5" s="96">
        <f>IFERROR(SUMIF($C$12:$C$826,"8173-Modernización de las capacidades del Cuerpo Oficial de Bomberos Bogotá D.C.",$L$12:$L$826),0)</f>
        <v>46234375987</v>
      </c>
      <c r="Q5" s="30"/>
      <c r="R5" s="30"/>
      <c r="S5" s="33"/>
      <c r="T5" s="100">
        <v>46234376000</v>
      </c>
      <c r="U5" s="100"/>
      <c r="V5" s="131">
        <f>P5-T5</f>
        <v>-13</v>
      </c>
      <c r="X5" s="30"/>
      <c r="Y5" s="108"/>
      <c r="Z5" s="108"/>
      <c r="AA5" s="30"/>
      <c r="AB5" s="30"/>
    </row>
    <row r="6" spans="1:29" s="28" customFormat="1" ht="17.5" x14ac:dyDescent="0.35">
      <c r="B6" s="191"/>
      <c r="C6" s="35"/>
      <c r="D6" s="35"/>
      <c r="E6" s="192"/>
      <c r="F6" s="192"/>
      <c r="G6" s="192"/>
      <c r="H6" s="192"/>
      <c r="I6" s="192"/>
      <c r="J6" s="192"/>
      <c r="K6" s="192"/>
      <c r="L6" s="192"/>
      <c r="M6" s="31"/>
      <c r="N6" s="31"/>
      <c r="O6" s="31"/>
      <c r="P6" s="193"/>
      <c r="Q6" s="30"/>
      <c r="R6" s="30"/>
      <c r="S6" s="33"/>
      <c r="T6" s="194"/>
      <c r="U6" s="194"/>
      <c r="V6" s="131"/>
      <c r="X6" s="30"/>
      <c r="Y6" s="108"/>
      <c r="Z6" s="108"/>
      <c r="AA6" s="30"/>
      <c r="AB6" s="30"/>
    </row>
    <row r="7" spans="1:29" s="28" customFormat="1" ht="14.5" x14ac:dyDescent="0.35">
      <c r="B7" s="34"/>
      <c r="C7" s="35"/>
      <c r="D7" s="35"/>
      <c r="E7" s="36"/>
      <c r="F7" s="35"/>
      <c r="G7" s="35"/>
      <c r="H7" s="35"/>
      <c r="I7" s="35"/>
      <c r="J7" s="37"/>
      <c r="K7" s="38"/>
      <c r="L7" s="126"/>
      <c r="M7" s="195" t="s">
        <v>301</v>
      </c>
      <c r="N7" s="195"/>
      <c r="O7" s="195"/>
      <c r="P7" s="35">
        <f>+P4+P5</f>
        <v>68127426986.999992</v>
      </c>
      <c r="Q7" s="30"/>
      <c r="R7" s="74" t="s">
        <v>303</v>
      </c>
      <c r="S7" s="39">
        <f>+S4+P7</f>
        <v>89660253986</v>
      </c>
      <c r="T7" s="100"/>
      <c r="U7" s="100"/>
      <c r="V7" s="108"/>
      <c r="X7" s="30"/>
      <c r="Y7" s="108"/>
      <c r="Z7" s="108"/>
      <c r="AA7" s="30"/>
      <c r="AB7" s="30"/>
    </row>
    <row r="8" spans="1:29" s="28" customFormat="1" ht="14" x14ac:dyDescent="0.35">
      <c r="B8" s="34"/>
      <c r="C8" s="35"/>
      <c r="D8" s="35"/>
      <c r="E8" s="36"/>
      <c r="F8" s="35"/>
      <c r="G8" s="35"/>
      <c r="H8" s="54"/>
      <c r="I8" s="35"/>
      <c r="J8" s="37"/>
      <c r="K8" s="38"/>
      <c r="L8" s="126"/>
      <c r="M8" s="103"/>
      <c r="O8" s="67" t="s">
        <v>78</v>
      </c>
      <c r="P8" s="99">
        <v>45882</v>
      </c>
      <c r="Q8" s="42"/>
      <c r="R8" s="65"/>
      <c r="S8" s="29"/>
      <c r="T8" s="105"/>
      <c r="U8" s="30"/>
      <c r="V8" s="108"/>
      <c r="X8" s="30"/>
      <c r="Y8" s="108"/>
      <c r="Z8" s="108"/>
      <c r="AA8" s="30"/>
      <c r="AB8" s="30"/>
    </row>
    <row r="9" spans="1:29" s="28" customFormat="1" ht="14" x14ac:dyDescent="0.35">
      <c r="B9" s="34"/>
      <c r="C9" s="35"/>
      <c r="D9" s="35"/>
      <c r="E9" s="36"/>
      <c r="F9" s="35"/>
      <c r="G9" s="35"/>
      <c r="H9" s="54"/>
      <c r="I9" s="35"/>
      <c r="J9" s="37"/>
      <c r="K9" s="38"/>
      <c r="L9" s="126"/>
      <c r="M9" s="103"/>
      <c r="N9" s="105"/>
      <c r="P9" s="40"/>
      <c r="Q9" s="41"/>
      <c r="R9" s="41"/>
      <c r="S9" s="29"/>
      <c r="U9" s="30"/>
      <c r="V9" s="108"/>
      <c r="X9" s="30"/>
      <c r="Y9" s="108"/>
      <c r="Z9" s="108"/>
      <c r="AA9" s="30"/>
      <c r="AB9" s="30"/>
      <c r="AC9" s="35"/>
    </row>
    <row r="10" spans="1:29" s="28" customFormat="1" ht="14" x14ac:dyDescent="0.35">
      <c r="B10" s="34"/>
      <c r="C10" s="43"/>
      <c r="D10" s="44"/>
      <c r="E10" s="26"/>
      <c r="I10" s="45"/>
      <c r="J10" s="46"/>
      <c r="K10" s="76"/>
      <c r="L10" s="127"/>
      <c r="M10" s="104"/>
      <c r="P10" s="47"/>
      <c r="Q10" s="48"/>
      <c r="R10" s="48"/>
      <c r="S10" s="48"/>
      <c r="T10" s="49"/>
      <c r="U10" s="30"/>
      <c r="V10" s="108"/>
      <c r="X10" s="30"/>
      <c r="Y10" s="108"/>
      <c r="Z10" s="108"/>
      <c r="AA10" s="30"/>
      <c r="AB10" s="30"/>
    </row>
    <row r="11" spans="1:29" s="124" customFormat="1" ht="99" customHeight="1" x14ac:dyDescent="0.35">
      <c r="B11" s="113" t="s">
        <v>68</v>
      </c>
      <c r="C11" s="114" t="s">
        <v>296</v>
      </c>
      <c r="D11" s="115" t="s">
        <v>74</v>
      </c>
      <c r="E11" s="116" t="s">
        <v>75</v>
      </c>
      <c r="F11" s="117" t="s">
        <v>69</v>
      </c>
      <c r="G11" s="117" t="s">
        <v>82</v>
      </c>
      <c r="H11" s="116" t="s">
        <v>1</v>
      </c>
      <c r="I11" s="118" t="s">
        <v>72</v>
      </c>
      <c r="J11" s="118" t="s">
        <v>73</v>
      </c>
      <c r="K11" s="119" t="s">
        <v>368</v>
      </c>
      <c r="L11" s="115" t="s">
        <v>70</v>
      </c>
      <c r="M11" s="120" t="s">
        <v>71</v>
      </c>
      <c r="N11" s="119" t="s">
        <v>76</v>
      </c>
      <c r="O11" s="116" t="s">
        <v>2</v>
      </c>
      <c r="P11" s="121" t="s">
        <v>195</v>
      </c>
      <c r="Q11" s="121" t="s">
        <v>196</v>
      </c>
      <c r="R11" s="121" t="s">
        <v>174</v>
      </c>
      <c r="S11" s="114" t="s">
        <v>79</v>
      </c>
      <c r="T11" s="121" t="s">
        <v>80</v>
      </c>
      <c r="U11" s="122" t="s">
        <v>298</v>
      </c>
      <c r="V11" s="114" t="s">
        <v>81</v>
      </c>
      <c r="W11" s="121" t="s">
        <v>244</v>
      </c>
      <c r="X11" s="122" t="s">
        <v>275</v>
      </c>
      <c r="Y11" s="122" t="s">
        <v>297</v>
      </c>
      <c r="Z11" s="121" t="s">
        <v>206</v>
      </c>
      <c r="AA11" s="121" t="s">
        <v>231</v>
      </c>
      <c r="AB11" s="119" t="s">
        <v>84</v>
      </c>
      <c r="AC11" s="123" t="s">
        <v>77</v>
      </c>
    </row>
    <row r="12" spans="1:29" s="28" customFormat="1" ht="99" customHeight="1" x14ac:dyDescent="0.35">
      <c r="B12" s="77">
        <v>20250161</v>
      </c>
      <c r="C12" s="50" t="s">
        <v>209</v>
      </c>
      <c r="D12" s="218" t="s">
        <v>168</v>
      </c>
      <c r="E12" s="219" t="s">
        <v>611</v>
      </c>
      <c r="F12" s="218" t="s">
        <v>495</v>
      </c>
      <c r="G12" s="218" t="s">
        <v>119</v>
      </c>
      <c r="H12" s="93">
        <v>15101500</v>
      </c>
      <c r="I12" s="220">
        <v>8</v>
      </c>
      <c r="J12" s="220">
        <v>7</v>
      </c>
      <c r="K12" s="52">
        <v>0</v>
      </c>
      <c r="L12" s="53">
        <f>1080000000-180000000-50000000+121000000-121000000</f>
        <v>850000000</v>
      </c>
      <c r="M12" s="218" t="s">
        <v>465</v>
      </c>
      <c r="N12" s="53" t="s">
        <v>123</v>
      </c>
      <c r="O12" s="219" t="s">
        <v>224</v>
      </c>
      <c r="P12" s="221" t="str">
        <f>IFERROR(VLOOKUP(C12,TD!$B$33:$F$37,2,0)," ")</f>
        <v>O230117</v>
      </c>
      <c r="Q12" s="221" t="str">
        <f>IFERROR(VLOOKUP(C12,TD!$B$33:$F$37,3,0)," ")</f>
        <v>4503</v>
      </c>
      <c r="R12" s="221">
        <f>IFERROR(VLOOKUP(C12,TD!$B$33:$F$37,4,0)," ")</f>
        <v>20240255</v>
      </c>
      <c r="S12" s="219" t="s">
        <v>191</v>
      </c>
      <c r="T12" s="221" t="str">
        <f>IFERROR(VLOOKUP(S12,TD!$J$34:$K$44,2,0)," ")</f>
        <v>Servicio de apoyo   logístico  en eventos operativos y/o emergencias.</v>
      </c>
      <c r="U12" s="222" t="str">
        <f t="shared" ref="U12:U75" si="0">CONCATENATE(S12,"-",T12)</f>
        <v>12-Servicio de apoyo   logístico  en eventos operativos y/o emergencias.</v>
      </c>
      <c r="V12" s="219" t="s">
        <v>232</v>
      </c>
      <c r="W12" s="221" t="str">
        <f>IFERROR(VLOOKUP(V12,TD!$N$34:$O$46,2,0)," ")</f>
        <v>Servicio de atención a emergencias y desastres</v>
      </c>
      <c r="X12" s="222" t="str">
        <f t="shared" ref="X12:X75" si="1">CONCATENATE(V12,"_",W12)</f>
        <v>004_Servicio de atención a emergencias y desastres</v>
      </c>
      <c r="Y12" s="222" t="str">
        <f t="shared" ref="Y12:Y75" si="2">CONCATENATE(U12," ",X12)</f>
        <v>12-Servicio de apoyo   logístico  en eventos operativos y/o emergencias. 004_Servicio de atención a emergencias y desastres</v>
      </c>
      <c r="Z12" s="221" t="str">
        <f t="shared" ref="Z12:Z75" si="3">CONCATENATE(P12,Q12,R12,S12,V12)</f>
        <v>O23011745032024025512004</v>
      </c>
      <c r="AA12" s="221" t="str">
        <f>IFERROR(VLOOKUP(Y12,TD!$K$47:$L$65,2,0)," ")</f>
        <v>PM/0131/0112/45030040255</v>
      </c>
      <c r="AB12" s="53" t="s">
        <v>92</v>
      </c>
      <c r="AC12" s="223" t="s">
        <v>204</v>
      </c>
    </row>
    <row r="13" spans="1:29" s="28" customFormat="1" ht="121" customHeight="1" x14ac:dyDescent="0.35">
      <c r="B13" s="77">
        <v>20250165</v>
      </c>
      <c r="C13" s="50" t="s">
        <v>209</v>
      </c>
      <c r="D13" s="218" t="s">
        <v>168</v>
      </c>
      <c r="E13" s="219" t="s">
        <v>611</v>
      </c>
      <c r="F13" s="218" t="s">
        <v>1096</v>
      </c>
      <c r="G13" s="218" t="s">
        <v>96</v>
      </c>
      <c r="H13" s="93" t="s">
        <v>1034</v>
      </c>
      <c r="I13" s="220">
        <v>8</v>
      </c>
      <c r="J13" s="220">
        <v>7</v>
      </c>
      <c r="K13" s="52">
        <v>0</v>
      </c>
      <c r="L13" s="53">
        <v>125000000</v>
      </c>
      <c r="M13" s="218" t="s">
        <v>465</v>
      </c>
      <c r="N13" s="53" t="s">
        <v>90</v>
      </c>
      <c r="O13" s="219" t="s">
        <v>224</v>
      </c>
      <c r="P13" s="221" t="str">
        <f>IFERROR(VLOOKUP(C13,TD!$B$33:$F$37,2,0)," ")</f>
        <v>O230117</v>
      </c>
      <c r="Q13" s="221" t="str">
        <f>IFERROR(VLOOKUP(C13,TD!$B$33:$F$37,3,0)," ")</f>
        <v>4503</v>
      </c>
      <c r="R13" s="221">
        <f>IFERROR(VLOOKUP(C13,TD!$B$33:$F$37,4,0)," ")</f>
        <v>20240255</v>
      </c>
      <c r="S13" s="219" t="s">
        <v>187</v>
      </c>
      <c r="T13" s="221" t="str">
        <f>IFERROR(VLOOKUP(S13,TD!$J$34:$K$44,2,0)," ")</f>
        <v>Servicio de mantenimiento, dotación (HEA´s y equipo menor) y adquisición de vehiculos   especializados para la atención de emergencias.</v>
      </c>
      <c r="U13" s="222" t="str">
        <f t="shared" si="0"/>
        <v>09-Servicio de mantenimiento, dotación (HEA´s y equipo menor) y adquisición de vehiculos   especializados para la atención de emergencias.</v>
      </c>
      <c r="V13" s="219" t="s">
        <v>232</v>
      </c>
      <c r="W13" s="221" t="str">
        <f>IFERROR(VLOOKUP(V13,TD!$N$34:$O$46,2,0)," ")</f>
        <v>Servicio de atención a emergencias y desastres</v>
      </c>
      <c r="X13" s="222" t="str">
        <f t="shared" si="1"/>
        <v>004_Servicio de atención a emergencias y desastres</v>
      </c>
      <c r="Y13" s="222" t="str">
        <f t="shared" si="2"/>
        <v>09-Servicio de mantenimiento, dotación (HEA´s y equipo menor) y adquisición de vehiculos   especializados para la atención de emergencias. 004_Servicio de atención a emergencias y desastres</v>
      </c>
      <c r="Z13" s="221" t="str">
        <f t="shared" si="3"/>
        <v>O23011745032024025509004</v>
      </c>
      <c r="AA13" s="221" t="str">
        <f>IFERROR(VLOOKUP(Y13,TD!$K$47:$L$65,2,0)," ")</f>
        <v>PM/0131/0109/45030040255</v>
      </c>
      <c r="AB13" s="53" t="s">
        <v>87</v>
      </c>
      <c r="AC13" s="223" t="s">
        <v>204</v>
      </c>
    </row>
    <row r="14" spans="1:29" s="28" customFormat="1" ht="99" customHeight="1" x14ac:dyDescent="0.35">
      <c r="B14" s="130">
        <v>20250236</v>
      </c>
      <c r="C14" s="132" t="s">
        <v>209</v>
      </c>
      <c r="D14" s="224" t="s">
        <v>167</v>
      </c>
      <c r="E14" s="225" t="s">
        <v>509</v>
      </c>
      <c r="F14" s="224" t="s">
        <v>515</v>
      </c>
      <c r="G14" s="224" t="s">
        <v>155</v>
      </c>
      <c r="H14" s="133">
        <v>80111600</v>
      </c>
      <c r="I14" s="226">
        <v>1</v>
      </c>
      <c r="J14" s="226">
        <v>10</v>
      </c>
      <c r="K14" s="129">
        <v>0</v>
      </c>
      <c r="L14" s="128">
        <f>50000000-10000000</f>
        <v>40000000</v>
      </c>
      <c r="M14" s="224" t="s">
        <v>465</v>
      </c>
      <c r="N14" s="128" t="s">
        <v>512</v>
      </c>
      <c r="O14" s="225" t="s">
        <v>221</v>
      </c>
      <c r="P14" s="227" t="str">
        <f>IFERROR(VLOOKUP(C14,TD!$B$33:$F$37,2,0)," ")</f>
        <v>O230117</v>
      </c>
      <c r="Q14" s="227" t="str">
        <f>IFERROR(VLOOKUP(C14,TD!$B$33:$F$37,3,0)," ")</f>
        <v>4503</v>
      </c>
      <c r="R14" s="227">
        <f>IFERROR(VLOOKUP(C14,TD!$B$33:$F$37,4,0)," ")</f>
        <v>20240255</v>
      </c>
      <c r="S14" s="225" t="s">
        <v>177</v>
      </c>
      <c r="T14" s="227" t="str">
        <f>IFERROR(VLOOKUP(S14,TD!$J$34:$K$44,2,0)," ")</f>
        <v>Servicio de capacitaciones en gestión del riesgo de incendios  a la ciudadania.</v>
      </c>
      <c r="U14" s="222" t="str">
        <f t="shared" si="0"/>
        <v>05-Servicio de capacitaciones en gestión del riesgo de incendios  a la ciudadania.</v>
      </c>
      <c r="V14" s="225" t="s">
        <v>233</v>
      </c>
      <c r="W14" s="227" t="str">
        <f>IFERROR(VLOOKUP(V14,TD!$N$34:$O$46,2,0)," ")</f>
        <v>Servicio de educación informal</v>
      </c>
      <c r="X14" s="222" t="str">
        <f t="shared" si="1"/>
        <v>002_Servicio de educación informal</v>
      </c>
      <c r="Y14" s="222" t="str">
        <f t="shared" si="2"/>
        <v>05-Servicio de capacitaciones en gestión del riesgo de incendios  a la ciudadania. 002_Servicio de educación informal</v>
      </c>
      <c r="Z14" s="227" t="str">
        <f t="shared" si="3"/>
        <v>O23011745032024025505002</v>
      </c>
      <c r="AA14" s="227" t="str">
        <f>IFERROR(VLOOKUP(Y14,TD!$K$47:$L$65,2,0)," ")</f>
        <v>PM/0131/0105/45030020255</v>
      </c>
      <c r="AB14" s="128" t="s">
        <v>138</v>
      </c>
      <c r="AC14" s="228" t="s">
        <v>204</v>
      </c>
    </row>
    <row r="15" spans="1:29" s="28" customFormat="1" ht="99" customHeight="1" x14ac:dyDescent="0.35">
      <c r="B15" s="130">
        <v>20250239</v>
      </c>
      <c r="C15" s="132" t="s">
        <v>209</v>
      </c>
      <c r="D15" s="224" t="s">
        <v>167</v>
      </c>
      <c r="E15" s="225" t="s">
        <v>509</v>
      </c>
      <c r="F15" s="224" t="s">
        <v>518</v>
      </c>
      <c r="G15" s="224" t="s">
        <v>156</v>
      </c>
      <c r="H15" s="133">
        <v>80111600</v>
      </c>
      <c r="I15" s="226">
        <v>1</v>
      </c>
      <c r="J15" s="226">
        <v>10</v>
      </c>
      <c r="K15" s="129">
        <v>0</v>
      </c>
      <c r="L15" s="128">
        <f>44000000-9000000-7000000</f>
        <v>28000000</v>
      </c>
      <c r="M15" s="224" t="s">
        <v>465</v>
      </c>
      <c r="N15" s="128" t="s">
        <v>512</v>
      </c>
      <c r="O15" s="225" t="s">
        <v>221</v>
      </c>
      <c r="P15" s="227" t="str">
        <f>IFERROR(VLOOKUP(C15,TD!$B$33:$F$37,2,0)," ")</f>
        <v>O230117</v>
      </c>
      <c r="Q15" s="227" t="str">
        <f>IFERROR(VLOOKUP(C15,TD!$B$33:$F$37,3,0)," ")</f>
        <v>4503</v>
      </c>
      <c r="R15" s="227">
        <f>IFERROR(VLOOKUP(C15,TD!$B$33:$F$37,4,0)," ")</f>
        <v>20240255</v>
      </c>
      <c r="S15" s="225" t="s">
        <v>177</v>
      </c>
      <c r="T15" s="227" t="str">
        <f>IFERROR(VLOOKUP(S15,TD!$J$34:$K$44,2,0)," ")</f>
        <v>Servicio de capacitaciones en gestión del riesgo de incendios  a la ciudadania.</v>
      </c>
      <c r="U15" s="222" t="str">
        <f t="shared" si="0"/>
        <v>05-Servicio de capacitaciones en gestión del riesgo de incendios  a la ciudadania.</v>
      </c>
      <c r="V15" s="225" t="s">
        <v>233</v>
      </c>
      <c r="W15" s="227" t="str">
        <f>IFERROR(VLOOKUP(V15,TD!$N$34:$O$46,2,0)," ")</f>
        <v>Servicio de educación informal</v>
      </c>
      <c r="X15" s="222" t="str">
        <f t="shared" si="1"/>
        <v>002_Servicio de educación informal</v>
      </c>
      <c r="Y15" s="222" t="str">
        <f t="shared" si="2"/>
        <v>05-Servicio de capacitaciones en gestión del riesgo de incendios  a la ciudadania. 002_Servicio de educación informal</v>
      </c>
      <c r="Z15" s="227" t="str">
        <f t="shared" si="3"/>
        <v>O23011745032024025505002</v>
      </c>
      <c r="AA15" s="227" t="str">
        <f>IFERROR(VLOOKUP(Y15,TD!$K$47:$L$65,2,0)," ")</f>
        <v>PM/0131/0105/45030020255</v>
      </c>
      <c r="AB15" s="128" t="s">
        <v>138</v>
      </c>
      <c r="AC15" s="228" t="s">
        <v>204</v>
      </c>
    </row>
    <row r="16" spans="1:29" s="28" customFormat="1" ht="99" customHeight="1" x14ac:dyDescent="0.35">
      <c r="B16" s="130">
        <v>20250244</v>
      </c>
      <c r="C16" s="132" t="s">
        <v>209</v>
      </c>
      <c r="D16" s="224" t="s">
        <v>167</v>
      </c>
      <c r="E16" s="225" t="s">
        <v>509</v>
      </c>
      <c r="F16" s="224" t="s">
        <v>373</v>
      </c>
      <c r="G16" s="224" t="s">
        <v>155</v>
      </c>
      <c r="H16" s="133">
        <v>80111600</v>
      </c>
      <c r="I16" s="226">
        <v>1</v>
      </c>
      <c r="J16" s="226">
        <v>10</v>
      </c>
      <c r="K16" s="129">
        <v>0</v>
      </c>
      <c r="L16" s="128">
        <f>55000000+15000000-21000000</f>
        <v>49000000</v>
      </c>
      <c r="M16" s="224" t="s">
        <v>465</v>
      </c>
      <c r="N16" s="128" t="s">
        <v>512</v>
      </c>
      <c r="O16" s="225" t="s">
        <v>221</v>
      </c>
      <c r="P16" s="227" t="str">
        <f>IFERROR(VLOOKUP(C16,TD!$B$33:$F$37,2,0)," ")</f>
        <v>O230117</v>
      </c>
      <c r="Q16" s="227" t="str">
        <f>IFERROR(VLOOKUP(C16,TD!$B$33:$F$37,3,0)," ")</f>
        <v>4503</v>
      </c>
      <c r="R16" s="227">
        <f>IFERROR(VLOOKUP(C16,TD!$B$33:$F$37,4,0)," ")</f>
        <v>20240255</v>
      </c>
      <c r="S16" s="225" t="s">
        <v>181</v>
      </c>
      <c r="T16" s="227" t="str">
        <f>IFERROR(VLOOKUP(S16,TD!$J$34:$K$44,2,0)," ")</f>
        <v>Servicio de inspecciones técnicas realizadas</v>
      </c>
      <c r="U16" s="222" t="str">
        <f t="shared" si="0"/>
        <v>06-Servicio de inspecciones técnicas realizadas</v>
      </c>
      <c r="V16" s="225" t="s">
        <v>234</v>
      </c>
      <c r="W16" s="227" t="str">
        <f>IFERROR(VLOOKUP(V16,TD!$N$34:$O$46,2,0)," ")</f>
        <v>Servicio prevención y control de incendios</v>
      </c>
      <c r="X16" s="222" t="str">
        <f t="shared" si="1"/>
        <v>035_Servicio prevención y control de incendios</v>
      </c>
      <c r="Y16" s="222" t="str">
        <f t="shared" si="2"/>
        <v>06-Servicio de inspecciones técnicas realizadas 035_Servicio prevención y control de incendios</v>
      </c>
      <c r="Z16" s="227" t="str">
        <f t="shared" si="3"/>
        <v>O23011745032024025506035</v>
      </c>
      <c r="AA16" s="227" t="str">
        <f>IFERROR(VLOOKUP(Y16,TD!$K$47:$L$65,2,0)," ")</f>
        <v>PM/0131/0106/45030350255</v>
      </c>
      <c r="AB16" s="128" t="s">
        <v>138</v>
      </c>
      <c r="AC16" s="228" t="s">
        <v>204</v>
      </c>
    </row>
    <row r="17" spans="2:29" s="28" customFormat="1" ht="140.15" customHeight="1" x14ac:dyDescent="0.35">
      <c r="B17" s="130">
        <v>20250246</v>
      </c>
      <c r="C17" s="132" t="s">
        <v>209</v>
      </c>
      <c r="D17" s="224" t="s">
        <v>167</v>
      </c>
      <c r="E17" s="225" t="s">
        <v>509</v>
      </c>
      <c r="F17" s="224" t="s">
        <v>520</v>
      </c>
      <c r="G17" s="224" t="s">
        <v>155</v>
      </c>
      <c r="H17" s="133">
        <v>80111600</v>
      </c>
      <c r="I17" s="226">
        <v>1</v>
      </c>
      <c r="J17" s="226">
        <v>10</v>
      </c>
      <c r="K17" s="129">
        <v>0</v>
      </c>
      <c r="L17" s="128">
        <f>77000000-17000000-11000000</f>
        <v>49000000</v>
      </c>
      <c r="M17" s="224" t="s">
        <v>465</v>
      </c>
      <c r="N17" s="128" t="s">
        <v>512</v>
      </c>
      <c r="O17" s="225" t="s">
        <v>226</v>
      </c>
      <c r="P17" s="227" t="str">
        <f>IFERROR(VLOOKUP(C17,TD!$B$33:$F$37,2,0)," ")</f>
        <v>O230117</v>
      </c>
      <c r="Q17" s="227" t="str">
        <f>IFERROR(VLOOKUP(C17,TD!$B$33:$F$37,3,0)," ")</f>
        <v>4503</v>
      </c>
      <c r="R17" s="227">
        <f>IFERROR(VLOOKUP(C17,TD!$B$33:$F$37,4,0)," ")</f>
        <v>20240255</v>
      </c>
      <c r="S17" s="225" t="s">
        <v>179</v>
      </c>
      <c r="T17" s="227" t="str">
        <f>IFERROR(VLOOKUP(S17,TD!$J$34:$K$44,2,0)," ")</f>
        <v>Infraestructura Tecnológica   (Sistemas de Información y Tecnologia)</v>
      </c>
      <c r="U17" s="222" t="str">
        <f t="shared" si="0"/>
        <v>11-Infraestructura Tecnológica   (Sistemas de Información y Tecnologia)</v>
      </c>
      <c r="V17" s="225" t="s">
        <v>235</v>
      </c>
      <c r="W17" s="227" t="str">
        <f>IFERROR(VLOOKUP(V17,TD!$N$34:$O$46,2,0)," ")</f>
        <v>"Servicio de monitoreo y seguimiento para la gestión del riesgo"</v>
      </c>
      <c r="X17" s="222" t="str">
        <f t="shared" si="1"/>
        <v>018_"Servicio de monitoreo y seguimiento para la gestión del riesgo"</v>
      </c>
      <c r="Y17" s="222" t="str">
        <f t="shared" si="2"/>
        <v>11-Infraestructura Tecnológica   (Sistemas de Información y Tecnologia) 018_"Servicio de monitoreo y seguimiento para la gestión del riesgo"</v>
      </c>
      <c r="Z17" s="227" t="str">
        <f t="shared" si="3"/>
        <v>O23011745032024025511018</v>
      </c>
      <c r="AA17" s="227" t="str">
        <f>IFERROR(VLOOKUP(Y17,TD!$K$47:$L$65,2,0)," ")</f>
        <v>PM/0131/0111/45030180255</v>
      </c>
      <c r="AB17" s="128" t="s">
        <v>138</v>
      </c>
      <c r="AC17" s="228" t="s">
        <v>204</v>
      </c>
    </row>
    <row r="18" spans="2:29" s="28" customFormat="1" ht="99" customHeight="1" x14ac:dyDescent="0.35">
      <c r="B18" s="130">
        <v>20250247</v>
      </c>
      <c r="C18" s="132" t="s">
        <v>209</v>
      </c>
      <c r="D18" s="224" t="s">
        <v>167</v>
      </c>
      <c r="E18" s="225" t="s">
        <v>509</v>
      </c>
      <c r="F18" s="224" t="s">
        <v>520</v>
      </c>
      <c r="G18" s="224" t="s">
        <v>155</v>
      </c>
      <c r="H18" s="133">
        <v>80111600</v>
      </c>
      <c r="I18" s="226">
        <v>1</v>
      </c>
      <c r="J18" s="226">
        <v>10</v>
      </c>
      <c r="K18" s="129">
        <v>0</v>
      </c>
      <c r="L18" s="128">
        <f>77000000-27000000-11500000</f>
        <v>38500000</v>
      </c>
      <c r="M18" s="224" t="s">
        <v>465</v>
      </c>
      <c r="N18" s="128" t="s">
        <v>512</v>
      </c>
      <c r="O18" s="225" t="s">
        <v>226</v>
      </c>
      <c r="P18" s="227" t="str">
        <f>IFERROR(VLOOKUP(C18,TD!$B$33:$F$37,2,0)," ")</f>
        <v>O230117</v>
      </c>
      <c r="Q18" s="227" t="str">
        <f>IFERROR(VLOOKUP(C18,TD!$B$33:$F$37,3,0)," ")</f>
        <v>4503</v>
      </c>
      <c r="R18" s="227">
        <f>IFERROR(VLOOKUP(C18,TD!$B$33:$F$37,4,0)," ")</f>
        <v>20240255</v>
      </c>
      <c r="S18" s="225" t="s">
        <v>179</v>
      </c>
      <c r="T18" s="227" t="str">
        <f>IFERROR(VLOOKUP(S18,TD!$J$34:$K$44,2,0)," ")</f>
        <v>Infraestructura Tecnológica   (Sistemas de Información y Tecnologia)</v>
      </c>
      <c r="U18" s="222" t="str">
        <f t="shared" si="0"/>
        <v>11-Infraestructura Tecnológica   (Sistemas de Información y Tecnologia)</v>
      </c>
      <c r="V18" s="225" t="s">
        <v>235</v>
      </c>
      <c r="W18" s="227" t="str">
        <f>IFERROR(VLOOKUP(V18,TD!$N$34:$O$46,2,0)," ")</f>
        <v>"Servicio de monitoreo y seguimiento para la gestión del riesgo"</v>
      </c>
      <c r="X18" s="222" t="str">
        <f t="shared" si="1"/>
        <v>018_"Servicio de monitoreo y seguimiento para la gestión del riesgo"</v>
      </c>
      <c r="Y18" s="222" t="str">
        <f t="shared" si="2"/>
        <v>11-Infraestructura Tecnológica   (Sistemas de Información y Tecnologia) 018_"Servicio de monitoreo y seguimiento para la gestión del riesgo"</v>
      </c>
      <c r="Z18" s="227" t="str">
        <f t="shared" si="3"/>
        <v>O23011745032024025511018</v>
      </c>
      <c r="AA18" s="227" t="str">
        <f>IFERROR(VLOOKUP(Y18,TD!$K$47:$L$65,2,0)," ")</f>
        <v>PM/0131/0111/45030180255</v>
      </c>
      <c r="AB18" s="128" t="s">
        <v>138</v>
      </c>
      <c r="AC18" s="228" t="s">
        <v>204</v>
      </c>
    </row>
    <row r="19" spans="2:29" s="28" customFormat="1" ht="99" customHeight="1" x14ac:dyDescent="0.35">
      <c r="B19" s="130">
        <v>20250248</v>
      </c>
      <c r="C19" s="132" t="s">
        <v>209</v>
      </c>
      <c r="D19" s="224" t="s">
        <v>167</v>
      </c>
      <c r="E19" s="225" t="s">
        <v>509</v>
      </c>
      <c r="F19" s="224" t="s">
        <v>839</v>
      </c>
      <c r="G19" s="224" t="s">
        <v>156</v>
      </c>
      <c r="H19" s="133">
        <v>80111600</v>
      </c>
      <c r="I19" s="226">
        <v>1</v>
      </c>
      <c r="J19" s="226">
        <v>10</v>
      </c>
      <c r="K19" s="129">
        <v>0</v>
      </c>
      <c r="L19" s="128">
        <f>77000000-27000000-33239983</f>
        <v>16760017</v>
      </c>
      <c r="M19" s="224" t="s">
        <v>465</v>
      </c>
      <c r="N19" s="128" t="s">
        <v>512</v>
      </c>
      <c r="O19" s="225" t="s">
        <v>226</v>
      </c>
      <c r="P19" s="227" t="str">
        <f>IFERROR(VLOOKUP(C19,TD!$B$33:$F$37,2,0)," ")</f>
        <v>O230117</v>
      </c>
      <c r="Q19" s="227" t="str">
        <f>IFERROR(VLOOKUP(C19,TD!$B$33:$F$37,3,0)," ")</f>
        <v>4503</v>
      </c>
      <c r="R19" s="227">
        <f>IFERROR(VLOOKUP(C19,TD!$B$33:$F$37,4,0)," ")</f>
        <v>20240255</v>
      </c>
      <c r="S19" s="225" t="s">
        <v>179</v>
      </c>
      <c r="T19" s="227" t="str">
        <f>IFERROR(VLOOKUP(S19,TD!$J$34:$K$44,2,0)," ")</f>
        <v>Infraestructura Tecnológica   (Sistemas de Información y Tecnologia)</v>
      </c>
      <c r="U19" s="222" t="str">
        <f t="shared" si="0"/>
        <v>11-Infraestructura Tecnológica   (Sistemas de Información y Tecnologia)</v>
      </c>
      <c r="V19" s="225" t="s">
        <v>235</v>
      </c>
      <c r="W19" s="227" t="str">
        <f>IFERROR(VLOOKUP(V19,TD!$N$34:$O$46,2,0)," ")</f>
        <v>"Servicio de monitoreo y seguimiento para la gestión del riesgo"</v>
      </c>
      <c r="X19" s="222" t="str">
        <f t="shared" si="1"/>
        <v>018_"Servicio de monitoreo y seguimiento para la gestión del riesgo"</v>
      </c>
      <c r="Y19" s="222" t="str">
        <f t="shared" si="2"/>
        <v>11-Infraestructura Tecnológica   (Sistemas de Información y Tecnologia) 018_"Servicio de monitoreo y seguimiento para la gestión del riesgo"</v>
      </c>
      <c r="Z19" s="227" t="str">
        <f t="shared" si="3"/>
        <v>O23011745032024025511018</v>
      </c>
      <c r="AA19" s="227" t="str">
        <f>IFERROR(VLOOKUP(Y19,TD!$K$47:$L$65,2,0)," ")</f>
        <v>PM/0131/0111/45030180255</v>
      </c>
      <c r="AB19" s="128" t="s">
        <v>138</v>
      </c>
      <c r="AC19" s="228" t="s">
        <v>204</v>
      </c>
    </row>
    <row r="20" spans="2:29" s="28" customFormat="1" ht="99" customHeight="1" x14ac:dyDescent="0.35">
      <c r="B20" s="130">
        <v>20250249</v>
      </c>
      <c r="C20" s="132" t="s">
        <v>209</v>
      </c>
      <c r="D20" s="224" t="s">
        <v>167</v>
      </c>
      <c r="E20" s="225" t="s">
        <v>509</v>
      </c>
      <c r="F20" s="224" t="s">
        <v>520</v>
      </c>
      <c r="G20" s="224" t="s">
        <v>155</v>
      </c>
      <c r="H20" s="133">
        <v>80111600</v>
      </c>
      <c r="I20" s="226">
        <v>1</v>
      </c>
      <c r="J20" s="226">
        <v>10</v>
      </c>
      <c r="K20" s="129">
        <v>0</v>
      </c>
      <c r="L20" s="128">
        <f>49500000+500000-15000000</f>
        <v>35000000</v>
      </c>
      <c r="M20" s="224" t="s">
        <v>465</v>
      </c>
      <c r="N20" s="128" t="s">
        <v>512</v>
      </c>
      <c r="O20" s="225" t="s">
        <v>226</v>
      </c>
      <c r="P20" s="227" t="str">
        <f>IFERROR(VLOOKUP(C20,TD!$B$33:$F$37,2,0)," ")</f>
        <v>O230117</v>
      </c>
      <c r="Q20" s="227" t="str">
        <f>IFERROR(VLOOKUP(C20,TD!$B$33:$F$37,3,0)," ")</f>
        <v>4503</v>
      </c>
      <c r="R20" s="227">
        <f>IFERROR(VLOOKUP(C20,TD!$B$33:$F$37,4,0)," ")</f>
        <v>20240255</v>
      </c>
      <c r="S20" s="225" t="s">
        <v>179</v>
      </c>
      <c r="T20" s="227" t="str">
        <f>IFERROR(VLOOKUP(S20,TD!$J$34:$K$44,2,0)," ")</f>
        <v>Infraestructura Tecnológica   (Sistemas de Información y Tecnologia)</v>
      </c>
      <c r="U20" s="222" t="str">
        <f t="shared" si="0"/>
        <v>11-Infraestructura Tecnológica   (Sistemas de Información y Tecnologia)</v>
      </c>
      <c r="V20" s="225" t="s">
        <v>235</v>
      </c>
      <c r="W20" s="227" t="str">
        <f>IFERROR(VLOOKUP(V20,TD!$N$34:$O$46,2,0)," ")</f>
        <v>"Servicio de monitoreo y seguimiento para la gestión del riesgo"</v>
      </c>
      <c r="X20" s="222" t="str">
        <f t="shared" si="1"/>
        <v>018_"Servicio de monitoreo y seguimiento para la gestión del riesgo"</v>
      </c>
      <c r="Y20" s="222" t="str">
        <f t="shared" si="2"/>
        <v>11-Infraestructura Tecnológica   (Sistemas de Información y Tecnologia) 018_"Servicio de monitoreo y seguimiento para la gestión del riesgo"</v>
      </c>
      <c r="Z20" s="227" t="str">
        <f t="shared" si="3"/>
        <v>O23011745032024025511018</v>
      </c>
      <c r="AA20" s="227" t="str">
        <f>IFERROR(VLOOKUP(Y20,TD!$K$47:$L$65,2,0)," ")</f>
        <v>PM/0131/0111/45030180255</v>
      </c>
      <c r="AB20" s="128" t="s">
        <v>138</v>
      </c>
      <c r="AC20" s="228" t="s">
        <v>204</v>
      </c>
    </row>
    <row r="21" spans="2:29" s="28" customFormat="1" ht="99" customHeight="1" x14ac:dyDescent="0.35">
      <c r="B21" s="130">
        <v>20250251</v>
      </c>
      <c r="C21" s="132" t="s">
        <v>209</v>
      </c>
      <c r="D21" s="224" t="s">
        <v>167</v>
      </c>
      <c r="E21" s="225" t="s">
        <v>509</v>
      </c>
      <c r="F21" s="224" t="s">
        <v>692</v>
      </c>
      <c r="G21" s="224" t="s">
        <v>155</v>
      </c>
      <c r="H21" s="133">
        <v>80111600</v>
      </c>
      <c r="I21" s="226">
        <v>1</v>
      </c>
      <c r="J21" s="226">
        <v>10</v>
      </c>
      <c r="K21" s="129">
        <v>0</v>
      </c>
      <c r="L21" s="128">
        <f>55000000+35000000-26300000</f>
        <v>63700000</v>
      </c>
      <c r="M21" s="224" t="s">
        <v>465</v>
      </c>
      <c r="N21" s="128" t="s">
        <v>512</v>
      </c>
      <c r="O21" s="225" t="s">
        <v>226</v>
      </c>
      <c r="P21" s="227" t="str">
        <f>IFERROR(VLOOKUP(C21,TD!$B$33:$F$37,2,0)," ")</f>
        <v>O230117</v>
      </c>
      <c r="Q21" s="227" t="str">
        <f>IFERROR(VLOOKUP(C21,TD!$B$33:$F$37,3,0)," ")</f>
        <v>4503</v>
      </c>
      <c r="R21" s="227">
        <f>IFERROR(VLOOKUP(C21,TD!$B$33:$F$37,4,0)," ")</f>
        <v>20240255</v>
      </c>
      <c r="S21" s="225" t="s">
        <v>179</v>
      </c>
      <c r="T21" s="227" t="str">
        <f>IFERROR(VLOOKUP(S21,TD!$J$34:$K$44,2,0)," ")</f>
        <v>Infraestructura Tecnológica   (Sistemas de Información y Tecnologia)</v>
      </c>
      <c r="U21" s="222" t="str">
        <f t="shared" si="0"/>
        <v>11-Infraestructura Tecnológica   (Sistemas de Información y Tecnologia)</v>
      </c>
      <c r="V21" s="225" t="s">
        <v>235</v>
      </c>
      <c r="W21" s="227" t="str">
        <f>IFERROR(VLOOKUP(V21,TD!$N$34:$O$46,2,0)," ")</f>
        <v>"Servicio de monitoreo y seguimiento para la gestión del riesgo"</v>
      </c>
      <c r="X21" s="222" t="str">
        <f t="shared" si="1"/>
        <v>018_"Servicio de monitoreo y seguimiento para la gestión del riesgo"</v>
      </c>
      <c r="Y21" s="222" t="str">
        <f t="shared" si="2"/>
        <v>11-Infraestructura Tecnológica   (Sistemas de Información y Tecnologia) 018_"Servicio de monitoreo y seguimiento para la gestión del riesgo"</v>
      </c>
      <c r="Z21" s="227" t="str">
        <f t="shared" si="3"/>
        <v>O23011745032024025511018</v>
      </c>
      <c r="AA21" s="227" t="str">
        <f>IFERROR(VLOOKUP(Y21,TD!$K$47:$L$65,2,0)," ")</f>
        <v>PM/0131/0111/45030180255</v>
      </c>
      <c r="AB21" s="128" t="s">
        <v>138</v>
      </c>
      <c r="AC21" s="228" t="s">
        <v>204</v>
      </c>
    </row>
    <row r="22" spans="2:29" s="28" customFormat="1" ht="99" customHeight="1" x14ac:dyDescent="0.35">
      <c r="B22" s="130">
        <v>20250262</v>
      </c>
      <c r="C22" s="132" t="s">
        <v>209</v>
      </c>
      <c r="D22" s="224" t="s">
        <v>167</v>
      </c>
      <c r="E22" s="225" t="s">
        <v>509</v>
      </c>
      <c r="F22" s="224" t="s">
        <v>522</v>
      </c>
      <c r="G22" s="224" t="s">
        <v>155</v>
      </c>
      <c r="H22" s="133">
        <v>80111600</v>
      </c>
      <c r="I22" s="226">
        <v>1</v>
      </c>
      <c r="J22" s="226">
        <v>10</v>
      </c>
      <c r="K22" s="129">
        <v>0</v>
      </c>
      <c r="L22" s="128">
        <f>55000000-5000000-15000000</f>
        <v>35000000</v>
      </c>
      <c r="M22" s="224" t="s">
        <v>465</v>
      </c>
      <c r="N22" s="128" t="s">
        <v>512</v>
      </c>
      <c r="O22" s="225" t="s">
        <v>221</v>
      </c>
      <c r="P22" s="227" t="str">
        <f>IFERROR(VLOOKUP(C22,TD!$B$33:$F$37,2,0)," ")</f>
        <v>O230117</v>
      </c>
      <c r="Q22" s="227" t="str">
        <f>IFERROR(VLOOKUP(C22,TD!$B$33:$F$37,3,0)," ")</f>
        <v>4503</v>
      </c>
      <c r="R22" s="227">
        <f>IFERROR(VLOOKUP(C22,TD!$B$33:$F$37,4,0)," ")</f>
        <v>20240255</v>
      </c>
      <c r="S22" s="225" t="s">
        <v>177</v>
      </c>
      <c r="T22" s="227" t="str">
        <f>IFERROR(VLOOKUP(S22,TD!$J$34:$K$44,2,0)," ")</f>
        <v>Servicio de capacitaciones en gestión del riesgo de incendios  a la ciudadania.</v>
      </c>
      <c r="U22" s="222" t="str">
        <f t="shared" si="0"/>
        <v>05-Servicio de capacitaciones en gestión del riesgo de incendios  a la ciudadania.</v>
      </c>
      <c r="V22" s="225" t="s">
        <v>234</v>
      </c>
      <c r="W22" s="227" t="str">
        <f>IFERROR(VLOOKUP(V22,TD!$N$34:$O$46,2,0)," ")</f>
        <v>Servicio prevención y control de incendios</v>
      </c>
      <c r="X22" s="222" t="str">
        <f t="shared" si="1"/>
        <v>035_Servicio prevención y control de incendios</v>
      </c>
      <c r="Y22" s="222" t="str">
        <f t="shared" si="2"/>
        <v>05-Servicio de capacitaciones en gestión del riesgo de incendios  a la ciudadania. 035_Servicio prevención y control de incendios</v>
      </c>
      <c r="Z22" s="227" t="str">
        <f t="shared" si="3"/>
        <v>O23011745032024025505035</v>
      </c>
      <c r="AA22" s="227" t="str">
        <f>IFERROR(VLOOKUP(Y22,TD!$K$47:$L$65,2,0)," ")</f>
        <v>PM/0131/0105/45030350255</v>
      </c>
      <c r="AB22" s="128" t="s">
        <v>138</v>
      </c>
      <c r="AC22" s="228" t="s">
        <v>204</v>
      </c>
    </row>
    <row r="23" spans="2:29" s="28" customFormat="1" ht="99" customHeight="1" x14ac:dyDescent="0.35">
      <c r="B23" s="130">
        <v>20250270</v>
      </c>
      <c r="C23" s="132" t="s">
        <v>209</v>
      </c>
      <c r="D23" s="224" t="s">
        <v>167</v>
      </c>
      <c r="E23" s="225" t="s">
        <v>509</v>
      </c>
      <c r="F23" s="224" t="s">
        <v>373</v>
      </c>
      <c r="G23" s="224" t="s">
        <v>155</v>
      </c>
      <c r="H23" s="133">
        <v>80111600</v>
      </c>
      <c r="I23" s="226">
        <v>1</v>
      </c>
      <c r="J23" s="226">
        <v>10</v>
      </c>
      <c r="K23" s="129">
        <v>0</v>
      </c>
      <c r="L23" s="128">
        <f>77000000-27000000-15000000</f>
        <v>35000000</v>
      </c>
      <c r="M23" s="224" t="s">
        <v>465</v>
      </c>
      <c r="N23" s="128" t="s">
        <v>512</v>
      </c>
      <c r="O23" s="225" t="s">
        <v>221</v>
      </c>
      <c r="P23" s="227" t="str">
        <f>IFERROR(VLOOKUP(C23,TD!$B$33:$F$37,2,0)," ")</f>
        <v>O230117</v>
      </c>
      <c r="Q23" s="227" t="str">
        <f>IFERROR(VLOOKUP(C23,TD!$B$33:$F$37,3,0)," ")</f>
        <v>4503</v>
      </c>
      <c r="R23" s="227">
        <f>IFERROR(VLOOKUP(C23,TD!$B$33:$F$37,4,0)," ")</f>
        <v>20240255</v>
      </c>
      <c r="S23" s="225" t="s">
        <v>181</v>
      </c>
      <c r="T23" s="227" t="str">
        <f>IFERROR(VLOOKUP(S23,TD!$J$34:$K$44,2,0)," ")</f>
        <v>Servicio de inspecciones técnicas realizadas</v>
      </c>
      <c r="U23" s="222" t="str">
        <f t="shared" si="0"/>
        <v>06-Servicio de inspecciones técnicas realizadas</v>
      </c>
      <c r="V23" s="225" t="s">
        <v>234</v>
      </c>
      <c r="W23" s="227" t="str">
        <f>IFERROR(VLOOKUP(V23,TD!$N$34:$O$46,2,0)," ")</f>
        <v>Servicio prevención y control de incendios</v>
      </c>
      <c r="X23" s="222" t="str">
        <f t="shared" si="1"/>
        <v>035_Servicio prevención y control de incendios</v>
      </c>
      <c r="Y23" s="222" t="str">
        <f t="shared" si="2"/>
        <v>06-Servicio de inspecciones técnicas realizadas 035_Servicio prevención y control de incendios</v>
      </c>
      <c r="Z23" s="227" t="str">
        <f t="shared" si="3"/>
        <v>O23011745032024025506035</v>
      </c>
      <c r="AA23" s="227" t="str">
        <f>IFERROR(VLOOKUP(Y23,TD!$K$47:$L$65,2,0)," ")</f>
        <v>PM/0131/0106/45030350255</v>
      </c>
      <c r="AB23" s="128" t="s">
        <v>138</v>
      </c>
      <c r="AC23" s="228" t="s">
        <v>204</v>
      </c>
    </row>
    <row r="24" spans="2:29" s="28" customFormat="1" ht="99" customHeight="1" x14ac:dyDescent="0.35">
      <c r="B24" s="130">
        <v>20250271</v>
      </c>
      <c r="C24" s="132" t="s">
        <v>209</v>
      </c>
      <c r="D24" s="224" t="s">
        <v>167</v>
      </c>
      <c r="E24" s="225" t="s">
        <v>509</v>
      </c>
      <c r="F24" s="224" t="s">
        <v>744</v>
      </c>
      <c r="G24" s="224" t="s">
        <v>155</v>
      </c>
      <c r="H24" s="133">
        <v>80111600</v>
      </c>
      <c r="I24" s="226">
        <v>1</v>
      </c>
      <c r="J24" s="226">
        <v>10</v>
      </c>
      <c r="K24" s="129">
        <v>0</v>
      </c>
      <c r="L24" s="128">
        <f>77000000-27000000-15000000</f>
        <v>35000000</v>
      </c>
      <c r="M24" s="224" t="s">
        <v>465</v>
      </c>
      <c r="N24" s="128" t="s">
        <v>512</v>
      </c>
      <c r="O24" s="225" t="s">
        <v>221</v>
      </c>
      <c r="P24" s="227" t="str">
        <f>IFERROR(VLOOKUP(C24,TD!$B$33:$F$37,2,0)," ")</f>
        <v>O230117</v>
      </c>
      <c r="Q24" s="227" t="str">
        <f>IFERROR(VLOOKUP(C24,TD!$B$33:$F$37,3,0)," ")</f>
        <v>4503</v>
      </c>
      <c r="R24" s="227">
        <f>IFERROR(VLOOKUP(C24,TD!$B$33:$F$37,4,0)," ")</f>
        <v>20240255</v>
      </c>
      <c r="S24" s="225" t="s">
        <v>181</v>
      </c>
      <c r="T24" s="227" t="str">
        <f>IFERROR(VLOOKUP(S24,TD!$J$34:$K$44,2,0)," ")</f>
        <v>Servicio de inspecciones técnicas realizadas</v>
      </c>
      <c r="U24" s="222" t="str">
        <f t="shared" si="0"/>
        <v>06-Servicio de inspecciones técnicas realizadas</v>
      </c>
      <c r="V24" s="225" t="s">
        <v>234</v>
      </c>
      <c r="W24" s="227" t="str">
        <f>IFERROR(VLOOKUP(V24,TD!$N$34:$O$46,2,0)," ")</f>
        <v>Servicio prevención y control de incendios</v>
      </c>
      <c r="X24" s="222" t="str">
        <f t="shared" si="1"/>
        <v>035_Servicio prevención y control de incendios</v>
      </c>
      <c r="Y24" s="222" t="str">
        <f t="shared" si="2"/>
        <v>06-Servicio de inspecciones técnicas realizadas 035_Servicio prevención y control de incendios</v>
      </c>
      <c r="Z24" s="227" t="str">
        <f t="shared" si="3"/>
        <v>O23011745032024025506035</v>
      </c>
      <c r="AA24" s="227" t="str">
        <f>IFERROR(VLOOKUP(Y24,TD!$K$47:$L$65,2,0)," ")</f>
        <v>PM/0131/0106/45030350255</v>
      </c>
      <c r="AB24" s="128" t="s">
        <v>138</v>
      </c>
      <c r="AC24" s="228" t="s">
        <v>204</v>
      </c>
    </row>
    <row r="25" spans="2:29" s="28" customFormat="1" ht="99" customHeight="1" x14ac:dyDescent="0.35">
      <c r="B25" s="77">
        <v>20250410</v>
      </c>
      <c r="C25" s="50" t="s">
        <v>209</v>
      </c>
      <c r="D25" s="218" t="s">
        <v>166</v>
      </c>
      <c r="E25" s="219" t="s">
        <v>565</v>
      </c>
      <c r="F25" s="218" t="s">
        <v>1094</v>
      </c>
      <c r="G25" s="218" t="s">
        <v>137</v>
      </c>
      <c r="H25" s="93" t="s">
        <v>406</v>
      </c>
      <c r="I25" s="220" t="s">
        <v>406</v>
      </c>
      <c r="J25" s="220" t="s">
        <v>406</v>
      </c>
      <c r="K25" s="52" t="s">
        <v>406</v>
      </c>
      <c r="L25" s="53">
        <v>35469000</v>
      </c>
      <c r="M25" s="218" t="s">
        <v>173</v>
      </c>
      <c r="N25" s="53" t="s">
        <v>615</v>
      </c>
      <c r="O25" s="219" t="s">
        <v>227</v>
      </c>
      <c r="P25" s="221" t="str">
        <f>IFERROR(VLOOKUP(C25,TD!$B$33:$F$37,2,0)," ")</f>
        <v>O230117</v>
      </c>
      <c r="Q25" s="221" t="str">
        <f>IFERROR(VLOOKUP(C25,TD!$B$33:$F$37,3,0)," ")</f>
        <v>4503</v>
      </c>
      <c r="R25" s="221">
        <f>IFERROR(VLOOKUP(C25,TD!$B$33:$F$37,4,0)," ")</f>
        <v>20240255</v>
      </c>
      <c r="S25" s="219" t="s">
        <v>185</v>
      </c>
      <c r="T25" s="221" t="str">
        <f>IFERROR(VLOOKUP(S25,TD!$J$34:$K$44,2,0)," ")</f>
        <v>Infraestructura física, mantenimiento y dotación (Sedes construidas, mantenidas reforzadas)</v>
      </c>
      <c r="U25" s="222" t="str">
        <f t="shared" si="0"/>
        <v>08-Infraestructura física, mantenimiento y dotación (Sedes construidas, mantenidas reforzadas)</v>
      </c>
      <c r="V25" s="219" t="s">
        <v>236</v>
      </c>
      <c r="W25" s="221" t="str">
        <f>IFERROR(VLOOKUP(V25,TD!$N$34:$O$46,2,0)," ")</f>
        <v>Estaciones de bomberos adecuadas</v>
      </c>
      <c r="X25" s="222" t="str">
        <f t="shared" si="1"/>
        <v>014_Estaciones de bomberos adecuadas</v>
      </c>
      <c r="Y25" s="222" t="str">
        <f t="shared" si="2"/>
        <v>08-Infraestructura física, mantenimiento y dotación (Sedes construidas, mantenidas reforzadas) 014_Estaciones de bomberos adecuadas</v>
      </c>
      <c r="Z25" s="221" t="str">
        <f t="shared" si="3"/>
        <v>O23011745032024025508014</v>
      </c>
      <c r="AA25" s="221" t="str">
        <f>IFERROR(VLOOKUP(Y25,TD!$K$47:$L$65,2,0)," ")</f>
        <v>PM/0131/0108/45030140255</v>
      </c>
      <c r="AB25" s="53" t="s">
        <v>102</v>
      </c>
      <c r="AC25" s="223" t="s">
        <v>205</v>
      </c>
    </row>
    <row r="26" spans="2:29" s="28" customFormat="1" ht="99" customHeight="1" x14ac:dyDescent="0.35">
      <c r="B26" s="77">
        <v>20250500</v>
      </c>
      <c r="C26" s="50" t="s">
        <v>346</v>
      </c>
      <c r="D26" s="218" t="s">
        <v>166</v>
      </c>
      <c r="E26" s="219" t="s">
        <v>565</v>
      </c>
      <c r="F26" s="218" t="s">
        <v>645</v>
      </c>
      <c r="G26" s="218" t="s">
        <v>157</v>
      </c>
      <c r="H26" s="93" t="s">
        <v>646</v>
      </c>
      <c r="I26" s="220">
        <v>1</v>
      </c>
      <c r="J26" s="220">
        <v>10</v>
      </c>
      <c r="K26" s="52">
        <v>0</v>
      </c>
      <c r="L26" s="53">
        <v>25000000</v>
      </c>
      <c r="M26" s="218" t="s">
        <v>172</v>
      </c>
      <c r="N26" s="53" t="s">
        <v>100</v>
      </c>
      <c r="O26" s="219" t="s">
        <v>347</v>
      </c>
      <c r="P26" s="221" t="str">
        <f>IFERROR(VLOOKUP(C26,TD!$B$33:$F$37,2,0)," ")</f>
        <v>NA</v>
      </c>
      <c r="Q26" s="221" t="str">
        <f>IFERROR(VLOOKUP(C26,TD!$B$33:$F$37,3,0)," ")</f>
        <v>NA</v>
      </c>
      <c r="R26" s="221" t="str">
        <f>IFERROR(VLOOKUP(C26,TD!$B$33:$F$37,4,0)," ")</f>
        <v>NA</v>
      </c>
      <c r="S26" s="219" t="s">
        <v>406</v>
      </c>
      <c r="T26" s="221" t="str">
        <f>IFERROR(VLOOKUP(S26,TD!$J$34:$K$44,2,0)," ")</f>
        <v>N/A</v>
      </c>
      <c r="U26" s="222" t="str">
        <f t="shared" si="0"/>
        <v>N/A-N/A</v>
      </c>
      <c r="V26" s="219" t="s">
        <v>406</v>
      </c>
      <c r="W26" s="221" t="str">
        <f>IFERROR(VLOOKUP(V26,TD!$N$34:$O$46,2,0)," ")</f>
        <v>N/A</v>
      </c>
      <c r="X26" s="222" t="str">
        <f t="shared" si="1"/>
        <v>N/A_N/A</v>
      </c>
      <c r="Y26" s="222" t="str">
        <f t="shared" si="2"/>
        <v>N/A-N/A N/A_N/A</v>
      </c>
      <c r="Z26" s="221" t="str">
        <f t="shared" si="3"/>
        <v>NANANAN/AN/A</v>
      </c>
      <c r="AA26" s="221" t="str">
        <f>IFERROR(VLOOKUP(Y26,TD!$K$47:$L$65,2,0)," ")</f>
        <v>N/A</v>
      </c>
      <c r="AB26" s="53" t="s">
        <v>675</v>
      </c>
      <c r="AC26" s="223" t="s">
        <v>204</v>
      </c>
    </row>
    <row r="27" spans="2:29" s="28" customFormat="1" ht="99" customHeight="1" x14ac:dyDescent="0.35">
      <c r="B27" s="130">
        <v>20250517</v>
      </c>
      <c r="C27" s="132" t="s">
        <v>209</v>
      </c>
      <c r="D27" s="224" t="s">
        <v>166</v>
      </c>
      <c r="E27" s="225" t="s">
        <v>565</v>
      </c>
      <c r="F27" s="224" t="s">
        <v>604</v>
      </c>
      <c r="G27" s="224" t="s">
        <v>101</v>
      </c>
      <c r="H27" s="133" t="s">
        <v>605</v>
      </c>
      <c r="I27" s="226">
        <v>4</v>
      </c>
      <c r="J27" s="226">
        <v>10</v>
      </c>
      <c r="K27" s="129">
        <v>0</v>
      </c>
      <c r="L27" s="128">
        <f>1000000+35000000+115000000+50000000-40000000</f>
        <v>161000000</v>
      </c>
      <c r="M27" s="224" t="s">
        <v>465</v>
      </c>
      <c r="N27" s="128" t="s">
        <v>108</v>
      </c>
      <c r="O27" s="225" t="s">
        <v>227</v>
      </c>
      <c r="P27" s="227" t="str">
        <f>IFERROR(VLOOKUP(C27,TD!$B$33:$F$37,2,0)," ")</f>
        <v>O230117</v>
      </c>
      <c r="Q27" s="227" t="str">
        <f>IFERROR(VLOOKUP(C27,TD!$B$33:$F$37,3,0)," ")</f>
        <v>4503</v>
      </c>
      <c r="R27" s="227">
        <f>IFERROR(VLOOKUP(C27,TD!$B$33:$F$37,4,0)," ")</f>
        <v>20240255</v>
      </c>
      <c r="S27" s="225" t="s">
        <v>185</v>
      </c>
      <c r="T27" s="227" t="str">
        <f>IFERROR(VLOOKUP(S27,TD!$J$34:$K$44,2,0)," ")</f>
        <v>Infraestructura física, mantenimiento y dotación (Sedes construidas, mantenidas reforzadas)</v>
      </c>
      <c r="U27" s="222" t="str">
        <f t="shared" si="0"/>
        <v>08-Infraestructura física, mantenimiento y dotación (Sedes construidas, mantenidas reforzadas)</v>
      </c>
      <c r="V27" s="225" t="s">
        <v>236</v>
      </c>
      <c r="W27" s="227" t="str">
        <f>IFERROR(VLOOKUP(V27,TD!$N$34:$O$46,2,0)," ")</f>
        <v>Estaciones de bomberos adecuadas</v>
      </c>
      <c r="X27" s="222" t="str">
        <f t="shared" si="1"/>
        <v>014_Estaciones de bomberos adecuadas</v>
      </c>
      <c r="Y27" s="222" t="str">
        <f t="shared" si="2"/>
        <v>08-Infraestructura física, mantenimiento y dotación (Sedes construidas, mantenidas reforzadas) 014_Estaciones de bomberos adecuadas</v>
      </c>
      <c r="Z27" s="227" t="str">
        <f t="shared" si="3"/>
        <v>O23011745032024025508014</v>
      </c>
      <c r="AA27" s="227" t="str">
        <f>IFERROR(VLOOKUP(Y27,TD!$K$47:$L$65,2,0)," ")</f>
        <v>PM/0131/0108/45030140255</v>
      </c>
      <c r="AB27" s="53" t="s">
        <v>102</v>
      </c>
      <c r="AC27" s="228" t="s">
        <v>204</v>
      </c>
    </row>
    <row r="28" spans="2:29" s="28" customFormat="1" ht="99" customHeight="1" x14ac:dyDescent="0.35">
      <c r="B28" s="77">
        <v>20250522</v>
      </c>
      <c r="C28" s="50" t="s">
        <v>209</v>
      </c>
      <c r="D28" s="218" t="s">
        <v>166</v>
      </c>
      <c r="E28" s="219" t="s">
        <v>565</v>
      </c>
      <c r="F28" s="218" t="s">
        <v>608</v>
      </c>
      <c r="G28" s="218" t="s">
        <v>140</v>
      </c>
      <c r="H28" s="93" t="s">
        <v>602</v>
      </c>
      <c r="I28" s="220">
        <v>4</v>
      </c>
      <c r="J28" s="220">
        <v>10</v>
      </c>
      <c r="K28" s="52">
        <v>0</v>
      </c>
      <c r="L28" s="53">
        <v>150000000</v>
      </c>
      <c r="M28" s="218" t="s">
        <v>465</v>
      </c>
      <c r="N28" s="53" t="s">
        <v>108</v>
      </c>
      <c r="O28" s="219" t="s">
        <v>230</v>
      </c>
      <c r="P28" s="221" t="str">
        <f>IFERROR(VLOOKUP(C28,TD!$B$33:$F$37,2,0)," ")</f>
        <v>O230117</v>
      </c>
      <c r="Q28" s="221" t="str">
        <f>IFERROR(VLOOKUP(C28,TD!$B$33:$F$37,3,0)," ")</f>
        <v>4503</v>
      </c>
      <c r="R28" s="221">
        <f>IFERROR(VLOOKUP(C28,TD!$B$33:$F$37,4,0)," ")</f>
        <v>20240255</v>
      </c>
      <c r="S28" s="219" t="s">
        <v>185</v>
      </c>
      <c r="T28" s="221" t="str">
        <f>IFERROR(VLOOKUP(S28,TD!$J$34:$K$44,2,0)," ")</f>
        <v>Infraestructura física, mantenimiento y dotación (Sedes construidas, mantenidas reforzadas)</v>
      </c>
      <c r="U28" s="222" t="str">
        <f t="shared" si="0"/>
        <v>08-Infraestructura física, mantenimiento y dotación (Sedes construidas, mantenidas reforzadas)</v>
      </c>
      <c r="V28" s="219" t="s">
        <v>294</v>
      </c>
      <c r="W28" s="221" t="str">
        <f>IFERROR(VLOOKUP(V28,TD!$N$34:$O$46,2,0)," ")</f>
        <v>Documentos de lineamientos técnicos</v>
      </c>
      <c r="X28" s="222" t="str">
        <f t="shared" si="1"/>
        <v>031__Documentos de lineamientos técnicos</v>
      </c>
      <c r="Y28" s="222" t="str">
        <f t="shared" si="2"/>
        <v>08-Infraestructura física, mantenimiento y dotación (Sedes construidas, mantenidas reforzadas) 031__Documentos de lineamientos técnicos</v>
      </c>
      <c r="Z28" s="221" t="str">
        <f t="shared" si="3"/>
        <v>O23011745032024025508031_</v>
      </c>
      <c r="AA28" s="221" t="str">
        <f>IFERROR(VLOOKUP(Y28,TD!$K$47:$L$65,2,0)," ")</f>
        <v>PM/0131/0108/45030310255</v>
      </c>
      <c r="AB28" s="53" t="s">
        <v>102</v>
      </c>
      <c r="AC28" s="223" t="s">
        <v>204</v>
      </c>
    </row>
    <row r="29" spans="2:29" s="28" customFormat="1" ht="99" customHeight="1" x14ac:dyDescent="0.35">
      <c r="B29" s="77">
        <v>20250568</v>
      </c>
      <c r="C29" s="50" t="s">
        <v>208</v>
      </c>
      <c r="D29" s="218" t="s">
        <v>161</v>
      </c>
      <c r="E29" s="219" t="s">
        <v>355</v>
      </c>
      <c r="F29" s="218" t="s">
        <v>686</v>
      </c>
      <c r="G29" s="218" t="s">
        <v>155</v>
      </c>
      <c r="H29" s="93">
        <v>80111600</v>
      </c>
      <c r="I29" s="220">
        <v>2</v>
      </c>
      <c r="J29" s="220">
        <v>11</v>
      </c>
      <c r="K29" s="52">
        <v>0</v>
      </c>
      <c r="L29" s="53">
        <f>110300000-15000000</f>
        <v>95300000</v>
      </c>
      <c r="M29" s="218" t="s">
        <v>465</v>
      </c>
      <c r="N29" s="53" t="s">
        <v>113</v>
      </c>
      <c r="O29" s="219" t="s">
        <v>220</v>
      </c>
      <c r="P29" s="221" t="str">
        <f>IFERROR(VLOOKUP(C29,TD!$B$33:$F$37,2,0)," ")</f>
        <v>O230117</v>
      </c>
      <c r="Q29" s="221" t="str">
        <f>IFERROR(VLOOKUP(C29,TD!$B$33:$F$37,3,0)," ")</f>
        <v>4599</v>
      </c>
      <c r="R29" s="221">
        <f>IFERROR(VLOOKUP(C29,TD!$B$33:$F$37,4,0)," ")</f>
        <v>20240207</v>
      </c>
      <c r="S29" s="219" t="s">
        <v>193</v>
      </c>
      <c r="T29" s="221" t="str">
        <f>IFERROR(VLOOKUP(S29,TD!$J$34:$K$44,2,0)," ")</f>
        <v>Servicios para la planeación y sistemas de gestión y comunicación estratégica</v>
      </c>
      <c r="U29" s="222" t="str">
        <f t="shared" si="0"/>
        <v>13-Servicios para la planeación y sistemas de gestión y comunicación estratégica</v>
      </c>
      <c r="V29" s="219" t="s">
        <v>242</v>
      </c>
      <c r="W29" s="221" t="str">
        <f>IFERROR(VLOOKUP(V29,TD!$N$34:$O$46,2,0)," ")</f>
        <v>Documentos de planeación</v>
      </c>
      <c r="X29" s="222" t="str">
        <f t="shared" si="1"/>
        <v>019_Documentos de planeación</v>
      </c>
      <c r="Y29" s="222" t="str">
        <f t="shared" si="2"/>
        <v>13-Servicios para la planeación y sistemas de gestión y comunicación estratégica 019_Documentos de planeación</v>
      </c>
      <c r="Z29" s="221" t="str">
        <f t="shared" si="3"/>
        <v>O23011745992024020713019</v>
      </c>
      <c r="AA29" s="221" t="str">
        <f>IFERROR(VLOOKUP(Y29,TD!$K$47:$L$65,2,0)," ")</f>
        <v>PM/0131/0113/45990190207</v>
      </c>
      <c r="AB29" s="53" t="s">
        <v>138</v>
      </c>
      <c r="AC29" s="223" t="s">
        <v>204</v>
      </c>
    </row>
    <row r="30" spans="2:29" s="28" customFormat="1" ht="99" customHeight="1" x14ac:dyDescent="0.35">
      <c r="B30" s="77">
        <v>20250592</v>
      </c>
      <c r="C30" s="50" t="s">
        <v>208</v>
      </c>
      <c r="D30" s="229" t="s">
        <v>166</v>
      </c>
      <c r="E30" s="219" t="s">
        <v>565</v>
      </c>
      <c r="F30" s="218" t="s">
        <v>568</v>
      </c>
      <c r="G30" s="218" t="s">
        <v>156</v>
      </c>
      <c r="H30" s="93" t="s">
        <v>617</v>
      </c>
      <c r="I30" s="220">
        <v>2</v>
      </c>
      <c r="J30" s="220">
        <v>9</v>
      </c>
      <c r="K30" s="52">
        <v>0</v>
      </c>
      <c r="L30" s="53">
        <v>29558952</v>
      </c>
      <c r="M30" s="140" t="s">
        <v>465</v>
      </c>
      <c r="N30" s="53" t="s">
        <v>113</v>
      </c>
      <c r="O30" s="219" t="s">
        <v>219</v>
      </c>
      <c r="P30" s="221" t="str">
        <f>IFERROR(VLOOKUP(C30,TD!$B$33:$F$37,2,0)," ")</f>
        <v>O230117</v>
      </c>
      <c r="Q30" s="221" t="str">
        <f>IFERROR(VLOOKUP(C30,TD!$B$33:$F$37,3,0)," ")</f>
        <v>4599</v>
      </c>
      <c r="R30" s="221">
        <f>IFERROR(VLOOKUP(C30,TD!$B$33:$F$37,4,0)," ")</f>
        <v>20240207</v>
      </c>
      <c r="S30" s="219" t="s">
        <v>185</v>
      </c>
      <c r="T30" s="221" t="str">
        <f>IFERROR(VLOOKUP(S30,TD!$J$34:$K$44,2,0)," ")</f>
        <v>Infraestructura física, mantenimiento y dotación (Sedes construidas, mantenidas reforzadas)</v>
      </c>
      <c r="U30" s="222" t="str">
        <f t="shared" si="0"/>
        <v>08-Infraestructura física, mantenimiento y dotación (Sedes construidas, mantenidas reforzadas)</v>
      </c>
      <c r="V30" s="219" t="s">
        <v>238</v>
      </c>
      <c r="W30" s="221" t="str">
        <f>IFERROR(VLOOKUP(V30,TD!$N$34:$O$46,2,0)," ")</f>
        <v>Sedes mantenidas</v>
      </c>
      <c r="X30" s="222" t="str">
        <f t="shared" si="1"/>
        <v>016_Sedes mantenidas</v>
      </c>
      <c r="Y30" s="222" t="str">
        <f t="shared" si="2"/>
        <v>08-Infraestructura física, mantenimiento y dotación (Sedes construidas, mantenidas reforzadas) 016_Sedes mantenidas</v>
      </c>
      <c r="Z30" s="221" t="str">
        <f t="shared" si="3"/>
        <v>O23011745992024020708016</v>
      </c>
      <c r="AA30" s="221" t="str">
        <f>IFERROR(VLOOKUP(Y30,TD!$K$47:$L$65,2,0)," ")</f>
        <v>PM/0131/0108/45990160207</v>
      </c>
      <c r="AB30" s="53" t="s">
        <v>138</v>
      </c>
      <c r="AC30" s="223" t="s">
        <v>204</v>
      </c>
    </row>
    <row r="31" spans="2:29" s="28" customFormat="1" ht="151.5" customHeight="1" x14ac:dyDescent="0.35">
      <c r="B31" s="130">
        <v>20250641</v>
      </c>
      <c r="C31" s="132" t="s">
        <v>209</v>
      </c>
      <c r="D31" s="224" t="s">
        <v>166</v>
      </c>
      <c r="E31" s="225" t="s">
        <v>565</v>
      </c>
      <c r="F31" s="224" t="s">
        <v>855</v>
      </c>
      <c r="G31" s="224" t="s">
        <v>155</v>
      </c>
      <c r="H31" s="133" t="s">
        <v>617</v>
      </c>
      <c r="I31" s="226">
        <v>2</v>
      </c>
      <c r="J31" s="226">
        <v>10</v>
      </c>
      <c r="K31" s="129">
        <v>0</v>
      </c>
      <c r="L31" s="128">
        <f>50000000-6581554</f>
        <v>43418446</v>
      </c>
      <c r="M31" s="224" t="s">
        <v>465</v>
      </c>
      <c r="N31" s="128" t="s">
        <v>113</v>
      </c>
      <c r="O31" s="225" t="s">
        <v>227</v>
      </c>
      <c r="P31" s="227" t="str">
        <f>IFERROR(VLOOKUP(C31,TD!$B$33:$F$37,2,0)," ")</f>
        <v>O230117</v>
      </c>
      <c r="Q31" s="227" t="str">
        <f>IFERROR(VLOOKUP(C31,TD!$B$33:$F$37,3,0)," ")</f>
        <v>4503</v>
      </c>
      <c r="R31" s="227">
        <f>IFERROR(VLOOKUP(C31,TD!$B$33:$F$37,4,0)," ")</f>
        <v>20240255</v>
      </c>
      <c r="S31" s="225" t="s">
        <v>185</v>
      </c>
      <c r="T31" s="227" t="str">
        <f>IFERROR(VLOOKUP(S31,TD!$J$34:$K$44,2,0)," ")</f>
        <v>Infraestructura física, mantenimiento y dotación (Sedes construidas, mantenidas reforzadas)</v>
      </c>
      <c r="U31" s="222" t="str">
        <f t="shared" si="0"/>
        <v>08-Infraestructura física, mantenimiento y dotación (Sedes construidas, mantenidas reforzadas)</v>
      </c>
      <c r="V31" s="225" t="s">
        <v>236</v>
      </c>
      <c r="W31" s="227" t="str">
        <f>IFERROR(VLOOKUP(V31,TD!$N$34:$O$46,2,0)," ")</f>
        <v>Estaciones de bomberos adecuadas</v>
      </c>
      <c r="X31" s="222" t="str">
        <f t="shared" si="1"/>
        <v>014_Estaciones de bomberos adecuadas</v>
      </c>
      <c r="Y31" s="222" t="str">
        <f t="shared" si="2"/>
        <v>08-Infraestructura física, mantenimiento y dotación (Sedes construidas, mantenidas reforzadas) 014_Estaciones de bomberos adecuadas</v>
      </c>
      <c r="Z31" s="227" t="str">
        <f t="shared" si="3"/>
        <v>O23011745032024025508014</v>
      </c>
      <c r="AA31" s="227" t="str">
        <f>IFERROR(VLOOKUP(Y31,TD!$K$47:$L$65,2,0)," ")</f>
        <v>PM/0131/0108/45030140255</v>
      </c>
      <c r="AB31" s="53" t="s">
        <v>674</v>
      </c>
      <c r="AC31" s="228" t="s">
        <v>204</v>
      </c>
    </row>
    <row r="32" spans="2:29" s="28" customFormat="1" ht="99" customHeight="1" x14ac:dyDescent="0.35">
      <c r="B32" s="130">
        <v>20250645</v>
      </c>
      <c r="C32" s="132" t="s">
        <v>208</v>
      </c>
      <c r="D32" s="224" t="s">
        <v>166</v>
      </c>
      <c r="E32" s="225" t="s">
        <v>565</v>
      </c>
      <c r="F32" s="224" t="s">
        <v>858</v>
      </c>
      <c r="G32" s="224" t="s">
        <v>109</v>
      </c>
      <c r="H32" s="133" t="s">
        <v>861</v>
      </c>
      <c r="I32" s="226">
        <v>4</v>
      </c>
      <c r="J32" s="226">
        <v>3</v>
      </c>
      <c r="K32" s="129">
        <v>0</v>
      </c>
      <c r="L32" s="128">
        <v>3906735</v>
      </c>
      <c r="M32" s="224" t="s">
        <v>465</v>
      </c>
      <c r="N32" s="128" t="s">
        <v>100</v>
      </c>
      <c r="O32" s="225" t="s">
        <v>218</v>
      </c>
      <c r="P32" s="227" t="str">
        <f>IFERROR(VLOOKUP(C32,TD!$B$33:$F$37,2,0)," ")</f>
        <v>O230117</v>
      </c>
      <c r="Q32" s="227" t="str">
        <f>IFERROR(VLOOKUP(C32,TD!$B$33:$F$37,3,0)," ")</f>
        <v>4599</v>
      </c>
      <c r="R32" s="227">
        <f>IFERROR(VLOOKUP(C32,TD!$B$33:$F$37,4,0)," ")</f>
        <v>20240207</v>
      </c>
      <c r="S32" s="225" t="s">
        <v>185</v>
      </c>
      <c r="T32" s="227" t="str">
        <f>IFERROR(VLOOKUP(S32,TD!$J$34:$K$44,2,0)," ")</f>
        <v>Infraestructura física, mantenimiento y dotación (Sedes construidas, mantenidas reforzadas)</v>
      </c>
      <c r="U32" s="222" t="str">
        <f t="shared" si="0"/>
        <v>08-Infraestructura física, mantenimiento y dotación (Sedes construidas, mantenidas reforzadas)</v>
      </c>
      <c r="V32" s="225" t="s">
        <v>238</v>
      </c>
      <c r="W32" s="227" t="str">
        <f>IFERROR(VLOOKUP(V32,TD!$N$34:$O$46,2,0)," ")</f>
        <v>Sedes mantenidas</v>
      </c>
      <c r="X32" s="222" t="str">
        <f t="shared" si="1"/>
        <v>016_Sedes mantenidas</v>
      </c>
      <c r="Y32" s="222" t="str">
        <f t="shared" si="2"/>
        <v>08-Infraestructura física, mantenimiento y dotación (Sedes construidas, mantenidas reforzadas) 016_Sedes mantenidas</v>
      </c>
      <c r="Z32" s="227" t="str">
        <f t="shared" si="3"/>
        <v>O23011745992024020708016</v>
      </c>
      <c r="AA32" s="227" t="str">
        <f>IFERROR(VLOOKUP(Y32,TD!$K$47:$L$65,2,0)," ")</f>
        <v>PM/0131/0108/45990160207</v>
      </c>
      <c r="AB32" s="128" t="s">
        <v>138</v>
      </c>
      <c r="AC32" s="228" t="s">
        <v>204</v>
      </c>
    </row>
    <row r="33" spans="2:29" s="28" customFormat="1" ht="99" customHeight="1" x14ac:dyDescent="0.35">
      <c r="B33" s="130">
        <v>20250649</v>
      </c>
      <c r="C33" s="132" t="s">
        <v>208</v>
      </c>
      <c r="D33" s="224" t="s">
        <v>166</v>
      </c>
      <c r="E33" s="225" t="s">
        <v>565</v>
      </c>
      <c r="F33" s="224" t="s">
        <v>860</v>
      </c>
      <c r="G33" s="224" t="s">
        <v>109</v>
      </c>
      <c r="H33" s="133" t="s">
        <v>864</v>
      </c>
      <c r="I33" s="226">
        <v>4</v>
      </c>
      <c r="J33" s="226">
        <v>3</v>
      </c>
      <c r="K33" s="129">
        <v>0</v>
      </c>
      <c r="L33" s="128">
        <f>10000000-4222701-5666299</f>
        <v>111000</v>
      </c>
      <c r="M33" s="224" t="s">
        <v>465</v>
      </c>
      <c r="N33" s="128" t="s">
        <v>100</v>
      </c>
      <c r="O33" s="225" t="s">
        <v>218</v>
      </c>
      <c r="P33" s="227" t="str">
        <f>IFERROR(VLOOKUP(C33,TD!$B$33:$F$37,2,0)," ")</f>
        <v>O230117</v>
      </c>
      <c r="Q33" s="227" t="str">
        <f>IFERROR(VLOOKUP(C33,TD!$B$33:$F$37,3,0)," ")</f>
        <v>4599</v>
      </c>
      <c r="R33" s="227">
        <f>IFERROR(VLOOKUP(C33,TD!$B$33:$F$37,4,0)," ")</f>
        <v>20240207</v>
      </c>
      <c r="S33" s="225" t="s">
        <v>185</v>
      </c>
      <c r="T33" s="227" t="str">
        <f>IFERROR(VLOOKUP(S33,TD!$J$34:$K$44,2,0)," ")</f>
        <v>Infraestructura física, mantenimiento y dotación (Sedes construidas, mantenidas reforzadas)</v>
      </c>
      <c r="U33" s="222" t="str">
        <f t="shared" si="0"/>
        <v>08-Infraestructura física, mantenimiento y dotación (Sedes construidas, mantenidas reforzadas)</v>
      </c>
      <c r="V33" s="225" t="s">
        <v>238</v>
      </c>
      <c r="W33" s="227" t="str">
        <f>IFERROR(VLOOKUP(V33,TD!$N$34:$O$46,2,0)," ")</f>
        <v>Sedes mantenidas</v>
      </c>
      <c r="X33" s="222" t="str">
        <f t="shared" si="1"/>
        <v>016_Sedes mantenidas</v>
      </c>
      <c r="Y33" s="222" t="str">
        <f t="shared" si="2"/>
        <v>08-Infraestructura física, mantenimiento y dotación (Sedes construidas, mantenidas reforzadas) 016_Sedes mantenidas</v>
      </c>
      <c r="Z33" s="227" t="str">
        <f t="shared" si="3"/>
        <v>O23011745992024020708016</v>
      </c>
      <c r="AA33" s="227" t="str">
        <f>IFERROR(VLOOKUP(Y33,TD!$K$47:$L$65,2,0)," ")</f>
        <v>PM/0131/0108/45990160207</v>
      </c>
      <c r="AB33" s="128" t="s">
        <v>138</v>
      </c>
      <c r="AC33" s="228" t="s">
        <v>204</v>
      </c>
    </row>
    <row r="34" spans="2:29" s="28" customFormat="1" ht="99" customHeight="1" x14ac:dyDescent="0.35">
      <c r="B34" s="130">
        <v>20250661</v>
      </c>
      <c r="C34" s="132" t="s">
        <v>209</v>
      </c>
      <c r="D34" s="224" t="s">
        <v>167</v>
      </c>
      <c r="E34" s="225" t="s">
        <v>509</v>
      </c>
      <c r="F34" s="224" t="s">
        <v>919</v>
      </c>
      <c r="G34" s="224" t="s">
        <v>156</v>
      </c>
      <c r="H34" s="133">
        <v>80111600</v>
      </c>
      <c r="I34" s="226">
        <v>9</v>
      </c>
      <c r="J34" s="226">
        <v>4</v>
      </c>
      <c r="K34" s="129">
        <v>0</v>
      </c>
      <c r="L34" s="128">
        <f>61530876-30600000-330876</f>
        <v>30600000</v>
      </c>
      <c r="M34" s="224" t="s">
        <v>465</v>
      </c>
      <c r="N34" s="128" t="s">
        <v>113</v>
      </c>
      <c r="O34" s="225" t="s">
        <v>221</v>
      </c>
      <c r="P34" s="227" t="str">
        <f>IFERROR(VLOOKUP(C34,TD!$B$33:$F$37,2,0)," ")</f>
        <v>O230117</v>
      </c>
      <c r="Q34" s="227" t="str">
        <f>IFERROR(VLOOKUP(C34,TD!$B$33:$F$37,3,0)," ")</f>
        <v>4503</v>
      </c>
      <c r="R34" s="227">
        <f>IFERROR(VLOOKUP(C34,TD!$B$33:$F$37,4,0)," ")</f>
        <v>20240255</v>
      </c>
      <c r="S34" s="225" t="s">
        <v>177</v>
      </c>
      <c r="T34" s="227" t="str">
        <f>IFERROR(VLOOKUP(S34,TD!$J$34:$K$44,2,0)," ")</f>
        <v>Servicio de capacitaciones en gestión del riesgo de incendios  a la ciudadania.</v>
      </c>
      <c r="U34" s="222" t="str">
        <f t="shared" si="0"/>
        <v>05-Servicio de capacitaciones en gestión del riesgo de incendios  a la ciudadania.</v>
      </c>
      <c r="V34" s="225" t="s">
        <v>234</v>
      </c>
      <c r="W34" s="227" t="str">
        <f>IFERROR(VLOOKUP(V34,TD!$N$34:$O$46,2,0)," ")</f>
        <v>Servicio prevención y control de incendios</v>
      </c>
      <c r="X34" s="222" t="str">
        <f t="shared" si="1"/>
        <v>035_Servicio prevención y control de incendios</v>
      </c>
      <c r="Y34" s="222" t="str">
        <f t="shared" si="2"/>
        <v>05-Servicio de capacitaciones en gestión del riesgo de incendios  a la ciudadania. 035_Servicio prevención y control de incendios</v>
      </c>
      <c r="Z34" s="227" t="str">
        <f t="shared" si="3"/>
        <v>O23011745032024025505035</v>
      </c>
      <c r="AA34" s="227" t="str">
        <f>IFERROR(VLOOKUP(Y34,TD!$K$47:$L$65,2,0)," ")</f>
        <v>PM/0131/0105/45030350255</v>
      </c>
      <c r="AB34" s="128" t="s">
        <v>138</v>
      </c>
      <c r="AC34" s="228" t="s">
        <v>204</v>
      </c>
    </row>
    <row r="35" spans="2:29" s="28" customFormat="1" ht="99" customHeight="1" x14ac:dyDescent="0.35">
      <c r="B35" s="77">
        <v>20250689</v>
      </c>
      <c r="C35" s="50" t="s">
        <v>209</v>
      </c>
      <c r="D35" s="218" t="s">
        <v>167</v>
      </c>
      <c r="E35" s="219" t="s">
        <v>509</v>
      </c>
      <c r="F35" s="218" t="s">
        <v>373</v>
      </c>
      <c r="G35" s="218" t="s">
        <v>155</v>
      </c>
      <c r="H35" s="93">
        <v>80111600</v>
      </c>
      <c r="I35" s="220">
        <v>9</v>
      </c>
      <c r="J35" s="220">
        <v>4</v>
      </c>
      <c r="K35" s="52">
        <v>0</v>
      </c>
      <c r="L35" s="53">
        <v>30600000</v>
      </c>
      <c r="M35" s="218" t="s">
        <v>465</v>
      </c>
      <c r="N35" s="53" t="s">
        <v>113</v>
      </c>
      <c r="O35" s="219" t="s">
        <v>221</v>
      </c>
      <c r="P35" s="221" t="str">
        <f>IFERROR(VLOOKUP(C35,TD!$B$33:$F$37,2,0)," ")</f>
        <v>O230117</v>
      </c>
      <c r="Q35" s="221" t="str">
        <f>IFERROR(VLOOKUP(C35,TD!$B$33:$F$37,3,0)," ")</f>
        <v>4503</v>
      </c>
      <c r="R35" s="221">
        <f>IFERROR(VLOOKUP(C35,TD!$B$33:$F$37,4,0)," ")</f>
        <v>20240255</v>
      </c>
      <c r="S35" s="219" t="s">
        <v>181</v>
      </c>
      <c r="T35" s="221" t="str">
        <f>IFERROR(VLOOKUP(S35,TD!$J$34:$K$44,2,0)," ")</f>
        <v>Servicio de inspecciones técnicas realizadas</v>
      </c>
      <c r="U35" s="222" t="str">
        <f t="shared" si="0"/>
        <v>06-Servicio de inspecciones técnicas realizadas</v>
      </c>
      <c r="V35" s="219" t="s">
        <v>234</v>
      </c>
      <c r="W35" s="221" t="str">
        <f>IFERROR(VLOOKUP(V35,TD!$N$34:$O$46,2,0)," ")</f>
        <v>Servicio prevención y control de incendios</v>
      </c>
      <c r="X35" s="222" t="str">
        <f t="shared" si="1"/>
        <v>035_Servicio prevención y control de incendios</v>
      </c>
      <c r="Y35" s="222" t="str">
        <f t="shared" si="2"/>
        <v>06-Servicio de inspecciones técnicas realizadas 035_Servicio prevención y control de incendios</v>
      </c>
      <c r="Z35" s="221" t="str">
        <f t="shared" si="3"/>
        <v>O23011745032024025506035</v>
      </c>
      <c r="AA35" s="221" t="str">
        <f>IFERROR(VLOOKUP(Y35,TD!$K$47:$L$65,2,0)," ")</f>
        <v>PM/0131/0106/45030350255</v>
      </c>
      <c r="AB35" s="53" t="s">
        <v>138</v>
      </c>
      <c r="AC35" s="223" t="s">
        <v>204</v>
      </c>
    </row>
    <row r="36" spans="2:29" s="28" customFormat="1" ht="99" customHeight="1" x14ac:dyDescent="0.35">
      <c r="B36" s="130">
        <v>20250698</v>
      </c>
      <c r="C36" s="132" t="s">
        <v>209</v>
      </c>
      <c r="D36" s="224" t="s">
        <v>165</v>
      </c>
      <c r="E36" s="225" t="s">
        <v>486</v>
      </c>
      <c r="F36" s="224" t="s">
        <v>995</v>
      </c>
      <c r="G36" s="224" t="s">
        <v>155</v>
      </c>
      <c r="H36" s="133">
        <v>80111600</v>
      </c>
      <c r="I36" s="226">
        <v>5</v>
      </c>
      <c r="J36" s="226">
        <v>3</v>
      </c>
      <c r="K36" s="129">
        <v>0</v>
      </c>
      <c r="L36" s="128">
        <v>15483000</v>
      </c>
      <c r="M36" s="224" t="s">
        <v>465</v>
      </c>
      <c r="N36" s="128" t="s">
        <v>113</v>
      </c>
      <c r="O36" s="225" t="s">
        <v>229</v>
      </c>
      <c r="P36" s="227" t="str">
        <f>IFERROR(VLOOKUP(C36,TD!$B$33:$F$37,2,0)," ")</f>
        <v>O230117</v>
      </c>
      <c r="Q36" s="227" t="str">
        <f>IFERROR(VLOOKUP(C36,TD!$B$33:$F$37,3,0)," ")</f>
        <v>4503</v>
      </c>
      <c r="R36" s="227">
        <f>IFERROR(VLOOKUP(C36,TD!$B$33:$F$37,4,0)," ")</f>
        <v>20240255</v>
      </c>
      <c r="S36" s="225" t="s">
        <v>183</v>
      </c>
      <c r="T36" s="227" t="str">
        <f>IFERROR(VLOOKUP(S36,TD!$J$34:$K$44,2,0)," ")</f>
        <v>Servicio de formación en gestión del riesgo de incendios para el personal UAECOB</v>
      </c>
      <c r="U36" s="222" t="str">
        <f t="shared" si="0"/>
        <v>07-Servicio de formación en gestión del riesgo de incendios para el personal UAECOB</v>
      </c>
      <c r="V36" s="225" t="s">
        <v>233</v>
      </c>
      <c r="W36" s="227" t="str">
        <f>IFERROR(VLOOKUP(V36,TD!$N$34:$O$46,2,0)," ")</f>
        <v>Servicio de educación informal</v>
      </c>
      <c r="X36" s="222" t="str">
        <f t="shared" si="1"/>
        <v>002_Servicio de educación informal</v>
      </c>
      <c r="Y36" s="222" t="str">
        <f t="shared" si="2"/>
        <v>07-Servicio de formación en gestión del riesgo de incendios para el personal UAECOB 002_Servicio de educación informal</v>
      </c>
      <c r="Z36" s="227" t="str">
        <f t="shared" si="3"/>
        <v>O23011745032024025507002</v>
      </c>
      <c r="AA36" s="227" t="str">
        <f>IFERROR(VLOOKUP(Y36,TD!$K$47:$L$65,2,0)," ")</f>
        <v>PM/0131/0107/45030020255</v>
      </c>
      <c r="AB36" s="128" t="s">
        <v>138</v>
      </c>
      <c r="AC36" s="228" t="s">
        <v>204</v>
      </c>
    </row>
    <row r="37" spans="2:29" s="28" customFormat="1" ht="99" customHeight="1" x14ac:dyDescent="0.35">
      <c r="B37" s="130">
        <v>20250699</v>
      </c>
      <c r="C37" s="132" t="s">
        <v>209</v>
      </c>
      <c r="D37" s="224" t="s">
        <v>165</v>
      </c>
      <c r="E37" s="225" t="s">
        <v>486</v>
      </c>
      <c r="F37" s="224" t="s">
        <v>993</v>
      </c>
      <c r="G37" s="224" t="s">
        <v>155</v>
      </c>
      <c r="H37" s="133">
        <v>80111600</v>
      </c>
      <c r="I37" s="226">
        <v>5</v>
      </c>
      <c r="J37" s="226">
        <v>4</v>
      </c>
      <c r="K37" s="129">
        <v>0</v>
      </c>
      <c r="L37" s="128">
        <v>20644000</v>
      </c>
      <c r="M37" s="224" t="s">
        <v>465</v>
      </c>
      <c r="N37" s="128" t="s">
        <v>113</v>
      </c>
      <c r="O37" s="225" t="s">
        <v>229</v>
      </c>
      <c r="P37" s="227" t="str">
        <f>IFERROR(VLOOKUP(C37,TD!$B$33:$F$37,2,0)," ")</f>
        <v>O230117</v>
      </c>
      <c r="Q37" s="227" t="str">
        <f>IFERROR(VLOOKUP(C37,TD!$B$33:$F$37,3,0)," ")</f>
        <v>4503</v>
      </c>
      <c r="R37" s="227">
        <f>IFERROR(VLOOKUP(C37,TD!$B$33:$F$37,4,0)," ")</f>
        <v>20240255</v>
      </c>
      <c r="S37" s="225" t="s">
        <v>183</v>
      </c>
      <c r="T37" s="227" t="str">
        <f>IFERROR(VLOOKUP(S37,TD!$J$34:$K$44,2,0)," ")</f>
        <v>Servicio de formación en gestión del riesgo de incendios para el personal UAECOB</v>
      </c>
      <c r="U37" s="222" t="str">
        <f t="shared" si="0"/>
        <v>07-Servicio de formación en gestión del riesgo de incendios para el personal UAECOB</v>
      </c>
      <c r="V37" s="225" t="s">
        <v>233</v>
      </c>
      <c r="W37" s="227" t="str">
        <f>IFERROR(VLOOKUP(V37,TD!$N$34:$O$46,2,0)," ")</f>
        <v>Servicio de educación informal</v>
      </c>
      <c r="X37" s="222" t="str">
        <f t="shared" si="1"/>
        <v>002_Servicio de educación informal</v>
      </c>
      <c r="Y37" s="222" t="str">
        <f t="shared" si="2"/>
        <v>07-Servicio de formación en gestión del riesgo de incendios para el personal UAECOB 002_Servicio de educación informal</v>
      </c>
      <c r="Z37" s="227" t="str">
        <f t="shared" si="3"/>
        <v>O23011745032024025507002</v>
      </c>
      <c r="AA37" s="227" t="str">
        <f>IFERROR(VLOOKUP(Y37,TD!$K$47:$L$65,2,0)," ")</f>
        <v>PM/0131/0107/45030020255</v>
      </c>
      <c r="AB37" s="128" t="s">
        <v>138</v>
      </c>
      <c r="AC37" s="228" t="s">
        <v>204</v>
      </c>
    </row>
    <row r="38" spans="2:29" s="28" customFormat="1" ht="99" customHeight="1" x14ac:dyDescent="0.35">
      <c r="B38" s="130">
        <v>20250743</v>
      </c>
      <c r="C38" s="132" t="s">
        <v>209</v>
      </c>
      <c r="D38" s="224" t="s">
        <v>167</v>
      </c>
      <c r="E38" s="225" t="s">
        <v>509</v>
      </c>
      <c r="F38" s="224" t="s">
        <v>516</v>
      </c>
      <c r="G38" s="224" t="s">
        <v>155</v>
      </c>
      <c r="H38" s="133">
        <v>80111600</v>
      </c>
      <c r="I38" s="226">
        <v>9</v>
      </c>
      <c r="J38" s="226">
        <v>4</v>
      </c>
      <c r="K38" s="129">
        <v>0</v>
      </c>
      <c r="L38" s="128">
        <f>20000000+4000000</f>
        <v>24000000</v>
      </c>
      <c r="M38" s="189" t="s">
        <v>465</v>
      </c>
      <c r="N38" s="128" t="s">
        <v>113</v>
      </c>
      <c r="O38" s="225" t="s">
        <v>221</v>
      </c>
      <c r="P38" s="227" t="str">
        <f>IFERROR(VLOOKUP(C38,TD!$B$33:$F$37,2,0)," ")</f>
        <v>O230117</v>
      </c>
      <c r="Q38" s="227" t="str">
        <f>IFERROR(VLOOKUP(C38,TD!$B$33:$F$37,3,0)," ")</f>
        <v>4503</v>
      </c>
      <c r="R38" s="227">
        <f>IFERROR(VLOOKUP(C38,TD!$B$33:$F$37,4,0)," ")</f>
        <v>20240255</v>
      </c>
      <c r="S38" s="225" t="s">
        <v>177</v>
      </c>
      <c r="T38" s="227" t="str">
        <f>IFERROR(VLOOKUP(S38,TD!$J$34:$K$44,2,0)," ")</f>
        <v>Servicio de capacitaciones en gestión del riesgo de incendios  a la ciudadania.</v>
      </c>
      <c r="U38" s="222" t="str">
        <f t="shared" si="0"/>
        <v>05-Servicio de capacitaciones en gestión del riesgo de incendios  a la ciudadania.</v>
      </c>
      <c r="V38" s="225" t="s">
        <v>233</v>
      </c>
      <c r="W38" s="227" t="str">
        <f>IFERROR(VLOOKUP(V38,TD!$N$34:$O$46,2,0)," ")</f>
        <v>Servicio de educación informal</v>
      </c>
      <c r="X38" s="222" t="str">
        <f t="shared" si="1"/>
        <v>002_Servicio de educación informal</v>
      </c>
      <c r="Y38" s="222" t="str">
        <f t="shared" si="2"/>
        <v>05-Servicio de capacitaciones en gestión del riesgo de incendios  a la ciudadania. 002_Servicio de educación informal</v>
      </c>
      <c r="Z38" s="227" t="str">
        <f t="shared" si="3"/>
        <v>O23011745032024025505002</v>
      </c>
      <c r="AA38" s="227" t="str">
        <f>IFERROR(VLOOKUP(Y38,TD!$K$47:$L$65,2,0)," ")</f>
        <v>PM/0131/0105/45030020255</v>
      </c>
      <c r="AB38" s="128" t="s">
        <v>138</v>
      </c>
      <c r="AC38" s="228" t="s">
        <v>204</v>
      </c>
    </row>
    <row r="39" spans="2:29" s="28" customFormat="1" ht="99" customHeight="1" x14ac:dyDescent="0.35">
      <c r="B39" s="230">
        <v>20250854</v>
      </c>
      <c r="C39" s="231" t="s">
        <v>208</v>
      </c>
      <c r="D39" s="229" t="s">
        <v>161</v>
      </c>
      <c r="E39" s="232" t="s">
        <v>355</v>
      </c>
      <c r="F39" s="229" t="s">
        <v>1072</v>
      </c>
      <c r="G39" s="229" t="s">
        <v>155</v>
      </c>
      <c r="H39" s="233">
        <v>80111600</v>
      </c>
      <c r="I39" s="234">
        <v>8</v>
      </c>
      <c r="J39" s="234">
        <v>3</v>
      </c>
      <c r="K39" s="235">
        <v>0</v>
      </c>
      <c r="L39" s="236">
        <v>15000000</v>
      </c>
      <c r="M39" s="140" t="s">
        <v>465</v>
      </c>
      <c r="N39" s="53" t="s">
        <v>113</v>
      </c>
      <c r="O39" s="219" t="s">
        <v>220</v>
      </c>
      <c r="P39" s="237" t="str">
        <f>IFERROR(VLOOKUP(C39,TD!$B$33:$F$37,2,0)," ")</f>
        <v>O230117</v>
      </c>
      <c r="Q39" s="237" t="str">
        <f>IFERROR(VLOOKUP(C39,TD!$B$33:$F$37,3,0)," ")</f>
        <v>4599</v>
      </c>
      <c r="R39" s="237">
        <f>IFERROR(VLOOKUP(C39,TD!$B$33:$F$37,4,0)," ")</f>
        <v>20240207</v>
      </c>
      <c r="S39" s="232" t="s">
        <v>193</v>
      </c>
      <c r="T39" s="221" t="str">
        <f>IFERROR(VLOOKUP(S39,TD!$J$34:$K$44,2,0)," ")</f>
        <v>Servicios para la planeación y sistemas de gestión y comunicación estratégica</v>
      </c>
      <c r="U39" s="222" t="str">
        <f t="shared" si="0"/>
        <v>13-Servicios para la planeación y sistemas de gestión y comunicación estratégica</v>
      </c>
      <c r="V39" s="219" t="s">
        <v>242</v>
      </c>
      <c r="W39" s="221" t="str">
        <f>IFERROR(VLOOKUP(V39,TD!$N$34:$O$46,2,0)," ")</f>
        <v>Documentos de planeación</v>
      </c>
      <c r="X39" s="222" t="str">
        <f t="shared" si="1"/>
        <v>019_Documentos de planeación</v>
      </c>
      <c r="Y39" s="222" t="str">
        <f t="shared" si="2"/>
        <v>13-Servicios para la planeación y sistemas de gestión y comunicación estratégica 019_Documentos de planeación</v>
      </c>
      <c r="Z39" s="237" t="str">
        <f t="shared" si="3"/>
        <v>O23011745992024020713019</v>
      </c>
      <c r="AA39" s="237" t="str">
        <f>IFERROR(VLOOKUP(Y39,TD!$K$47:$L$65,2,0)," ")</f>
        <v>PM/0131/0113/45990190207</v>
      </c>
      <c r="AB39" s="53" t="s">
        <v>138</v>
      </c>
      <c r="AC39" s="238" t="s">
        <v>205</v>
      </c>
    </row>
    <row r="40" spans="2:29" s="28" customFormat="1" ht="99" customHeight="1" x14ac:dyDescent="0.35">
      <c r="B40" s="230">
        <v>20250855</v>
      </c>
      <c r="C40" s="231" t="s">
        <v>209</v>
      </c>
      <c r="D40" s="229" t="s">
        <v>166</v>
      </c>
      <c r="E40" s="219" t="s">
        <v>565</v>
      </c>
      <c r="F40" s="229" t="s">
        <v>1073</v>
      </c>
      <c r="G40" s="229" t="s">
        <v>96</v>
      </c>
      <c r="H40" s="233" t="s">
        <v>1082</v>
      </c>
      <c r="I40" s="234">
        <v>8</v>
      </c>
      <c r="J40" s="234">
        <v>2</v>
      </c>
      <c r="K40" s="235">
        <v>0</v>
      </c>
      <c r="L40" s="236">
        <v>40000000</v>
      </c>
      <c r="M40" s="239" t="s">
        <v>465</v>
      </c>
      <c r="N40" s="236" t="s">
        <v>123</v>
      </c>
      <c r="O40" s="219" t="s">
        <v>1088</v>
      </c>
      <c r="P40" s="237" t="str">
        <f>IFERROR(VLOOKUP(C40,TD!$B$33:$F$37,2,0)," ")</f>
        <v>O230117</v>
      </c>
      <c r="Q40" s="237" t="str">
        <f>IFERROR(VLOOKUP(C40,TD!$B$33:$F$37,3,0)," ")</f>
        <v>4503</v>
      </c>
      <c r="R40" s="237">
        <f>IFERROR(VLOOKUP(C40,TD!$B$33:$F$37,4,0)," ")</f>
        <v>20240255</v>
      </c>
      <c r="S40" s="232" t="s">
        <v>185</v>
      </c>
      <c r="T40" s="221" t="str">
        <f>IFERROR(VLOOKUP(S40,TD!$J$34:$K$44,2,0)," ")</f>
        <v>Infraestructura física, mantenimiento y dotación (Sedes construidas, mantenidas reforzadas)</v>
      </c>
      <c r="U40" s="222" t="str">
        <f t="shared" si="0"/>
        <v>08-Infraestructura física, mantenimiento y dotación (Sedes construidas, mantenidas reforzadas)</v>
      </c>
      <c r="V40" s="219" t="s">
        <v>236</v>
      </c>
      <c r="W40" s="221" t="str">
        <f>IFERROR(VLOOKUP(V40,TD!$N$34:$O$46,2,0)," ")</f>
        <v>Estaciones de bomberos adecuadas</v>
      </c>
      <c r="X40" s="222" t="str">
        <f t="shared" si="1"/>
        <v>014_Estaciones de bomberos adecuadas</v>
      </c>
      <c r="Y40" s="222" t="str">
        <f t="shared" si="2"/>
        <v>08-Infraestructura física, mantenimiento y dotación (Sedes construidas, mantenidas reforzadas) 014_Estaciones de bomberos adecuadas</v>
      </c>
      <c r="Z40" s="237" t="str">
        <f t="shared" si="3"/>
        <v>O23011745032024025508014</v>
      </c>
      <c r="AA40" s="237" t="str">
        <f>IFERROR(VLOOKUP(Y40,TD!$K$47:$L$65,2,0)," ")</f>
        <v>PM/0131/0108/45030140255</v>
      </c>
      <c r="AB40" s="236" t="s">
        <v>1089</v>
      </c>
      <c r="AC40" s="238" t="s">
        <v>204</v>
      </c>
    </row>
    <row r="41" spans="2:29" s="28" customFormat="1" ht="99" customHeight="1" x14ac:dyDescent="0.35">
      <c r="B41" s="77">
        <v>20250856</v>
      </c>
      <c r="C41" s="231" t="s">
        <v>209</v>
      </c>
      <c r="D41" s="229" t="s">
        <v>166</v>
      </c>
      <c r="E41" s="219" t="s">
        <v>565</v>
      </c>
      <c r="F41" s="218" t="s">
        <v>1074</v>
      </c>
      <c r="G41" s="218" t="s">
        <v>109</v>
      </c>
      <c r="H41" s="93" t="s">
        <v>603</v>
      </c>
      <c r="I41" s="220">
        <v>8</v>
      </c>
      <c r="J41" s="220">
        <v>3</v>
      </c>
      <c r="K41" s="52">
        <v>0</v>
      </c>
      <c r="L41" s="53">
        <v>300000000</v>
      </c>
      <c r="M41" s="239" t="s">
        <v>465</v>
      </c>
      <c r="N41" s="53" t="s">
        <v>95</v>
      </c>
      <c r="O41" s="219" t="s">
        <v>1088</v>
      </c>
      <c r="P41" s="221" t="str">
        <f>IFERROR(VLOOKUP(C41,TD!$B$33:$F$37,2,0)," ")</f>
        <v>O230117</v>
      </c>
      <c r="Q41" s="221" t="str">
        <f>IFERROR(VLOOKUP(C41,TD!$B$33:$F$37,3,0)," ")</f>
        <v>4503</v>
      </c>
      <c r="R41" s="221">
        <f>IFERROR(VLOOKUP(C41,TD!$B$33:$F$37,4,0)," ")</f>
        <v>20240255</v>
      </c>
      <c r="S41" s="232" t="s">
        <v>185</v>
      </c>
      <c r="T41" s="221" t="str">
        <f>IFERROR(VLOOKUP(S41,TD!$J$34:$K$44,2,0)," ")</f>
        <v>Infraestructura física, mantenimiento y dotación (Sedes construidas, mantenidas reforzadas)</v>
      </c>
      <c r="U41" s="222" t="str">
        <f t="shared" si="0"/>
        <v>08-Infraestructura física, mantenimiento y dotación (Sedes construidas, mantenidas reforzadas)</v>
      </c>
      <c r="V41" s="219" t="s">
        <v>236</v>
      </c>
      <c r="W41" s="221" t="str">
        <f>IFERROR(VLOOKUP(V41,TD!$N$34:$O$46,2,0)," ")</f>
        <v>Estaciones de bomberos adecuadas</v>
      </c>
      <c r="X41" s="222" t="str">
        <f t="shared" si="1"/>
        <v>014_Estaciones de bomberos adecuadas</v>
      </c>
      <c r="Y41" s="222" t="str">
        <f t="shared" si="2"/>
        <v>08-Infraestructura física, mantenimiento y dotación (Sedes construidas, mantenidas reforzadas) 014_Estaciones de bomberos adecuadas</v>
      </c>
      <c r="Z41" s="221" t="str">
        <f t="shared" si="3"/>
        <v>O23011745032024025508014</v>
      </c>
      <c r="AA41" s="221" t="str">
        <f>IFERROR(VLOOKUP(Y41,TD!$K$47:$L$65,2,0)," ")</f>
        <v>PM/0131/0108/45030140255</v>
      </c>
      <c r="AB41" s="53" t="s">
        <v>87</v>
      </c>
      <c r="AC41" s="223" t="s">
        <v>204</v>
      </c>
    </row>
    <row r="42" spans="2:29" s="28" customFormat="1" ht="99" customHeight="1" x14ac:dyDescent="0.35">
      <c r="B42" s="77">
        <v>20250857</v>
      </c>
      <c r="C42" s="231" t="s">
        <v>209</v>
      </c>
      <c r="D42" s="229" t="s">
        <v>166</v>
      </c>
      <c r="E42" s="219" t="s">
        <v>565</v>
      </c>
      <c r="F42" s="218" t="s">
        <v>1075</v>
      </c>
      <c r="G42" s="218" t="s">
        <v>109</v>
      </c>
      <c r="H42" s="93" t="s">
        <v>1083</v>
      </c>
      <c r="I42" s="220">
        <v>9</v>
      </c>
      <c r="J42" s="220">
        <v>3</v>
      </c>
      <c r="K42" s="52">
        <v>0</v>
      </c>
      <c r="L42" s="53">
        <v>108000000</v>
      </c>
      <c r="M42" s="239" t="s">
        <v>465</v>
      </c>
      <c r="N42" s="53" t="s">
        <v>95</v>
      </c>
      <c r="O42" s="219" t="s">
        <v>1088</v>
      </c>
      <c r="P42" s="221" t="str">
        <f>IFERROR(VLOOKUP(C42,TD!$B$33:$F$37,2,0)," ")</f>
        <v>O230117</v>
      </c>
      <c r="Q42" s="221" t="str">
        <f>IFERROR(VLOOKUP(C42,TD!$B$33:$F$37,3,0)," ")</f>
        <v>4503</v>
      </c>
      <c r="R42" s="221">
        <f>IFERROR(VLOOKUP(C42,TD!$B$33:$F$37,4,0)," ")</f>
        <v>20240255</v>
      </c>
      <c r="S42" s="232" t="s">
        <v>185</v>
      </c>
      <c r="T42" s="221" t="str">
        <f>IFERROR(VLOOKUP(S42,TD!$J$34:$K$44,2,0)," ")</f>
        <v>Infraestructura física, mantenimiento y dotación (Sedes construidas, mantenidas reforzadas)</v>
      </c>
      <c r="U42" s="222" t="str">
        <f t="shared" si="0"/>
        <v>08-Infraestructura física, mantenimiento y dotación (Sedes construidas, mantenidas reforzadas)</v>
      </c>
      <c r="V42" s="219" t="s">
        <v>236</v>
      </c>
      <c r="W42" s="221" t="str">
        <f>IFERROR(VLOOKUP(V42,TD!$N$34:$O$46,2,0)," ")</f>
        <v>Estaciones de bomberos adecuadas</v>
      </c>
      <c r="X42" s="222" t="str">
        <f t="shared" si="1"/>
        <v>014_Estaciones de bomberos adecuadas</v>
      </c>
      <c r="Y42" s="222" t="str">
        <f t="shared" si="2"/>
        <v>08-Infraestructura física, mantenimiento y dotación (Sedes construidas, mantenidas reforzadas) 014_Estaciones de bomberos adecuadas</v>
      </c>
      <c r="Z42" s="221" t="str">
        <f t="shared" si="3"/>
        <v>O23011745032024025508014</v>
      </c>
      <c r="AA42" s="221" t="str">
        <f>IFERROR(VLOOKUP(Y42,TD!$K$47:$L$65,2,0)," ")</f>
        <v>PM/0131/0108/45030140255</v>
      </c>
      <c r="AB42" s="53" t="s">
        <v>87</v>
      </c>
      <c r="AC42" s="223" t="s">
        <v>204</v>
      </c>
    </row>
    <row r="43" spans="2:29" s="28" customFormat="1" ht="99" customHeight="1" x14ac:dyDescent="0.35">
      <c r="B43" s="77">
        <v>20250858</v>
      </c>
      <c r="C43" s="231" t="s">
        <v>209</v>
      </c>
      <c r="D43" s="229" t="s">
        <v>166</v>
      </c>
      <c r="E43" s="219" t="s">
        <v>565</v>
      </c>
      <c r="F43" s="218" t="s">
        <v>1076</v>
      </c>
      <c r="G43" s="218" t="s">
        <v>109</v>
      </c>
      <c r="H43" s="93" t="s">
        <v>1084</v>
      </c>
      <c r="I43" s="220">
        <v>9</v>
      </c>
      <c r="J43" s="220">
        <v>3</v>
      </c>
      <c r="K43" s="52">
        <v>0</v>
      </c>
      <c r="L43" s="53">
        <v>111000000</v>
      </c>
      <c r="M43" s="239" t="s">
        <v>465</v>
      </c>
      <c r="N43" s="53" t="s">
        <v>95</v>
      </c>
      <c r="O43" s="219" t="s">
        <v>1088</v>
      </c>
      <c r="P43" s="221" t="str">
        <f>IFERROR(VLOOKUP(C43,TD!$B$33:$F$37,2,0)," ")</f>
        <v>O230117</v>
      </c>
      <c r="Q43" s="221" t="str">
        <f>IFERROR(VLOOKUP(C43,TD!$B$33:$F$37,3,0)," ")</f>
        <v>4503</v>
      </c>
      <c r="R43" s="221">
        <f>IFERROR(VLOOKUP(C43,TD!$B$33:$F$37,4,0)," ")</f>
        <v>20240255</v>
      </c>
      <c r="S43" s="232" t="s">
        <v>185</v>
      </c>
      <c r="T43" s="221" t="str">
        <f>IFERROR(VLOOKUP(S43,TD!$J$34:$K$44,2,0)," ")</f>
        <v>Infraestructura física, mantenimiento y dotación (Sedes construidas, mantenidas reforzadas)</v>
      </c>
      <c r="U43" s="222" t="str">
        <f t="shared" si="0"/>
        <v>08-Infraestructura física, mantenimiento y dotación (Sedes construidas, mantenidas reforzadas)</v>
      </c>
      <c r="V43" s="219" t="s">
        <v>236</v>
      </c>
      <c r="W43" s="221" t="str">
        <f>IFERROR(VLOOKUP(V43,TD!$N$34:$O$46,2,0)," ")</f>
        <v>Estaciones de bomberos adecuadas</v>
      </c>
      <c r="X43" s="222" t="str">
        <f t="shared" si="1"/>
        <v>014_Estaciones de bomberos adecuadas</v>
      </c>
      <c r="Y43" s="222" t="str">
        <f t="shared" si="2"/>
        <v>08-Infraestructura física, mantenimiento y dotación (Sedes construidas, mantenidas reforzadas) 014_Estaciones de bomberos adecuadas</v>
      </c>
      <c r="Z43" s="221" t="str">
        <f t="shared" si="3"/>
        <v>O23011745032024025508014</v>
      </c>
      <c r="AA43" s="221" t="str">
        <f>IFERROR(VLOOKUP(Y43,TD!$K$47:$L$65,2,0)," ")</f>
        <v>PM/0131/0108/45030140255</v>
      </c>
      <c r="AB43" s="53" t="s">
        <v>87</v>
      </c>
      <c r="AC43" s="223" t="s">
        <v>204</v>
      </c>
    </row>
    <row r="44" spans="2:29" s="28" customFormat="1" ht="99" customHeight="1" x14ac:dyDescent="0.35">
      <c r="B44" s="77">
        <v>20250859</v>
      </c>
      <c r="C44" s="231" t="s">
        <v>209</v>
      </c>
      <c r="D44" s="229" t="s">
        <v>166</v>
      </c>
      <c r="E44" s="219" t="s">
        <v>565</v>
      </c>
      <c r="F44" s="218" t="s">
        <v>1077</v>
      </c>
      <c r="G44" s="218" t="s">
        <v>109</v>
      </c>
      <c r="H44" s="93" t="s">
        <v>1085</v>
      </c>
      <c r="I44" s="220">
        <v>9</v>
      </c>
      <c r="J44" s="220">
        <v>3</v>
      </c>
      <c r="K44" s="52">
        <v>0</v>
      </c>
      <c r="L44" s="53">
        <v>66000000</v>
      </c>
      <c r="M44" s="239" t="s">
        <v>465</v>
      </c>
      <c r="N44" s="53" t="s">
        <v>95</v>
      </c>
      <c r="O44" s="219" t="s">
        <v>1088</v>
      </c>
      <c r="P44" s="221" t="str">
        <f>IFERROR(VLOOKUP(C44,TD!$B$33:$F$37,2,0)," ")</f>
        <v>O230117</v>
      </c>
      <c r="Q44" s="221" t="str">
        <f>IFERROR(VLOOKUP(C44,TD!$B$33:$F$37,3,0)," ")</f>
        <v>4503</v>
      </c>
      <c r="R44" s="221">
        <f>IFERROR(VLOOKUP(C44,TD!$B$33:$F$37,4,0)," ")</f>
        <v>20240255</v>
      </c>
      <c r="S44" s="232" t="s">
        <v>185</v>
      </c>
      <c r="T44" s="221" t="str">
        <f>IFERROR(VLOOKUP(S44,TD!$J$34:$K$44,2,0)," ")</f>
        <v>Infraestructura física, mantenimiento y dotación (Sedes construidas, mantenidas reforzadas)</v>
      </c>
      <c r="U44" s="222" t="str">
        <f t="shared" si="0"/>
        <v>08-Infraestructura física, mantenimiento y dotación (Sedes construidas, mantenidas reforzadas)</v>
      </c>
      <c r="V44" s="219" t="s">
        <v>236</v>
      </c>
      <c r="W44" s="221" t="str">
        <f>IFERROR(VLOOKUP(V44,TD!$N$34:$O$46,2,0)," ")</f>
        <v>Estaciones de bomberos adecuadas</v>
      </c>
      <c r="X44" s="222" t="str">
        <f t="shared" si="1"/>
        <v>014_Estaciones de bomberos adecuadas</v>
      </c>
      <c r="Y44" s="222" t="str">
        <f t="shared" si="2"/>
        <v>08-Infraestructura física, mantenimiento y dotación (Sedes construidas, mantenidas reforzadas) 014_Estaciones de bomberos adecuadas</v>
      </c>
      <c r="Z44" s="221" t="str">
        <f t="shared" si="3"/>
        <v>O23011745032024025508014</v>
      </c>
      <c r="AA44" s="221" t="str">
        <f>IFERROR(VLOOKUP(Y44,TD!$K$47:$L$65,2,0)," ")</f>
        <v>PM/0131/0108/45030140255</v>
      </c>
      <c r="AB44" s="53" t="s">
        <v>87</v>
      </c>
      <c r="AC44" s="223" t="s">
        <v>204</v>
      </c>
    </row>
    <row r="45" spans="2:29" s="28" customFormat="1" ht="99" customHeight="1" x14ac:dyDescent="0.35">
      <c r="B45" s="77">
        <v>20250860</v>
      </c>
      <c r="C45" s="231" t="s">
        <v>209</v>
      </c>
      <c r="D45" s="229" t="s">
        <v>166</v>
      </c>
      <c r="E45" s="219" t="s">
        <v>565</v>
      </c>
      <c r="F45" s="218" t="s">
        <v>955</v>
      </c>
      <c r="G45" s="218" t="s">
        <v>109</v>
      </c>
      <c r="H45" s="93" t="s">
        <v>863</v>
      </c>
      <c r="I45" s="220">
        <v>8</v>
      </c>
      <c r="J45" s="220">
        <v>2</v>
      </c>
      <c r="K45" s="52">
        <v>0</v>
      </c>
      <c r="L45" s="53">
        <v>34000000</v>
      </c>
      <c r="M45" s="239" t="s">
        <v>465</v>
      </c>
      <c r="N45" s="53" t="s">
        <v>100</v>
      </c>
      <c r="O45" s="219" t="s">
        <v>1088</v>
      </c>
      <c r="P45" s="221" t="str">
        <f>IFERROR(VLOOKUP(C45,TD!$B$33:$F$37,2,0)," ")</f>
        <v>O230117</v>
      </c>
      <c r="Q45" s="221" t="str">
        <f>IFERROR(VLOOKUP(C45,TD!$B$33:$F$37,3,0)," ")</f>
        <v>4503</v>
      </c>
      <c r="R45" s="221">
        <f>IFERROR(VLOOKUP(C45,TD!$B$33:$F$37,4,0)," ")</f>
        <v>20240255</v>
      </c>
      <c r="S45" s="232" t="s">
        <v>185</v>
      </c>
      <c r="T45" s="221" t="str">
        <f>IFERROR(VLOOKUP(S45,TD!$J$34:$K$44,2,0)," ")</f>
        <v>Infraestructura física, mantenimiento y dotación (Sedes construidas, mantenidas reforzadas)</v>
      </c>
      <c r="U45" s="222" t="str">
        <f t="shared" si="0"/>
        <v>08-Infraestructura física, mantenimiento y dotación (Sedes construidas, mantenidas reforzadas)</v>
      </c>
      <c r="V45" s="219" t="s">
        <v>236</v>
      </c>
      <c r="W45" s="221" t="str">
        <f>IFERROR(VLOOKUP(V45,TD!$N$34:$O$46,2,0)," ")</f>
        <v>Estaciones de bomberos adecuadas</v>
      </c>
      <c r="X45" s="222" t="str">
        <f t="shared" si="1"/>
        <v>014_Estaciones de bomberos adecuadas</v>
      </c>
      <c r="Y45" s="222" t="str">
        <f t="shared" si="2"/>
        <v>08-Infraestructura física, mantenimiento y dotación (Sedes construidas, mantenidas reforzadas) 014_Estaciones de bomberos adecuadas</v>
      </c>
      <c r="Z45" s="221" t="str">
        <f t="shared" si="3"/>
        <v>O23011745032024025508014</v>
      </c>
      <c r="AA45" s="221" t="str">
        <f>IFERROR(VLOOKUP(Y45,TD!$K$47:$L$65,2,0)," ")</f>
        <v>PM/0131/0108/45030140255</v>
      </c>
      <c r="AB45" s="53" t="s">
        <v>1090</v>
      </c>
      <c r="AC45" s="223" t="s">
        <v>204</v>
      </c>
    </row>
    <row r="46" spans="2:29" s="28" customFormat="1" ht="99" customHeight="1" x14ac:dyDescent="0.35">
      <c r="B46" s="77">
        <v>20250861</v>
      </c>
      <c r="C46" s="231" t="s">
        <v>209</v>
      </c>
      <c r="D46" s="229" t="s">
        <v>166</v>
      </c>
      <c r="E46" s="219" t="s">
        <v>565</v>
      </c>
      <c r="F46" s="218" t="s">
        <v>1078</v>
      </c>
      <c r="G46" s="218" t="s">
        <v>109</v>
      </c>
      <c r="H46" s="93" t="s">
        <v>1086</v>
      </c>
      <c r="I46" s="220">
        <v>9</v>
      </c>
      <c r="J46" s="220">
        <v>2</v>
      </c>
      <c r="K46" s="52">
        <v>0</v>
      </c>
      <c r="L46" s="53">
        <v>82000000</v>
      </c>
      <c r="M46" s="239" t="s">
        <v>465</v>
      </c>
      <c r="N46" s="53" t="s">
        <v>95</v>
      </c>
      <c r="O46" s="219" t="s">
        <v>1088</v>
      </c>
      <c r="P46" s="221" t="str">
        <f>IFERROR(VLOOKUP(C46,TD!$B$33:$F$37,2,0)," ")</f>
        <v>O230117</v>
      </c>
      <c r="Q46" s="221" t="str">
        <f>IFERROR(VLOOKUP(C46,TD!$B$33:$F$37,3,0)," ")</f>
        <v>4503</v>
      </c>
      <c r="R46" s="221">
        <f>IFERROR(VLOOKUP(C46,TD!$B$33:$F$37,4,0)," ")</f>
        <v>20240255</v>
      </c>
      <c r="S46" s="232" t="s">
        <v>185</v>
      </c>
      <c r="T46" s="221" t="str">
        <f>IFERROR(VLOOKUP(S46,TD!$J$34:$K$44,2,0)," ")</f>
        <v>Infraestructura física, mantenimiento y dotación (Sedes construidas, mantenidas reforzadas)</v>
      </c>
      <c r="U46" s="222" t="str">
        <f t="shared" si="0"/>
        <v>08-Infraestructura física, mantenimiento y dotación (Sedes construidas, mantenidas reforzadas)</v>
      </c>
      <c r="V46" s="219" t="s">
        <v>236</v>
      </c>
      <c r="W46" s="221" t="str">
        <f>IFERROR(VLOOKUP(V46,TD!$N$34:$O$46,2,0)," ")</f>
        <v>Estaciones de bomberos adecuadas</v>
      </c>
      <c r="X46" s="222" t="str">
        <f t="shared" si="1"/>
        <v>014_Estaciones de bomberos adecuadas</v>
      </c>
      <c r="Y46" s="222" t="str">
        <f t="shared" si="2"/>
        <v>08-Infraestructura física, mantenimiento y dotación (Sedes construidas, mantenidas reforzadas) 014_Estaciones de bomberos adecuadas</v>
      </c>
      <c r="Z46" s="221" t="str">
        <f t="shared" si="3"/>
        <v>O23011745032024025508014</v>
      </c>
      <c r="AA46" s="221" t="str">
        <f>IFERROR(VLOOKUP(Y46,TD!$K$47:$L$65,2,0)," ")</f>
        <v>PM/0131/0108/45030140255</v>
      </c>
      <c r="AB46" s="53" t="s">
        <v>1091</v>
      </c>
      <c r="AC46" s="223" t="s">
        <v>204</v>
      </c>
    </row>
    <row r="47" spans="2:29" s="28" customFormat="1" ht="99" customHeight="1" x14ac:dyDescent="0.35">
      <c r="B47" s="77">
        <v>20250862</v>
      </c>
      <c r="C47" s="231" t="s">
        <v>209</v>
      </c>
      <c r="D47" s="229" t="s">
        <v>166</v>
      </c>
      <c r="E47" s="219" t="s">
        <v>565</v>
      </c>
      <c r="F47" s="218" t="s">
        <v>1079</v>
      </c>
      <c r="G47" s="218" t="s">
        <v>109</v>
      </c>
      <c r="H47" s="93" t="s">
        <v>1087</v>
      </c>
      <c r="I47" s="220">
        <v>8</v>
      </c>
      <c r="J47" s="220">
        <v>2</v>
      </c>
      <c r="K47" s="52">
        <v>0</v>
      </c>
      <c r="L47" s="53">
        <v>130000000</v>
      </c>
      <c r="M47" s="239" t="s">
        <v>465</v>
      </c>
      <c r="N47" s="53" t="s">
        <v>95</v>
      </c>
      <c r="O47" s="219" t="s">
        <v>1088</v>
      </c>
      <c r="P47" s="221" t="str">
        <f>IFERROR(VLOOKUP(C47,TD!$B$33:$F$37,2,0)," ")</f>
        <v>O230117</v>
      </c>
      <c r="Q47" s="221" t="str">
        <f>IFERROR(VLOOKUP(C47,TD!$B$33:$F$37,3,0)," ")</f>
        <v>4503</v>
      </c>
      <c r="R47" s="221">
        <f>IFERROR(VLOOKUP(C47,TD!$B$33:$F$37,4,0)," ")</f>
        <v>20240255</v>
      </c>
      <c r="S47" s="232" t="s">
        <v>185</v>
      </c>
      <c r="T47" s="221" t="str">
        <f>IFERROR(VLOOKUP(S47,TD!$J$34:$K$44,2,0)," ")</f>
        <v>Infraestructura física, mantenimiento y dotación (Sedes construidas, mantenidas reforzadas)</v>
      </c>
      <c r="U47" s="222" t="str">
        <f t="shared" si="0"/>
        <v>08-Infraestructura física, mantenimiento y dotación (Sedes construidas, mantenidas reforzadas)</v>
      </c>
      <c r="V47" s="219" t="s">
        <v>236</v>
      </c>
      <c r="W47" s="221" t="str">
        <f>IFERROR(VLOOKUP(V47,TD!$N$34:$O$46,2,0)," ")</f>
        <v>Estaciones de bomberos adecuadas</v>
      </c>
      <c r="X47" s="222" t="str">
        <f t="shared" si="1"/>
        <v>014_Estaciones de bomberos adecuadas</v>
      </c>
      <c r="Y47" s="222" t="str">
        <f t="shared" si="2"/>
        <v>08-Infraestructura física, mantenimiento y dotación (Sedes construidas, mantenidas reforzadas) 014_Estaciones de bomberos adecuadas</v>
      </c>
      <c r="Z47" s="221" t="str">
        <f t="shared" si="3"/>
        <v>O23011745032024025508014</v>
      </c>
      <c r="AA47" s="221" t="str">
        <f>IFERROR(VLOOKUP(Y47,TD!$K$47:$L$65,2,0)," ")</f>
        <v>PM/0131/0108/45030140255</v>
      </c>
      <c r="AB47" s="53" t="s">
        <v>87</v>
      </c>
      <c r="AC47" s="223" t="s">
        <v>204</v>
      </c>
    </row>
    <row r="48" spans="2:29" s="28" customFormat="1" ht="99" customHeight="1" x14ac:dyDescent="0.35">
      <c r="B48" s="77">
        <v>20250863</v>
      </c>
      <c r="C48" s="231" t="s">
        <v>209</v>
      </c>
      <c r="D48" s="229" t="s">
        <v>166</v>
      </c>
      <c r="E48" s="219" t="s">
        <v>565</v>
      </c>
      <c r="F48" s="218" t="s">
        <v>1080</v>
      </c>
      <c r="G48" s="218" t="s">
        <v>109</v>
      </c>
      <c r="H48" s="93" t="s">
        <v>861</v>
      </c>
      <c r="I48" s="220">
        <v>9</v>
      </c>
      <c r="J48" s="220">
        <v>3</v>
      </c>
      <c r="K48" s="52">
        <v>0</v>
      </c>
      <c r="L48" s="53">
        <v>119000000</v>
      </c>
      <c r="M48" s="239" t="s">
        <v>465</v>
      </c>
      <c r="N48" s="53" t="s">
        <v>95</v>
      </c>
      <c r="O48" s="219" t="s">
        <v>1088</v>
      </c>
      <c r="P48" s="221" t="str">
        <f>IFERROR(VLOOKUP(C48,TD!$B$33:$F$37,2,0)," ")</f>
        <v>O230117</v>
      </c>
      <c r="Q48" s="221" t="str">
        <f>IFERROR(VLOOKUP(C48,TD!$B$33:$F$37,3,0)," ")</f>
        <v>4503</v>
      </c>
      <c r="R48" s="221">
        <f>IFERROR(VLOOKUP(C48,TD!$B$33:$F$37,4,0)," ")</f>
        <v>20240255</v>
      </c>
      <c r="S48" s="232" t="s">
        <v>185</v>
      </c>
      <c r="T48" s="221" t="str">
        <f>IFERROR(VLOOKUP(S48,TD!$J$34:$K$44,2,0)," ")</f>
        <v>Infraestructura física, mantenimiento y dotación (Sedes construidas, mantenidas reforzadas)</v>
      </c>
      <c r="U48" s="222" t="str">
        <f t="shared" si="0"/>
        <v>08-Infraestructura física, mantenimiento y dotación (Sedes construidas, mantenidas reforzadas)</v>
      </c>
      <c r="V48" s="219" t="s">
        <v>236</v>
      </c>
      <c r="W48" s="221" t="str">
        <f>IFERROR(VLOOKUP(V48,TD!$N$34:$O$46,2,0)," ")</f>
        <v>Estaciones de bomberos adecuadas</v>
      </c>
      <c r="X48" s="222" t="str">
        <f t="shared" si="1"/>
        <v>014_Estaciones de bomberos adecuadas</v>
      </c>
      <c r="Y48" s="222" t="str">
        <f t="shared" si="2"/>
        <v>08-Infraestructura física, mantenimiento y dotación (Sedes construidas, mantenidas reforzadas) 014_Estaciones de bomberos adecuadas</v>
      </c>
      <c r="Z48" s="221" t="str">
        <f t="shared" si="3"/>
        <v>O23011745032024025508014</v>
      </c>
      <c r="AA48" s="221" t="str">
        <f>IFERROR(VLOOKUP(Y48,TD!$K$47:$L$65,2,0)," ")</f>
        <v>PM/0131/0108/45030140255</v>
      </c>
      <c r="AB48" s="53" t="s">
        <v>1092</v>
      </c>
      <c r="AC48" s="223" t="s">
        <v>204</v>
      </c>
    </row>
    <row r="49" spans="2:29" s="28" customFormat="1" ht="99" customHeight="1" x14ac:dyDescent="0.35">
      <c r="B49" s="77">
        <v>20250864</v>
      </c>
      <c r="C49" s="231" t="s">
        <v>209</v>
      </c>
      <c r="D49" s="229" t="s">
        <v>166</v>
      </c>
      <c r="E49" s="219" t="s">
        <v>565</v>
      </c>
      <c r="F49" s="218" t="s">
        <v>858</v>
      </c>
      <c r="G49" s="218" t="s">
        <v>109</v>
      </c>
      <c r="H49" s="93" t="s">
        <v>861</v>
      </c>
      <c r="I49" s="220">
        <v>8</v>
      </c>
      <c r="J49" s="220">
        <v>3</v>
      </c>
      <c r="K49" s="52">
        <v>0</v>
      </c>
      <c r="L49" s="53">
        <v>15000000</v>
      </c>
      <c r="M49" s="239" t="s">
        <v>465</v>
      </c>
      <c r="N49" s="53" t="s">
        <v>100</v>
      </c>
      <c r="O49" s="219" t="s">
        <v>1088</v>
      </c>
      <c r="P49" s="221" t="str">
        <f>IFERROR(VLOOKUP(C49,TD!$B$33:$F$37,2,0)," ")</f>
        <v>O230117</v>
      </c>
      <c r="Q49" s="221" t="str">
        <f>IFERROR(VLOOKUP(C49,TD!$B$33:$F$37,3,0)," ")</f>
        <v>4503</v>
      </c>
      <c r="R49" s="221">
        <f>IFERROR(VLOOKUP(C49,TD!$B$33:$F$37,4,0)," ")</f>
        <v>20240255</v>
      </c>
      <c r="S49" s="232" t="s">
        <v>185</v>
      </c>
      <c r="T49" s="221" t="str">
        <f>IFERROR(VLOOKUP(S49,TD!$J$34:$K$44,2,0)," ")</f>
        <v>Infraestructura física, mantenimiento y dotación (Sedes construidas, mantenidas reforzadas)</v>
      </c>
      <c r="U49" s="222" t="str">
        <f t="shared" si="0"/>
        <v>08-Infraestructura física, mantenimiento y dotación (Sedes construidas, mantenidas reforzadas)</v>
      </c>
      <c r="V49" s="219" t="s">
        <v>236</v>
      </c>
      <c r="W49" s="221" t="str">
        <f>IFERROR(VLOOKUP(V49,TD!$N$34:$O$46,2,0)," ")</f>
        <v>Estaciones de bomberos adecuadas</v>
      </c>
      <c r="X49" s="222" t="str">
        <f t="shared" si="1"/>
        <v>014_Estaciones de bomberos adecuadas</v>
      </c>
      <c r="Y49" s="222" t="str">
        <f t="shared" si="2"/>
        <v>08-Infraestructura física, mantenimiento y dotación (Sedes construidas, mantenidas reforzadas) 014_Estaciones de bomberos adecuadas</v>
      </c>
      <c r="Z49" s="221" t="str">
        <f t="shared" si="3"/>
        <v>O23011745032024025508014</v>
      </c>
      <c r="AA49" s="221" t="str">
        <f>IFERROR(VLOOKUP(Y49,TD!$K$47:$L$65,2,0)," ")</f>
        <v>PM/0131/0108/45030140255</v>
      </c>
      <c r="AB49" s="53" t="s">
        <v>1093</v>
      </c>
      <c r="AC49" s="223" t="s">
        <v>204</v>
      </c>
    </row>
    <row r="50" spans="2:29" s="28" customFormat="1" ht="99" customHeight="1" x14ac:dyDescent="0.35">
      <c r="B50" s="77">
        <v>20250865</v>
      </c>
      <c r="C50" s="231" t="s">
        <v>208</v>
      </c>
      <c r="D50" s="229" t="s">
        <v>166</v>
      </c>
      <c r="E50" s="219" t="s">
        <v>565</v>
      </c>
      <c r="F50" s="218" t="s">
        <v>1081</v>
      </c>
      <c r="G50" s="218" t="s">
        <v>96</v>
      </c>
      <c r="H50" s="93" t="s">
        <v>638</v>
      </c>
      <c r="I50" s="220">
        <v>9</v>
      </c>
      <c r="J50" s="220">
        <v>0</v>
      </c>
      <c r="K50" s="52">
        <v>15</v>
      </c>
      <c r="L50" s="53">
        <v>75000000</v>
      </c>
      <c r="M50" s="239" t="s">
        <v>465</v>
      </c>
      <c r="N50" s="53" t="s">
        <v>90</v>
      </c>
      <c r="O50" s="219" t="s">
        <v>218</v>
      </c>
      <c r="P50" s="221" t="str">
        <f>IFERROR(VLOOKUP(C50,TD!$B$33:$F$37,2,0)," ")</f>
        <v>O230117</v>
      </c>
      <c r="Q50" s="221" t="str">
        <f>IFERROR(VLOOKUP(C50,TD!$B$33:$F$37,3,0)," ")</f>
        <v>4599</v>
      </c>
      <c r="R50" s="221">
        <f>IFERROR(VLOOKUP(C50,TD!$B$33:$F$37,4,0)," ")</f>
        <v>20240207</v>
      </c>
      <c r="S50" s="232" t="s">
        <v>185</v>
      </c>
      <c r="T50" s="221" t="str">
        <f>IFERROR(VLOOKUP(S50,TD!$J$34:$K$44,2,0)," ")</f>
        <v>Infraestructura física, mantenimiento y dotación (Sedes construidas, mantenidas reforzadas)</v>
      </c>
      <c r="U50" s="222" t="str">
        <f t="shared" si="0"/>
        <v>08-Infraestructura física, mantenimiento y dotación (Sedes construidas, mantenidas reforzadas)</v>
      </c>
      <c r="V50" s="219" t="s">
        <v>238</v>
      </c>
      <c r="W50" s="221" t="str">
        <f>IFERROR(VLOOKUP(V50,TD!$N$34:$O$46,2,0)," ")</f>
        <v>Sedes mantenidas</v>
      </c>
      <c r="X50" s="222" t="str">
        <f t="shared" si="1"/>
        <v>016_Sedes mantenidas</v>
      </c>
      <c r="Y50" s="222" t="str">
        <f t="shared" si="2"/>
        <v>08-Infraestructura física, mantenimiento y dotación (Sedes construidas, mantenidas reforzadas) 016_Sedes mantenidas</v>
      </c>
      <c r="Z50" s="221" t="str">
        <f t="shared" si="3"/>
        <v>O23011745992024020708016</v>
      </c>
      <c r="AA50" s="221" t="str">
        <f>IFERROR(VLOOKUP(Y50,TD!$K$47:$L$65,2,0)," ")</f>
        <v>PM/0131/0108/45990160207</v>
      </c>
      <c r="AB50" s="53" t="s">
        <v>141</v>
      </c>
      <c r="AC50" s="223" t="s">
        <v>205</v>
      </c>
    </row>
    <row r="51" spans="2:29" s="28" customFormat="1" ht="99" customHeight="1" x14ac:dyDescent="0.35">
      <c r="B51" s="77">
        <v>20250866</v>
      </c>
      <c r="C51" s="231" t="s">
        <v>346</v>
      </c>
      <c r="D51" s="229" t="s">
        <v>166</v>
      </c>
      <c r="E51" s="219" t="s">
        <v>565</v>
      </c>
      <c r="F51" s="218" t="s">
        <v>1081</v>
      </c>
      <c r="G51" s="218" t="s">
        <v>96</v>
      </c>
      <c r="H51" s="93" t="s">
        <v>638</v>
      </c>
      <c r="I51" s="220">
        <v>9</v>
      </c>
      <c r="J51" s="220">
        <v>0</v>
      </c>
      <c r="K51" s="52">
        <v>15</v>
      </c>
      <c r="L51" s="53">
        <v>15000000</v>
      </c>
      <c r="M51" s="140" t="s">
        <v>172</v>
      </c>
      <c r="N51" s="53" t="s">
        <v>90</v>
      </c>
      <c r="O51" s="219" t="s">
        <v>347</v>
      </c>
      <c r="P51" s="221" t="str">
        <f>IFERROR(VLOOKUP(C51,TD!$B$33:$F$37,2,0)," ")</f>
        <v>NA</v>
      </c>
      <c r="Q51" s="221" t="str">
        <f>IFERROR(VLOOKUP(C51,TD!$B$33:$F$37,3,0)," ")</f>
        <v>NA</v>
      </c>
      <c r="R51" s="221" t="str">
        <f>IFERROR(VLOOKUP(C51,TD!$B$33:$F$37,4,0)," ")</f>
        <v>NA</v>
      </c>
      <c r="S51" s="219" t="s">
        <v>406</v>
      </c>
      <c r="T51" s="221" t="str">
        <f>IFERROR(VLOOKUP(S51,TD!$J$34:$K$44,2,0)," ")</f>
        <v>N/A</v>
      </c>
      <c r="U51" s="222" t="str">
        <f t="shared" si="0"/>
        <v>N/A-N/A</v>
      </c>
      <c r="V51" s="219" t="s">
        <v>406</v>
      </c>
      <c r="W51" s="221" t="str">
        <f>IFERROR(VLOOKUP(V51,TD!$N$34:$O$46,2,0)," ")</f>
        <v>N/A</v>
      </c>
      <c r="X51" s="222" t="str">
        <f t="shared" si="1"/>
        <v>N/A_N/A</v>
      </c>
      <c r="Y51" s="222" t="str">
        <f t="shared" si="2"/>
        <v>N/A-N/A N/A_N/A</v>
      </c>
      <c r="Z51" s="221" t="str">
        <f t="shared" si="3"/>
        <v>NANANAN/AN/A</v>
      </c>
      <c r="AA51" s="221" t="str">
        <f>IFERROR(VLOOKUP(Y51,TD!$K$47:$L$65,2,0)," ")</f>
        <v>N/A</v>
      </c>
      <c r="AB51" s="53" t="s">
        <v>348</v>
      </c>
      <c r="AC51" s="223" t="s">
        <v>205</v>
      </c>
    </row>
    <row r="52" spans="2:29" s="28" customFormat="1" ht="120" customHeight="1" x14ac:dyDescent="0.35">
      <c r="B52" s="77">
        <v>20250867</v>
      </c>
      <c r="C52" s="50" t="s">
        <v>208</v>
      </c>
      <c r="D52" s="218" t="s">
        <v>36</v>
      </c>
      <c r="E52" s="219" t="s">
        <v>378</v>
      </c>
      <c r="F52" s="218" t="s">
        <v>1095</v>
      </c>
      <c r="G52" s="218" t="s">
        <v>155</v>
      </c>
      <c r="H52" s="93">
        <v>80111600</v>
      </c>
      <c r="I52" s="220">
        <v>11</v>
      </c>
      <c r="J52" s="220">
        <v>1</v>
      </c>
      <c r="K52" s="52">
        <v>0</v>
      </c>
      <c r="L52" s="53">
        <f>6575616+724384</f>
        <v>7300000</v>
      </c>
      <c r="M52" s="140" t="s">
        <v>465</v>
      </c>
      <c r="N52" s="53" t="s">
        <v>113</v>
      </c>
      <c r="O52" s="219" t="s">
        <v>211</v>
      </c>
      <c r="P52" s="221" t="str">
        <f>IFERROR(VLOOKUP(C52,TD!$B$33:$F$37,2,0)," ")</f>
        <v>O230117</v>
      </c>
      <c r="Q52" s="221" t="str">
        <f>IFERROR(VLOOKUP(C52,TD!$B$33:$F$37,3,0)," ")</f>
        <v>4599</v>
      </c>
      <c r="R52" s="221">
        <f>IFERROR(VLOOKUP(C52,TD!$B$33:$F$37,4,0)," ")</f>
        <v>20240207</v>
      </c>
      <c r="S52" s="219" t="s">
        <v>193</v>
      </c>
      <c r="T52" s="221" t="str">
        <f>IFERROR(VLOOKUP(S52,TD!$J$34:$K$44,2,0)," ")</f>
        <v>Servicios para la planeación y sistemas de gestión y comunicación estratégica</v>
      </c>
      <c r="U52" s="222" t="str">
        <f t="shared" si="0"/>
        <v>13-Servicios para la planeación y sistemas de gestión y comunicación estratégica</v>
      </c>
      <c r="V52" s="219" t="s">
        <v>240</v>
      </c>
      <c r="W52" s="221" t="str">
        <f>IFERROR(VLOOKUP(V52,TD!$N$34:$O$46,2,0)," ")</f>
        <v>Servicio de asistencia técnica</v>
      </c>
      <c r="X52" s="222" t="str">
        <f t="shared" si="1"/>
        <v>031_Servicio de asistencia técnica</v>
      </c>
      <c r="Y52" s="222" t="str">
        <f t="shared" si="2"/>
        <v>13-Servicios para la planeación y sistemas de gestión y comunicación estratégica 031_Servicio de asistencia técnica</v>
      </c>
      <c r="Z52" s="221" t="str">
        <f t="shared" si="3"/>
        <v>O23011745992024020713031</v>
      </c>
      <c r="AA52" s="221" t="str">
        <f>IFERROR(VLOOKUP(Y52,TD!$K$47:$L$65,2,0)," ")</f>
        <v>PM/0131/0113/45990310207</v>
      </c>
      <c r="AB52" s="53" t="s">
        <v>138</v>
      </c>
      <c r="AC52" s="223" t="s">
        <v>205</v>
      </c>
    </row>
    <row r="53" spans="2:29" s="28" customFormat="1" ht="99" customHeight="1" x14ac:dyDescent="0.35">
      <c r="B53" s="130">
        <v>20250868</v>
      </c>
      <c r="C53" s="132" t="s">
        <v>209</v>
      </c>
      <c r="D53" s="224" t="s">
        <v>167</v>
      </c>
      <c r="E53" s="225" t="s">
        <v>509</v>
      </c>
      <c r="F53" s="224" t="s">
        <v>1097</v>
      </c>
      <c r="G53" s="224" t="s">
        <v>156</v>
      </c>
      <c r="H53" s="133">
        <v>80111600</v>
      </c>
      <c r="I53" s="226">
        <v>9</v>
      </c>
      <c r="J53" s="226">
        <v>3</v>
      </c>
      <c r="K53" s="129">
        <v>0</v>
      </c>
      <c r="L53" s="128">
        <v>12000000</v>
      </c>
      <c r="M53" s="189" t="s">
        <v>465</v>
      </c>
      <c r="N53" s="128" t="s">
        <v>113</v>
      </c>
      <c r="O53" s="225" t="s">
        <v>221</v>
      </c>
      <c r="P53" s="227" t="str">
        <f>IFERROR(VLOOKUP(C53,TD!$B$33:$F$37,2,0)," ")</f>
        <v>O230117</v>
      </c>
      <c r="Q53" s="227" t="str">
        <f>IFERROR(VLOOKUP(C53,TD!$B$33:$F$37,3,0)," ")</f>
        <v>4503</v>
      </c>
      <c r="R53" s="227">
        <f>IFERROR(VLOOKUP(C53,TD!$B$33:$F$37,4,0)," ")</f>
        <v>20240255</v>
      </c>
      <c r="S53" s="225" t="s">
        <v>177</v>
      </c>
      <c r="T53" s="227" t="str">
        <f>IFERROR(VLOOKUP(S53,TD!$J$34:$K$44,2,0)," ")</f>
        <v>Servicio de capacitaciones en gestión del riesgo de incendios  a la ciudadania.</v>
      </c>
      <c r="U53" s="222" t="str">
        <f t="shared" si="0"/>
        <v>05-Servicio de capacitaciones en gestión del riesgo de incendios  a la ciudadania.</v>
      </c>
      <c r="V53" s="225" t="s">
        <v>233</v>
      </c>
      <c r="W53" s="227" t="str">
        <f>IFERROR(VLOOKUP(V53,TD!$N$34:$O$46,2,0)," ")</f>
        <v>Servicio de educación informal</v>
      </c>
      <c r="X53" s="222" t="str">
        <f t="shared" si="1"/>
        <v>002_Servicio de educación informal</v>
      </c>
      <c r="Y53" s="222" t="str">
        <f t="shared" si="2"/>
        <v>05-Servicio de capacitaciones en gestión del riesgo de incendios  a la ciudadania. 002_Servicio de educación informal</v>
      </c>
      <c r="Z53" s="227" t="str">
        <f t="shared" si="3"/>
        <v>O23011745032024025505002</v>
      </c>
      <c r="AA53" s="227" t="str">
        <f>IFERROR(VLOOKUP(Y53,TD!$K$47:$L$65,2,0)," ")</f>
        <v>PM/0131/0105/45030020255</v>
      </c>
      <c r="AB53" s="128" t="s">
        <v>138</v>
      </c>
      <c r="AC53" s="228" t="s">
        <v>205</v>
      </c>
    </row>
    <row r="54" spans="2:29" s="28" customFormat="1" ht="99" customHeight="1" x14ac:dyDescent="0.35">
      <c r="B54" s="130">
        <v>20250869</v>
      </c>
      <c r="C54" s="132" t="s">
        <v>209</v>
      </c>
      <c r="D54" s="224" t="s">
        <v>167</v>
      </c>
      <c r="E54" s="225" t="s">
        <v>509</v>
      </c>
      <c r="F54" s="224" t="s">
        <v>1098</v>
      </c>
      <c r="G54" s="224" t="s">
        <v>155</v>
      </c>
      <c r="H54" s="133">
        <v>80111600</v>
      </c>
      <c r="I54" s="226">
        <v>9</v>
      </c>
      <c r="J54" s="226">
        <v>3</v>
      </c>
      <c r="K54" s="129">
        <v>15</v>
      </c>
      <c r="L54" s="128">
        <v>24500000</v>
      </c>
      <c r="M54" s="189" t="s">
        <v>465</v>
      </c>
      <c r="N54" s="128" t="s">
        <v>113</v>
      </c>
      <c r="O54" s="225" t="s">
        <v>221</v>
      </c>
      <c r="P54" s="227" t="str">
        <f>IFERROR(VLOOKUP(C54,TD!$B$33:$F$37,2,0)," ")</f>
        <v>O230117</v>
      </c>
      <c r="Q54" s="227" t="str">
        <f>IFERROR(VLOOKUP(C54,TD!$B$33:$F$37,3,0)," ")</f>
        <v>4503</v>
      </c>
      <c r="R54" s="227">
        <f>IFERROR(VLOOKUP(C54,TD!$B$33:$F$37,4,0)," ")</f>
        <v>20240255</v>
      </c>
      <c r="S54" s="225" t="s">
        <v>181</v>
      </c>
      <c r="T54" s="227" t="str">
        <f>IFERROR(VLOOKUP(S54,TD!$J$34:$K$44,2,0)," ")</f>
        <v>Servicio de inspecciones técnicas realizadas</v>
      </c>
      <c r="U54" s="222" t="str">
        <f t="shared" si="0"/>
        <v>06-Servicio de inspecciones técnicas realizadas</v>
      </c>
      <c r="V54" s="225" t="s">
        <v>234</v>
      </c>
      <c r="W54" s="227" t="str">
        <f>IFERROR(VLOOKUP(V54,TD!$N$34:$O$46,2,0)," ")</f>
        <v>Servicio prevención y control de incendios</v>
      </c>
      <c r="X54" s="222" t="str">
        <f t="shared" si="1"/>
        <v>035_Servicio prevención y control de incendios</v>
      </c>
      <c r="Y54" s="222" t="str">
        <f t="shared" si="2"/>
        <v>06-Servicio de inspecciones técnicas realizadas 035_Servicio prevención y control de incendios</v>
      </c>
      <c r="Z54" s="227" t="str">
        <f t="shared" si="3"/>
        <v>O23011745032024025506035</v>
      </c>
      <c r="AA54" s="227" t="str">
        <f>IFERROR(VLOOKUP(Y54,TD!$K$47:$L$65,2,0)," ")</f>
        <v>PM/0131/0106/45030350255</v>
      </c>
      <c r="AB54" s="128" t="s">
        <v>138</v>
      </c>
      <c r="AC54" s="228" t="s">
        <v>205</v>
      </c>
    </row>
    <row r="55" spans="2:29" s="28" customFormat="1" ht="99" customHeight="1" x14ac:dyDescent="0.35">
      <c r="B55" s="130">
        <v>20250870</v>
      </c>
      <c r="C55" s="132" t="s">
        <v>209</v>
      </c>
      <c r="D55" s="224" t="s">
        <v>167</v>
      </c>
      <c r="E55" s="225" t="s">
        <v>509</v>
      </c>
      <c r="F55" s="224" t="s">
        <v>1099</v>
      </c>
      <c r="G55" s="224" t="s">
        <v>155</v>
      </c>
      <c r="H55" s="133">
        <v>80111600</v>
      </c>
      <c r="I55" s="226">
        <v>9</v>
      </c>
      <c r="J55" s="226">
        <v>3</v>
      </c>
      <c r="K55" s="129">
        <v>0</v>
      </c>
      <c r="L55" s="128">
        <v>21000000</v>
      </c>
      <c r="M55" s="189" t="s">
        <v>465</v>
      </c>
      <c r="N55" s="128" t="s">
        <v>113</v>
      </c>
      <c r="O55" s="225" t="s">
        <v>226</v>
      </c>
      <c r="P55" s="227" t="str">
        <f>IFERROR(VLOOKUP(C55,TD!$B$33:$F$37,2,0)," ")</f>
        <v>O230117</v>
      </c>
      <c r="Q55" s="227" t="str">
        <f>IFERROR(VLOOKUP(C55,TD!$B$33:$F$37,3,0)," ")</f>
        <v>4503</v>
      </c>
      <c r="R55" s="227">
        <f>IFERROR(VLOOKUP(C55,TD!$B$33:$F$37,4,0)," ")</f>
        <v>20240255</v>
      </c>
      <c r="S55" s="225" t="s">
        <v>179</v>
      </c>
      <c r="T55" s="227" t="str">
        <f>IFERROR(VLOOKUP(S55,TD!$J$34:$K$44,2,0)," ")</f>
        <v>Infraestructura Tecnológica   (Sistemas de Información y Tecnologia)</v>
      </c>
      <c r="U55" s="222" t="str">
        <f t="shared" si="0"/>
        <v>11-Infraestructura Tecnológica   (Sistemas de Información y Tecnologia)</v>
      </c>
      <c r="V55" s="225" t="s">
        <v>235</v>
      </c>
      <c r="W55" s="227" t="str">
        <f>IFERROR(VLOOKUP(V55,TD!$N$34:$O$46,2,0)," ")</f>
        <v>"Servicio de monitoreo y seguimiento para la gestión del riesgo"</v>
      </c>
      <c r="X55" s="222" t="str">
        <f t="shared" si="1"/>
        <v>018_"Servicio de monitoreo y seguimiento para la gestión del riesgo"</v>
      </c>
      <c r="Y55" s="222" t="str">
        <f t="shared" si="2"/>
        <v>11-Infraestructura Tecnológica   (Sistemas de Información y Tecnologia) 018_"Servicio de monitoreo y seguimiento para la gestión del riesgo"</v>
      </c>
      <c r="Z55" s="227" t="str">
        <f t="shared" si="3"/>
        <v>O23011745032024025511018</v>
      </c>
      <c r="AA55" s="227" t="str">
        <f>IFERROR(VLOOKUP(Y55,TD!$K$47:$L$65,2,0)," ")</f>
        <v>PM/0131/0111/45030180255</v>
      </c>
      <c r="AB55" s="128" t="s">
        <v>138</v>
      </c>
      <c r="AC55" s="228" t="s">
        <v>205</v>
      </c>
    </row>
    <row r="56" spans="2:29" s="28" customFormat="1" ht="99" customHeight="1" x14ac:dyDescent="0.35">
      <c r="B56" s="130">
        <v>20250871</v>
      </c>
      <c r="C56" s="132" t="s">
        <v>209</v>
      </c>
      <c r="D56" s="224" t="s">
        <v>167</v>
      </c>
      <c r="E56" s="225" t="s">
        <v>509</v>
      </c>
      <c r="F56" s="224" t="s">
        <v>1100</v>
      </c>
      <c r="G56" s="224" t="s">
        <v>119</v>
      </c>
      <c r="H56" s="133" t="s">
        <v>944</v>
      </c>
      <c r="I56" s="226">
        <v>8</v>
      </c>
      <c r="J56" s="226">
        <v>1</v>
      </c>
      <c r="K56" s="129">
        <v>0</v>
      </c>
      <c r="L56" s="128">
        <v>4116000</v>
      </c>
      <c r="M56" s="189" t="s">
        <v>465</v>
      </c>
      <c r="N56" s="128" t="s">
        <v>100</v>
      </c>
      <c r="O56" s="225" t="s">
        <v>221</v>
      </c>
      <c r="P56" s="227" t="str">
        <f>IFERROR(VLOOKUP(C56,TD!$B$33:$F$37,2,0)," ")</f>
        <v>O230117</v>
      </c>
      <c r="Q56" s="227" t="str">
        <f>IFERROR(VLOOKUP(C56,TD!$B$33:$F$37,3,0)," ")</f>
        <v>4503</v>
      </c>
      <c r="R56" s="227">
        <f>IFERROR(VLOOKUP(C56,TD!$B$33:$F$37,4,0)," ")</f>
        <v>20240255</v>
      </c>
      <c r="S56" s="225" t="s">
        <v>177</v>
      </c>
      <c r="T56" s="227" t="str">
        <f>IFERROR(VLOOKUP(S56,TD!$J$34:$K$44,2,0)," ")</f>
        <v>Servicio de capacitaciones en gestión del riesgo de incendios  a la ciudadania.</v>
      </c>
      <c r="U56" s="222" t="str">
        <f t="shared" si="0"/>
        <v>05-Servicio de capacitaciones en gestión del riesgo de incendios  a la ciudadania.</v>
      </c>
      <c r="V56" s="225" t="s">
        <v>233</v>
      </c>
      <c r="W56" s="227" t="str">
        <f>IFERROR(VLOOKUP(V56,TD!$N$34:$O$46,2,0)," ")</f>
        <v>Servicio de educación informal</v>
      </c>
      <c r="X56" s="222" t="str">
        <f t="shared" si="1"/>
        <v>002_Servicio de educación informal</v>
      </c>
      <c r="Y56" s="222" t="str">
        <f t="shared" si="2"/>
        <v>05-Servicio de capacitaciones en gestión del riesgo de incendios  a la ciudadania. 002_Servicio de educación informal</v>
      </c>
      <c r="Z56" s="227" t="str">
        <f t="shared" si="3"/>
        <v>O23011745032024025505002</v>
      </c>
      <c r="AA56" s="227" t="str">
        <f>IFERROR(VLOOKUP(Y56,TD!$K$47:$L$65,2,0)," ")</f>
        <v>PM/0131/0105/45030020255</v>
      </c>
      <c r="AB56" s="128" t="s">
        <v>138</v>
      </c>
      <c r="AC56" s="228" t="s">
        <v>205</v>
      </c>
    </row>
    <row r="57" spans="2:29" s="28" customFormat="1" ht="99" customHeight="1" x14ac:dyDescent="0.35">
      <c r="B57" s="130">
        <v>20250872</v>
      </c>
      <c r="C57" s="132" t="s">
        <v>209</v>
      </c>
      <c r="D57" s="224" t="s">
        <v>167</v>
      </c>
      <c r="E57" s="225" t="s">
        <v>509</v>
      </c>
      <c r="F57" s="224" t="s">
        <v>1101</v>
      </c>
      <c r="G57" s="224" t="s">
        <v>155</v>
      </c>
      <c r="H57" s="133">
        <v>80111600</v>
      </c>
      <c r="I57" s="226">
        <v>9</v>
      </c>
      <c r="J57" s="226">
        <v>3</v>
      </c>
      <c r="K57" s="129">
        <v>0</v>
      </c>
      <c r="L57" s="128">
        <v>16500000</v>
      </c>
      <c r="M57" s="189" t="s">
        <v>465</v>
      </c>
      <c r="N57" s="128" t="s">
        <v>113</v>
      </c>
      <c r="O57" s="225" t="s">
        <v>226</v>
      </c>
      <c r="P57" s="227" t="str">
        <f>IFERROR(VLOOKUP(C57,TD!$B$33:$F$37,2,0)," ")</f>
        <v>O230117</v>
      </c>
      <c r="Q57" s="227" t="str">
        <f>IFERROR(VLOOKUP(C57,TD!$B$33:$F$37,3,0)," ")</f>
        <v>4503</v>
      </c>
      <c r="R57" s="227">
        <f>IFERROR(VLOOKUP(C57,TD!$B$33:$F$37,4,0)," ")</f>
        <v>20240255</v>
      </c>
      <c r="S57" s="225" t="s">
        <v>179</v>
      </c>
      <c r="T57" s="227" t="str">
        <f>IFERROR(VLOOKUP(S57,TD!$J$34:$K$44,2,0)," ")</f>
        <v>Infraestructura Tecnológica   (Sistemas de Información y Tecnologia)</v>
      </c>
      <c r="U57" s="222" t="str">
        <f t="shared" si="0"/>
        <v>11-Infraestructura Tecnológica   (Sistemas de Información y Tecnologia)</v>
      </c>
      <c r="V57" s="225" t="s">
        <v>235</v>
      </c>
      <c r="W57" s="227" t="str">
        <f>IFERROR(VLOOKUP(V57,TD!$N$34:$O$46,2,0)," ")</f>
        <v>"Servicio de monitoreo y seguimiento para la gestión del riesgo"</v>
      </c>
      <c r="X57" s="222" t="str">
        <f t="shared" si="1"/>
        <v>018_"Servicio de monitoreo y seguimiento para la gestión del riesgo"</v>
      </c>
      <c r="Y57" s="222" t="str">
        <f t="shared" si="2"/>
        <v>11-Infraestructura Tecnológica   (Sistemas de Información y Tecnologia) 018_"Servicio de monitoreo y seguimiento para la gestión del riesgo"</v>
      </c>
      <c r="Z57" s="227" t="str">
        <f t="shared" si="3"/>
        <v>O23011745032024025511018</v>
      </c>
      <c r="AA57" s="227" t="str">
        <f>IFERROR(VLOOKUP(Y57,TD!$K$47:$L$65,2,0)," ")</f>
        <v>PM/0131/0111/45030180255</v>
      </c>
      <c r="AB57" s="128" t="s">
        <v>138</v>
      </c>
      <c r="AC57" s="228" t="s">
        <v>205</v>
      </c>
    </row>
    <row r="58" spans="2:29" s="28" customFormat="1" ht="99" customHeight="1" x14ac:dyDescent="0.35">
      <c r="B58" s="130">
        <v>20250873</v>
      </c>
      <c r="C58" s="132" t="s">
        <v>209</v>
      </c>
      <c r="D58" s="224" t="s">
        <v>167</v>
      </c>
      <c r="E58" s="225" t="s">
        <v>509</v>
      </c>
      <c r="F58" s="224" t="s">
        <v>1102</v>
      </c>
      <c r="G58" s="224" t="s">
        <v>119</v>
      </c>
      <c r="H58" s="133" t="s">
        <v>1108</v>
      </c>
      <c r="I58" s="226">
        <v>8</v>
      </c>
      <c r="J58" s="226">
        <v>1</v>
      </c>
      <c r="K58" s="129">
        <v>0</v>
      </c>
      <c r="L58" s="128">
        <v>5956150</v>
      </c>
      <c r="M58" s="189" t="s">
        <v>465</v>
      </c>
      <c r="N58" s="128" t="s">
        <v>100</v>
      </c>
      <c r="O58" s="225" t="s">
        <v>221</v>
      </c>
      <c r="P58" s="227" t="str">
        <f>IFERROR(VLOOKUP(C58,TD!$B$33:$F$37,2,0)," ")</f>
        <v>O230117</v>
      </c>
      <c r="Q58" s="227" t="str">
        <f>IFERROR(VLOOKUP(C58,TD!$B$33:$F$37,3,0)," ")</f>
        <v>4503</v>
      </c>
      <c r="R58" s="227">
        <f>IFERROR(VLOOKUP(C58,TD!$B$33:$F$37,4,0)," ")</f>
        <v>20240255</v>
      </c>
      <c r="S58" s="225" t="s">
        <v>177</v>
      </c>
      <c r="T58" s="227" t="str">
        <f>IFERROR(VLOOKUP(S58,TD!$J$34:$K$44,2,0)," ")</f>
        <v>Servicio de capacitaciones en gestión del riesgo de incendios  a la ciudadania.</v>
      </c>
      <c r="U58" s="222" t="str">
        <f t="shared" si="0"/>
        <v>05-Servicio de capacitaciones en gestión del riesgo de incendios  a la ciudadania.</v>
      </c>
      <c r="V58" s="225" t="s">
        <v>234</v>
      </c>
      <c r="W58" s="227" t="str">
        <f>IFERROR(VLOOKUP(V58,TD!$N$34:$O$46,2,0)," ")</f>
        <v>Servicio prevención y control de incendios</v>
      </c>
      <c r="X58" s="222" t="str">
        <f t="shared" si="1"/>
        <v>035_Servicio prevención y control de incendios</v>
      </c>
      <c r="Y58" s="222" t="str">
        <f t="shared" si="2"/>
        <v>05-Servicio de capacitaciones en gestión del riesgo de incendios  a la ciudadania. 035_Servicio prevención y control de incendios</v>
      </c>
      <c r="Z58" s="227" t="str">
        <f t="shared" si="3"/>
        <v>O23011745032024025505035</v>
      </c>
      <c r="AA58" s="227" t="str">
        <f>IFERROR(VLOOKUP(Y58,TD!$K$47:$L$65,2,0)," ")</f>
        <v>PM/0131/0105/45030350255</v>
      </c>
      <c r="AB58" s="128" t="s">
        <v>138</v>
      </c>
      <c r="AC58" s="228" t="s">
        <v>205</v>
      </c>
    </row>
    <row r="59" spans="2:29" s="28" customFormat="1" ht="99" customHeight="1" x14ac:dyDescent="0.35">
      <c r="B59" s="130">
        <v>20250874</v>
      </c>
      <c r="C59" s="132" t="s">
        <v>209</v>
      </c>
      <c r="D59" s="224" t="s">
        <v>167</v>
      </c>
      <c r="E59" s="225" t="s">
        <v>509</v>
      </c>
      <c r="F59" s="224" t="s">
        <v>1103</v>
      </c>
      <c r="G59" s="224" t="s">
        <v>155</v>
      </c>
      <c r="H59" s="133">
        <v>80111600</v>
      </c>
      <c r="I59" s="226">
        <v>9</v>
      </c>
      <c r="J59" s="226">
        <v>3</v>
      </c>
      <c r="K59" s="129">
        <v>0</v>
      </c>
      <c r="L59" s="128">
        <v>15000000</v>
      </c>
      <c r="M59" s="189" t="s">
        <v>465</v>
      </c>
      <c r="N59" s="128" t="s">
        <v>113</v>
      </c>
      <c r="O59" s="225" t="s">
        <v>226</v>
      </c>
      <c r="P59" s="227" t="str">
        <f>IFERROR(VLOOKUP(C59,TD!$B$33:$F$37,2,0)," ")</f>
        <v>O230117</v>
      </c>
      <c r="Q59" s="227" t="str">
        <f>IFERROR(VLOOKUP(C59,TD!$B$33:$F$37,3,0)," ")</f>
        <v>4503</v>
      </c>
      <c r="R59" s="227">
        <f>IFERROR(VLOOKUP(C59,TD!$B$33:$F$37,4,0)," ")</f>
        <v>20240255</v>
      </c>
      <c r="S59" s="225" t="s">
        <v>179</v>
      </c>
      <c r="T59" s="227" t="str">
        <f>IFERROR(VLOOKUP(S59,TD!$J$34:$K$44,2,0)," ")</f>
        <v>Infraestructura Tecnológica   (Sistemas de Información y Tecnologia)</v>
      </c>
      <c r="U59" s="222" t="str">
        <f t="shared" si="0"/>
        <v>11-Infraestructura Tecnológica   (Sistemas de Información y Tecnologia)</v>
      </c>
      <c r="V59" s="225" t="s">
        <v>235</v>
      </c>
      <c r="W59" s="227" t="str">
        <f>IFERROR(VLOOKUP(V59,TD!$N$34:$O$46,2,0)," ")</f>
        <v>"Servicio de monitoreo y seguimiento para la gestión del riesgo"</v>
      </c>
      <c r="X59" s="222" t="str">
        <f t="shared" si="1"/>
        <v>018_"Servicio de monitoreo y seguimiento para la gestión del riesgo"</v>
      </c>
      <c r="Y59" s="222" t="str">
        <f t="shared" si="2"/>
        <v>11-Infraestructura Tecnológica   (Sistemas de Información y Tecnologia) 018_"Servicio de monitoreo y seguimiento para la gestión del riesgo"</v>
      </c>
      <c r="Z59" s="227" t="str">
        <f t="shared" si="3"/>
        <v>O23011745032024025511018</v>
      </c>
      <c r="AA59" s="227" t="str">
        <f>IFERROR(VLOOKUP(Y59,TD!$K$47:$L$65,2,0)," ")</f>
        <v>PM/0131/0111/45030180255</v>
      </c>
      <c r="AB59" s="128" t="s">
        <v>138</v>
      </c>
      <c r="AC59" s="228" t="s">
        <v>205</v>
      </c>
    </row>
    <row r="60" spans="2:29" s="28" customFormat="1" ht="99" customHeight="1" x14ac:dyDescent="0.35">
      <c r="B60" s="130">
        <v>20250875</v>
      </c>
      <c r="C60" s="132" t="s">
        <v>209</v>
      </c>
      <c r="D60" s="224" t="s">
        <v>167</v>
      </c>
      <c r="E60" s="225" t="s">
        <v>509</v>
      </c>
      <c r="F60" s="224" t="s">
        <v>1104</v>
      </c>
      <c r="G60" s="224" t="s">
        <v>155</v>
      </c>
      <c r="H60" s="133">
        <v>80111600</v>
      </c>
      <c r="I60" s="226">
        <v>9</v>
      </c>
      <c r="J60" s="226">
        <v>4</v>
      </c>
      <c r="K60" s="129">
        <v>0</v>
      </c>
      <c r="L60" s="128">
        <v>36400000</v>
      </c>
      <c r="M60" s="189" t="s">
        <v>465</v>
      </c>
      <c r="N60" s="128" t="s">
        <v>113</v>
      </c>
      <c r="O60" s="225" t="s">
        <v>226</v>
      </c>
      <c r="P60" s="227" t="str">
        <f>IFERROR(VLOOKUP(C60,TD!$B$33:$F$37,2,0)," ")</f>
        <v>O230117</v>
      </c>
      <c r="Q60" s="227" t="str">
        <f>IFERROR(VLOOKUP(C60,TD!$B$33:$F$37,3,0)," ")</f>
        <v>4503</v>
      </c>
      <c r="R60" s="227">
        <f>IFERROR(VLOOKUP(C60,TD!$B$33:$F$37,4,0)," ")</f>
        <v>20240255</v>
      </c>
      <c r="S60" s="225" t="s">
        <v>179</v>
      </c>
      <c r="T60" s="227" t="str">
        <f>IFERROR(VLOOKUP(S60,TD!$J$34:$K$44,2,0)," ")</f>
        <v>Infraestructura Tecnológica   (Sistemas de Información y Tecnologia)</v>
      </c>
      <c r="U60" s="222" t="str">
        <f t="shared" si="0"/>
        <v>11-Infraestructura Tecnológica   (Sistemas de Información y Tecnologia)</v>
      </c>
      <c r="V60" s="225" t="s">
        <v>235</v>
      </c>
      <c r="W60" s="227" t="str">
        <f>IFERROR(VLOOKUP(V60,TD!$N$34:$O$46,2,0)," ")</f>
        <v>"Servicio de monitoreo y seguimiento para la gestión del riesgo"</v>
      </c>
      <c r="X60" s="222" t="str">
        <f t="shared" si="1"/>
        <v>018_"Servicio de monitoreo y seguimiento para la gestión del riesgo"</v>
      </c>
      <c r="Y60" s="222" t="str">
        <f t="shared" si="2"/>
        <v>11-Infraestructura Tecnológica   (Sistemas de Información y Tecnologia) 018_"Servicio de monitoreo y seguimiento para la gestión del riesgo"</v>
      </c>
      <c r="Z60" s="227" t="str">
        <f t="shared" si="3"/>
        <v>O23011745032024025511018</v>
      </c>
      <c r="AA60" s="227" t="str">
        <f>IFERROR(VLOOKUP(Y60,TD!$K$47:$L$65,2,0)," ")</f>
        <v>PM/0131/0111/45030180255</v>
      </c>
      <c r="AB60" s="128" t="s">
        <v>138</v>
      </c>
      <c r="AC60" s="228" t="s">
        <v>205</v>
      </c>
    </row>
    <row r="61" spans="2:29" s="28" customFormat="1" ht="99" customHeight="1" x14ac:dyDescent="0.35">
      <c r="B61" s="130">
        <v>20250876</v>
      </c>
      <c r="C61" s="132" t="s">
        <v>209</v>
      </c>
      <c r="D61" s="224" t="s">
        <v>167</v>
      </c>
      <c r="E61" s="225" t="s">
        <v>509</v>
      </c>
      <c r="F61" s="224" t="s">
        <v>1105</v>
      </c>
      <c r="G61" s="224" t="s">
        <v>155</v>
      </c>
      <c r="H61" s="133">
        <v>80111600</v>
      </c>
      <c r="I61" s="226">
        <v>9</v>
      </c>
      <c r="J61" s="226">
        <v>3</v>
      </c>
      <c r="K61" s="129">
        <v>0</v>
      </c>
      <c r="L61" s="128">
        <v>15000000</v>
      </c>
      <c r="M61" s="189" t="s">
        <v>465</v>
      </c>
      <c r="N61" s="128" t="s">
        <v>113</v>
      </c>
      <c r="O61" s="225" t="s">
        <v>221</v>
      </c>
      <c r="P61" s="227" t="str">
        <f>IFERROR(VLOOKUP(C61,TD!$B$33:$F$37,2,0)," ")</f>
        <v>O230117</v>
      </c>
      <c r="Q61" s="227" t="str">
        <f>IFERROR(VLOOKUP(C61,TD!$B$33:$F$37,3,0)," ")</f>
        <v>4503</v>
      </c>
      <c r="R61" s="227">
        <f>IFERROR(VLOOKUP(C61,TD!$B$33:$F$37,4,0)," ")</f>
        <v>20240255</v>
      </c>
      <c r="S61" s="225" t="s">
        <v>181</v>
      </c>
      <c r="T61" s="227" t="str">
        <f>IFERROR(VLOOKUP(S61,TD!$J$34:$K$44,2,0)," ")</f>
        <v>Servicio de inspecciones técnicas realizadas</v>
      </c>
      <c r="U61" s="222" t="str">
        <f t="shared" si="0"/>
        <v>06-Servicio de inspecciones técnicas realizadas</v>
      </c>
      <c r="V61" s="225" t="s">
        <v>234</v>
      </c>
      <c r="W61" s="227" t="str">
        <f>IFERROR(VLOOKUP(V61,TD!$N$34:$O$46,2,0)," ")</f>
        <v>Servicio prevención y control de incendios</v>
      </c>
      <c r="X61" s="222" t="str">
        <f t="shared" si="1"/>
        <v>035_Servicio prevención y control de incendios</v>
      </c>
      <c r="Y61" s="222" t="str">
        <f t="shared" si="2"/>
        <v>06-Servicio de inspecciones técnicas realizadas 035_Servicio prevención y control de incendios</v>
      </c>
      <c r="Z61" s="227" t="str">
        <f t="shared" si="3"/>
        <v>O23011745032024025506035</v>
      </c>
      <c r="AA61" s="227" t="str">
        <f>IFERROR(VLOOKUP(Y61,TD!$K$47:$L$65,2,0)," ")</f>
        <v>PM/0131/0106/45030350255</v>
      </c>
      <c r="AB61" s="128" t="s">
        <v>138</v>
      </c>
      <c r="AC61" s="228" t="s">
        <v>205</v>
      </c>
    </row>
    <row r="62" spans="2:29" s="28" customFormat="1" ht="99" customHeight="1" x14ac:dyDescent="0.35">
      <c r="B62" s="130">
        <v>20250877</v>
      </c>
      <c r="C62" s="132" t="s">
        <v>209</v>
      </c>
      <c r="D62" s="224" t="s">
        <v>167</v>
      </c>
      <c r="E62" s="225" t="s">
        <v>509</v>
      </c>
      <c r="F62" s="224" t="s">
        <v>1106</v>
      </c>
      <c r="G62" s="224" t="s">
        <v>155</v>
      </c>
      <c r="H62" s="133">
        <v>80111600</v>
      </c>
      <c r="I62" s="226">
        <v>9</v>
      </c>
      <c r="J62" s="226">
        <v>3</v>
      </c>
      <c r="K62" s="129">
        <v>0</v>
      </c>
      <c r="L62" s="128">
        <v>15000000</v>
      </c>
      <c r="M62" s="189" t="s">
        <v>465</v>
      </c>
      <c r="N62" s="128" t="s">
        <v>113</v>
      </c>
      <c r="O62" s="225" t="s">
        <v>221</v>
      </c>
      <c r="P62" s="227" t="str">
        <f>IFERROR(VLOOKUP(C62,TD!$B$33:$F$37,2,0)," ")</f>
        <v>O230117</v>
      </c>
      <c r="Q62" s="227" t="str">
        <f>IFERROR(VLOOKUP(C62,TD!$B$33:$F$37,3,0)," ")</f>
        <v>4503</v>
      </c>
      <c r="R62" s="227">
        <f>IFERROR(VLOOKUP(C62,TD!$B$33:$F$37,4,0)," ")</f>
        <v>20240255</v>
      </c>
      <c r="S62" s="225" t="s">
        <v>181</v>
      </c>
      <c r="T62" s="227" t="str">
        <f>IFERROR(VLOOKUP(S62,TD!$J$34:$K$44,2,0)," ")</f>
        <v>Servicio de inspecciones técnicas realizadas</v>
      </c>
      <c r="U62" s="222" t="str">
        <f t="shared" si="0"/>
        <v>06-Servicio de inspecciones técnicas realizadas</v>
      </c>
      <c r="V62" s="225" t="s">
        <v>234</v>
      </c>
      <c r="W62" s="227" t="str">
        <f>IFERROR(VLOOKUP(V62,TD!$N$34:$O$46,2,0)," ")</f>
        <v>Servicio prevención y control de incendios</v>
      </c>
      <c r="X62" s="222" t="str">
        <f t="shared" si="1"/>
        <v>035_Servicio prevención y control de incendios</v>
      </c>
      <c r="Y62" s="222" t="str">
        <f t="shared" si="2"/>
        <v>06-Servicio de inspecciones técnicas realizadas 035_Servicio prevención y control de incendios</v>
      </c>
      <c r="Z62" s="227" t="str">
        <f t="shared" si="3"/>
        <v>O23011745032024025506035</v>
      </c>
      <c r="AA62" s="227" t="str">
        <f>IFERROR(VLOOKUP(Y62,TD!$K$47:$L$65,2,0)," ")</f>
        <v>PM/0131/0106/45030350255</v>
      </c>
      <c r="AB62" s="128" t="s">
        <v>138</v>
      </c>
      <c r="AC62" s="228" t="s">
        <v>205</v>
      </c>
    </row>
    <row r="63" spans="2:29" s="28" customFormat="1" ht="99" customHeight="1" x14ac:dyDescent="0.35">
      <c r="B63" s="130">
        <v>20250878</v>
      </c>
      <c r="C63" s="132" t="s">
        <v>209</v>
      </c>
      <c r="D63" s="224" t="s">
        <v>167</v>
      </c>
      <c r="E63" s="225" t="s">
        <v>509</v>
      </c>
      <c r="F63" s="224" t="s">
        <v>1107</v>
      </c>
      <c r="G63" s="224" t="s">
        <v>155</v>
      </c>
      <c r="H63" s="133">
        <v>80111600</v>
      </c>
      <c r="I63" s="226">
        <v>9</v>
      </c>
      <c r="J63" s="226">
        <v>3</v>
      </c>
      <c r="K63" s="129">
        <v>0</v>
      </c>
      <c r="L63" s="128">
        <v>15000000</v>
      </c>
      <c r="M63" s="189" t="s">
        <v>465</v>
      </c>
      <c r="N63" s="128" t="s">
        <v>113</v>
      </c>
      <c r="O63" s="225" t="s">
        <v>221</v>
      </c>
      <c r="P63" s="227" t="str">
        <f>IFERROR(VLOOKUP(C63,TD!$B$33:$F$37,2,0)," ")</f>
        <v>O230117</v>
      </c>
      <c r="Q63" s="227" t="str">
        <f>IFERROR(VLOOKUP(C63,TD!$B$33:$F$37,3,0)," ")</f>
        <v>4503</v>
      </c>
      <c r="R63" s="227">
        <f>IFERROR(VLOOKUP(C63,TD!$B$33:$F$37,4,0)," ")</f>
        <v>20240255</v>
      </c>
      <c r="S63" s="225" t="s">
        <v>177</v>
      </c>
      <c r="T63" s="227" t="str">
        <f>IFERROR(VLOOKUP(S63,TD!$J$34:$K$44,2,0)," ")</f>
        <v>Servicio de capacitaciones en gestión del riesgo de incendios  a la ciudadania.</v>
      </c>
      <c r="U63" s="222" t="str">
        <f t="shared" si="0"/>
        <v>05-Servicio de capacitaciones en gestión del riesgo de incendios  a la ciudadania.</v>
      </c>
      <c r="V63" s="225" t="s">
        <v>234</v>
      </c>
      <c r="W63" s="227" t="str">
        <f>IFERROR(VLOOKUP(V63,TD!$N$34:$O$46,2,0)," ")</f>
        <v>Servicio prevención y control de incendios</v>
      </c>
      <c r="X63" s="222" t="str">
        <f t="shared" si="1"/>
        <v>035_Servicio prevención y control de incendios</v>
      </c>
      <c r="Y63" s="222" t="str">
        <f t="shared" si="2"/>
        <v>05-Servicio de capacitaciones en gestión del riesgo de incendios  a la ciudadania. 035_Servicio prevención y control de incendios</v>
      </c>
      <c r="Z63" s="227" t="str">
        <f t="shared" si="3"/>
        <v>O23011745032024025505035</v>
      </c>
      <c r="AA63" s="227" t="str">
        <f>IFERROR(VLOOKUP(Y63,TD!$K$47:$L$65,2,0)," ")</f>
        <v>PM/0131/0105/45030350255</v>
      </c>
      <c r="AB63" s="128" t="s">
        <v>138</v>
      </c>
      <c r="AC63" s="228" t="s">
        <v>205</v>
      </c>
    </row>
    <row r="64" spans="2:29" s="28" customFormat="1" ht="99" customHeight="1" x14ac:dyDescent="0.35">
      <c r="B64" s="77">
        <v>20250001</v>
      </c>
      <c r="C64" s="50" t="s">
        <v>208</v>
      </c>
      <c r="D64" s="218" t="s">
        <v>163</v>
      </c>
      <c r="E64" s="219" t="s">
        <v>350</v>
      </c>
      <c r="F64" s="218" t="s">
        <v>351</v>
      </c>
      <c r="G64" s="218" t="s">
        <v>155</v>
      </c>
      <c r="H64" s="93">
        <v>80111600</v>
      </c>
      <c r="I64" s="220" t="s">
        <v>451</v>
      </c>
      <c r="J64" s="220">
        <v>10</v>
      </c>
      <c r="K64" s="52">
        <v>0</v>
      </c>
      <c r="L64" s="53">
        <v>76650001</v>
      </c>
      <c r="M64" s="218" t="s">
        <v>465</v>
      </c>
      <c r="N64" s="53" t="s">
        <v>113</v>
      </c>
      <c r="O64" s="219" t="s">
        <v>219</v>
      </c>
      <c r="P64" s="221" t="str">
        <f>IFERROR(VLOOKUP(C64,TD!$B$33:$F$37,2,0)," ")</f>
        <v>O230117</v>
      </c>
      <c r="Q64" s="221" t="str">
        <f>IFERROR(VLOOKUP(C64,TD!$B$33:$F$37,3,0)," ")</f>
        <v>4599</v>
      </c>
      <c r="R64" s="221">
        <f>IFERROR(VLOOKUP(C64,TD!$B$33:$F$37,4,0)," ")</f>
        <v>20240207</v>
      </c>
      <c r="S64" s="219" t="s">
        <v>185</v>
      </c>
      <c r="T64" s="221" t="str">
        <f>IFERROR(VLOOKUP(S64,TD!$J$34:$K$44,2,0)," ")</f>
        <v>Infraestructura física, mantenimiento y dotación (Sedes construidas, mantenidas reforzadas)</v>
      </c>
      <c r="U64" s="222" t="str">
        <f t="shared" si="0"/>
        <v>08-Infraestructura física, mantenimiento y dotación (Sedes construidas, mantenidas reforzadas)</v>
      </c>
      <c r="V64" s="219" t="s">
        <v>238</v>
      </c>
      <c r="W64" s="221" t="str">
        <f>IFERROR(VLOOKUP(V64,TD!$N$34:$O$46,2,0)," ")</f>
        <v>Sedes mantenidas</v>
      </c>
      <c r="X64" s="222" t="str">
        <f t="shared" si="1"/>
        <v>016_Sedes mantenidas</v>
      </c>
      <c r="Y64" s="222" t="str">
        <f t="shared" si="2"/>
        <v>08-Infraestructura física, mantenimiento y dotación (Sedes construidas, mantenidas reforzadas) 016_Sedes mantenidas</v>
      </c>
      <c r="Z64" s="221" t="str">
        <f t="shared" si="3"/>
        <v>O23011745992024020708016</v>
      </c>
      <c r="AA64" s="221" t="str">
        <f>IFERROR(VLOOKUP(Y64,TD!$K$47:$L$65,2,0)," ")</f>
        <v>PM/0131/0108/45990160207</v>
      </c>
      <c r="AB64" s="53" t="s">
        <v>138</v>
      </c>
      <c r="AC64" s="223" t="s">
        <v>204</v>
      </c>
    </row>
    <row r="65" spans="2:29" s="28" customFormat="1" ht="99" customHeight="1" x14ac:dyDescent="0.35">
      <c r="B65" s="77">
        <v>20250002</v>
      </c>
      <c r="C65" s="50" t="s">
        <v>208</v>
      </c>
      <c r="D65" s="218" t="s">
        <v>163</v>
      </c>
      <c r="E65" s="219" t="s">
        <v>350</v>
      </c>
      <c r="F65" s="218" t="s">
        <v>352</v>
      </c>
      <c r="G65" s="218" t="s">
        <v>155</v>
      </c>
      <c r="H65" s="93">
        <v>80111600</v>
      </c>
      <c r="I65" s="220">
        <v>1</v>
      </c>
      <c r="J65" s="220">
        <v>10</v>
      </c>
      <c r="K65" s="52">
        <v>0</v>
      </c>
      <c r="L65" s="53">
        <v>76650001</v>
      </c>
      <c r="M65" s="218" t="s">
        <v>465</v>
      </c>
      <c r="N65" s="53" t="s">
        <v>113</v>
      </c>
      <c r="O65" s="219" t="s">
        <v>219</v>
      </c>
      <c r="P65" s="221" t="str">
        <f>IFERROR(VLOOKUP(C65,TD!$B$33:$F$37,2,0)," ")</f>
        <v>O230117</v>
      </c>
      <c r="Q65" s="221" t="str">
        <f>IFERROR(VLOOKUP(C65,TD!$B$33:$F$37,3,0)," ")</f>
        <v>4599</v>
      </c>
      <c r="R65" s="221">
        <f>IFERROR(VLOOKUP(C65,TD!$B$33:$F$37,4,0)," ")</f>
        <v>20240207</v>
      </c>
      <c r="S65" s="219" t="s">
        <v>185</v>
      </c>
      <c r="T65" s="221" t="str">
        <f>IFERROR(VLOOKUP(S65,TD!$J$34:$K$44,2,0)," ")</f>
        <v>Infraestructura física, mantenimiento y dotación (Sedes construidas, mantenidas reforzadas)</v>
      </c>
      <c r="U65" s="222" t="str">
        <f t="shared" si="0"/>
        <v>08-Infraestructura física, mantenimiento y dotación (Sedes construidas, mantenidas reforzadas)</v>
      </c>
      <c r="V65" s="219" t="s">
        <v>238</v>
      </c>
      <c r="W65" s="221" t="str">
        <f>IFERROR(VLOOKUP(V65,TD!$N$34:$O$46,2,0)," ")</f>
        <v>Sedes mantenidas</v>
      </c>
      <c r="X65" s="222" t="str">
        <f t="shared" si="1"/>
        <v>016_Sedes mantenidas</v>
      </c>
      <c r="Y65" s="222" t="str">
        <f t="shared" si="2"/>
        <v>08-Infraestructura física, mantenimiento y dotación (Sedes construidas, mantenidas reforzadas) 016_Sedes mantenidas</v>
      </c>
      <c r="Z65" s="221" t="str">
        <f t="shared" si="3"/>
        <v>O23011745992024020708016</v>
      </c>
      <c r="AA65" s="221" t="str">
        <f>IFERROR(VLOOKUP(Y65,TD!$K$47:$L$65,2,0)," ")</f>
        <v>PM/0131/0108/45990160207</v>
      </c>
      <c r="AB65" s="53" t="s">
        <v>138</v>
      </c>
      <c r="AC65" s="223" t="s">
        <v>204</v>
      </c>
    </row>
    <row r="66" spans="2:29" s="28" customFormat="1" ht="99" customHeight="1" x14ac:dyDescent="0.35">
      <c r="B66" s="77">
        <v>20250003</v>
      </c>
      <c r="C66" s="50" t="s">
        <v>208</v>
      </c>
      <c r="D66" s="218" t="s">
        <v>163</v>
      </c>
      <c r="E66" s="219" t="s">
        <v>350</v>
      </c>
      <c r="F66" s="218" t="s">
        <v>353</v>
      </c>
      <c r="G66" s="218" t="s">
        <v>155</v>
      </c>
      <c r="H66" s="93">
        <v>80111600</v>
      </c>
      <c r="I66" s="220">
        <v>2</v>
      </c>
      <c r="J66" s="220">
        <v>7</v>
      </c>
      <c r="K66" s="52">
        <v>11</v>
      </c>
      <c r="L66" s="53">
        <v>56674097</v>
      </c>
      <c r="M66" s="218" t="s">
        <v>465</v>
      </c>
      <c r="N66" s="53" t="s">
        <v>113</v>
      </c>
      <c r="O66" s="219" t="s">
        <v>219</v>
      </c>
      <c r="P66" s="221" t="str">
        <f>IFERROR(VLOOKUP(C66,TD!$B$33:$F$37,2,0)," ")</f>
        <v>O230117</v>
      </c>
      <c r="Q66" s="221" t="str">
        <f>IFERROR(VLOOKUP(C66,TD!$B$33:$F$37,3,0)," ")</f>
        <v>4599</v>
      </c>
      <c r="R66" s="221">
        <f>IFERROR(VLOOKUP(C66,TD!$B$33:$F$37,4,0)," ")</f>
        <v>20240207</v>
      </c>
      <c r="S66" s="219" t="s">
        <v>185</v>
      </c>
      <c r="T66" s="221" t="str">
        <f>IFERROR(VLOOKUP(S66,TD!$J$34:$K$44,2,0)," ")</f>
        <v>Infraestructura física, mantenimiento y dotación (Sedes construidas, mantenidas reforzadas)</v>
      </c>
      <c r="U66" s="222" t="str">
        <f t="shared" si="0"/>
        <v>08-Infraestructura física, mantenimiento y dotación (Sedes construidas, mantenidas reforzadas)</v>
      </c>
      <c r="V66" s="219" t="s">
        <v>238</v>
      </c>
      <c r="W66" s="221" t="str">
        <f>IFERROR(VLOOKUP(V66,TD!$N$34:$O$46,2,0)," ")</f>
        <v>Sedes mantenidas</v>
      </c>
      <c r="X66" s="222" t="str">
        <f t="shared" si="1"/>
        <v>016_Sedes mantenidas</v>
      </c>
      <c r="Y66" s="222" t="str">
        <f t="shared" si="2"/>
        <v>08-Infraestructura física, mantenimiento y dotación (Sedes construidas, mantenidas reforzadas) 016_Sedes mantenidas</v>
      </c>
      <c r="Z66" s="221" t="str">
        <f t="shared" si="3"/>
        <v>O23011745992024020708016</v>
      </c>
      <c r="AA66" s="221" t="str">
        <f>IFERROR(VLOOKUP(Y66,TD!$K$47:$L$65,2,0)," ")</f>
        <v>PM/0131/0108/45990160207</v>
      </c>
      <c r="AB66" s="53" t="s">
        <v>138</v>
      </c>
      <c r="AC66" s="223" t="s">
        <v>204</v>
      </c>
    </row>
    <row r="67" spans="2:29" s="28" customFormat="1" ht="99" customHeight="1" x14ac:dyDescent="0.35">
      <c r="B67" s="77">
        <v>20250004</v>
      </c>
      <c r="C67" s="50" t="s">
        <v>208</v>
      </c>
      <c r="D67" s="218" t="s">
        <v>163</v>
      </c>
      <c r="E67" s="219" t="s">
        <v>350</v>
      </c>
      <c r="F67" s="218" t="s">
        <v>353</v>
      </c>
      <c r="G67" s="218" t="s">
        <v>155</v>
      </c>
      <c r="H67" s="93">
        <v>80111600</v>
      </c>
      <c r="I67" s="220">
        <v>1</v>
      </c>
      <c r="J67" s="220">
        <v>10</v>
      </c>
      <c r="K67" s="52">
        <v>0</v>
      </c>
      <c r="L67" s="53">
        <v>46285827</v>
      </c>
      <c r="M67" s="218" t="s">
        <v>465</v>
      </c>
      <c r="N67" s="53" t="s">
        <v>113</v>
      </c>
      <c r="O67" s="219" t="s">
        <v>219</v>
      </c>
      <c r="P67" s="221" t="str">
        <f>IFERROR(VLOOKUP(C67,TD!$B$33:$F$37,2,0)," ")</f>
        <v>O230117</v>
      </c>
      <c r="Q67" s="221" t="str">
        <f>IFERROR(VLOOKUP(C67,TD!$B$33:$F$37,3,0)," ")</f>
        <v>4599</v>
      </c>
      <c r="R67" s="221">
        <f>IFERROR(VLOOKUP(C67,TD!$B$33:$F$37,4,0)," ")</f>
        <v>20240207</v>
      </c>
      <c r="S67" s="219" t="s">
        <v>185</v>
      </c>
      <c r="T67" s="221" t="str">
        <f>IFERROR(VLOOKUP(S67,TD!$J$34:$K$44,2,0)," ")</f>
        <v>Infraestructura física, mantenimiento y dotación (Sedes construidas, mantenidas reforzadas)</v>
      </c>
      <c r="U67" s="222" t="str">
        <f t="shared" si="0"/>
        <v>08-Infraestructura física, mantenimiento y dotación (Sedes construidas, mantenidas reforzadas)</v>
      </c>
      <c r="V67" s="219" t="s">
        <v>238</v>
      </c>
      <c r="W67" s="221" t="str">
        <f>IFERROR(VLOOKUP(V67,TD!$N$34:$O$46,2,0)," ")</f>
        <v>Sedes mantenidas</v>
      </c>
      <c r="X67" s="222" t="str">
        <f t="shared" si="1"/>
        <v>016_Sedes mantenidas</v>
      </c>
      <c r="Y67" s="222" t="str">
        <f t="shared" si="2"/>
        <v>08-Infraestructura física, mantenimiento y dotación (Sedes construidas, mantenidas reforzadas) 016_Sedes mantenidas</v>
      </c>
      <c r="Z67" s="221" t="str">
        <f t="shared" si="3"/>
        <v>O23011745992024020708016</v>
      </c>
      <c r="AA67" s="221" t="str">
        <f>IFERROR(VLOOKUP(Y67,TD!$K$47:$L$65,2,0)," ")</f>
        <v>PM/0131/0108/45990160207</v>
      </c>
      <c r="AB67" s="53" t="s">
        <v>138</v>
      </c>
      <c r="AC67" s="223" t="s">
        <v>204</v>
      </c>
    </row>
    <row r="68" spans="2:29" s="28" customFormat="1" ht="99" customHeight="1" x14ac:dyDescent="0.35">
      <c r="B68" s="77">
        <v>20250005</v>
      </c>
      <c r="C68" s="50" t="s">
        <v>208</v>
      </c>
      <c r="D68" s="218" t="s">
        <v>163</v>
      </c>
      <c r="E68" s="219" t="s">
        <v>350</v>
      </c>
      <c r="F68" s="218" t="s">
        <v>354</v>
      </c>
      <c r="G68" s="218" t="s">
        <v>156</v>
      </c>
      <c r="H68" s="93">
        <v>80111600</v>
      </c>
      <c r="I68" s="220">
        <v>1</v>
      </c>
      <c r="J68" s="220">
        <v>10</v>
      </c>
      <c r="K68" s="52">
        <v>0</v>
      </c>
      <c r="L68" s="53">
        <v>38240074</v>
      </c>
      <c r="M68" s="218" t="s">
        <v>465</v>
      </c>
      <c r="N68" s="53" t="s">
        <v>113</v>
      </c>
      <c r="O68" s="219" t="s">
        <v>219</v>
      </c>
      <c r="P68" s="221" t="str">
        <f>IFERROR(VLOOKUP(C68,TD!$B$33:$F$37,2,0)," ")</f>
        <v>O230117</v>
      </c>
      <c r="Q68" s="221" t="str">
        <f>IFERROR(VLOOKUP(C68,TD!$B$33:$F$37,3,0)," ")</f>
        <v>4599</v>
      </c>
      <c r="R68" s="221">
        <f>IFERROR(VLOOKUP(C68,TD!$B$33:$F$37,4,0)," ")</f>
        <v>20240207</v>
      </c>
      <c r="S68" s="219" t="s">
        <v>185</v>
      </c>
      <c r="T68" s="221" t="str">
        <f>IFERROR(VLOOKUP(S68,TD!$J$34:$K$44,2,0)," ")</f>
        <v>Infraestructura física, mantenimiento y dotación (Sedes construidas, mantenidas reforzadas)</v>
      </c>
      <c r="U68" s="222" t="str">
        <f t="shared" si="0"/>
        <v>08-Infraestructura física, mantenimiento y dotación (Sedes construidas, mantenidas reforzadas)</v>
      </c>
      <c r="V68" s="219" t="s">
        <v>238</v>
      </c>
      <c r="W68" s="221" t="str">
        <f>IFERROR(VLOOKUP(V68,TD!$N$34:$O$46,2,0)," ")</f>
        <v>Sedes mantenidas</v>
      </c>
      <c r="X68" s="222" t="str">
        <f t="shared" si="1"/>
        <v>016_Sedes mantenidas</v>
      </c>
      <c r="Y68" s="222" t="str">
        <f t="shared" si="2"/>
        <v>08-Infraestructura física, mantenimiento y dotación (Sedes construidas, mantenidas reforzadas) 016_Sedes mantenidas</v>
      </c>
      <c r="Z68" s="221" t="str">
        <f t="shared" si="3"/>
        <v>O23011745992024020708016</v>
      </c>
      <c r="AA68" s="221" t="str">
        <f>IFERROR(VLOOKUP(Y68,TD!$K$47:$L$65,2,0)," ")</f>
        <v>PM/0131/0108/45990160207</v>
      </c>
      <c r="AB68" s="53" t="s">
        <v>138</v>
      </c>
      <c r="AC68" s="223" t="s">
        <v>204</v>
      </c>
    </row>
    <row r="69" spans="2:29" s="28" customFormat="1" ht="99" customHeight="1" x14ac:dyDescent="0.35">
      <c r="B69" s="77">
        <v>20250006</v>
      </c>
      <c r="C69" s="50" t="s">
        <v>208</v>
      </c>
      <c r="D69" s="218" t="s">
        <v>164</v>
      </c>
      <c r="E69" s="219" t="s">
        <v>389</v>
      </c>
      <c r="F69" s="218" t="s">
        <v>727</v>
      </c>
      <c r="G69" s="218" t="s">
        <v>155</v>
      </c>
      <c r="H69" s="93">
        <v>80111600</v>
      </c>
      <c r="I69" s="220">
        <v>2</v>
      </c>
      <c r="J69" s="220">
        <v>11</v>
      </c>
      <c r="K69" s="52">
        <v>0</v>
      </c>
      <c r="L69" s="53">
        <f>64500000-7500000</f>
        <v>57000000</v>
      </c>
      <c r="M69" s="218" t="s">
        <v>465</v>
      </c>
      <c r="N69" s="53" t="s">
        <v>113</v>
      </c>
      <c r="O69" s="219" t="s">
        <v>219</v>
      </c>
      <c r="P69" s="221" t="str">
        <f>IFERROR(VLOOKUP(C69,TD!$B$33:$F$37,2,0)," ")</f>
        <v>O230117</v>
      </c>
      <c r="Q69" s="221" t="str">
        <f>IFERROR(VLOOKUP(C69,TD!$B$33:$F$37,3,0)," ")</f>
        <v>4599</v>
      </c>
      <c r="R69" s="221">
        <f>IFERROR(VLOOKUP(C69,TD!$B$33:$F$37,4,0)," ")</f>
        <v>20240207</v>
      </c>
      <c r="S69" s="219" t="s">
        <v>185</v>
      </c>
      <c r="T69" s="221" t="str">
        <f>IFERROR(VLOOKUP(S69,TD!$J$34:$K$44,2,0)," ")</f>
        <v>Infraestructura física, mantenimiento y dotación (Sedes construidas, mantenidas reforzadas)</v>
      </c>
      <c r="U69" s="222" t="str">
        <f t="shared" si="0"/>
        <v>08-Infraestructura física, mantenimiento y dotación (Sedes construidas, mantenidas reforzadas)</v>
      </c>
      <c r="V69" s="219" t="s">
        <v>238</v>
      </c>
      <c r="W69" s="221" t="str">
        <f>IFERROR(VLOOKUP(V69,TD!$N$34:$O$46,2,0)," ")</f>
        <v>Sedes mantenidas</v>
      </c>
      <c r="X69" s="222" t="str">
        <f t="shared" si="1"/>
        <v>016_Sedes mantenidas</v>
      </c>
      <c r="Y69" s="222" t="str">
        <f t="shared" si="2"/>
        <v>08-Infraestructura física, mantenimiento y dotación (Sedes construidas, mantenidas reforzadas) 016_Sedes mantenidas</v>
      </c>
      <c r="Z69" s="221" t="str">
        <f t="shared" si="3"/>
        <v>O23011745992024020708016</v>
      </c>
      <c r="AA69" s="221" t="str">
        <f>IFERROR(VLOOKUP(Y69,TD!$K$47:$L$65,2,0)," ")</f>
        <v>PM/0131/0108/45990160207</v>
      </c>
      <c r="AB69" s="53" t="s">
        <v>120</v>
      </c>
      <c r="AC69" s="223" t="s">
        <v>204</v>
      </c>
    </row>
    <row r="70" spans="2:29" s="28" customFormat="1" ht="99" customHeight="1" x14ac:dyDescent="0.35">
      <c r="B70" s="77">
        <v>20250007</v>
      </c>
      <c r="C70" s="50" t="s">
        <v>208</v>
      </c>
      <c r="D70" s="218" t="s">
        <v>164</v>
      </c>
      <c r="E70" s="219" t="s">
        <v>389</v>
      </c>
      <c r="F70" s="218" t="s">
        <v>716</v>
      </c>
      <c r="G70" s="218" t="s">
        <v>155</v>
      </c>
      <c r="H70" s="93">
        <v>80111600</v>
      </c>
      <c r="I70" s="220">
        <v>2</v>
      </c>
      <c r="J70" s="220">
        <v>11</v>
      </c>
      <c r="K70" s="52">
        <v>0</v>
      </c>
      <c r="L70" s="53">
        <f>49000000-7000000</f>
        <v>42000000</v>
      </c>
      <c r="M70" s="218" t="s">
        <v>465</v>
      </c>
      <c r="N70" s="53" t="s">
        <v>113</v>
      </c>
      <c r="O70" s="219" t="s">
        <v>219</v>
      </c>
      <c r="P70" s="221" t="str">
        <f>IFERROR(VLOOKUP(C70,TD!$B$33:$F$37,2,0)," ")</f>
        <v>O230117</v>
      </c>
      <c r="Q70" s="221" t="str">
        <f>IFERROR(VLOOKUP(C70,TD!$B$33:$F$37,3,0)," ")</f>
        <v>4599</v>
      </c>
      <c r="R70" s="221">
        <f>IFERROR(VLOOKUP(C70,TD!$B$33:$F$37,4,0)," ")</f>
        <v>20240207</v>
      </c>
      <c r="S70" s="219" t="s">
        <v>185</v>
      </c>
      <c r="T70" s="221" t="str">
        <f>IFERROR(VLOOKUP(S70,TD!$J$34:$K$44,2,0)," ")</f>
        <v>Infraestructura física, mantenimiento y dotación (Sedes construidas, mantenidas reforzadas)</v>
      </c>
      <c r="U70" s="222" t="str">
        <f t="shared" si="0"/>
        <v>08-Infraestructura física, mantenimiento y dotación (Sedes construidas, mantenidas reforzadas)</v>
      </c>
      <c r="V70" s="219" t="s">
        <v>238</v>
      </c>
      <c r="W70" s="221" t="str">
        <f>IFERROR(VLOOKUP(V70,TD!$N$34:$O$46,2,0)," ")</f>
        <v>Sedes mantenidas</v>
      </c>
      <c r="X70" s="222" t="str">
        <f t="shared" si="1"/>
        <v>016_Sedes mantenidas</v>
      </c>
      <c r="Y70" s="222" t="str">
        <f t="shared" si="2"/>
        <v>08-Infraestructura física, mantenimiento y dotación (Sedes construidas, mantenidas reforzadas) 016_Sedes mantenidas</v>
      </c>
      <c r="Z70" s="221" t="str">
        <f t="shared" si="3"/>
        <v>O23011745992024020708016</v>
      </c>
      <c r="AA70" s="221" t="str">
        <f>IFERROR(VLOOKUP(Y70,TD!$K$47:$L$65,2,0)," ")</f>
        <v>PM/0131/0108/45990160207</v>
      </c>
      <c r="AB70" s="53" t="s">
        <v>120</v>
      </c>
      <c r="AC70" s="223" t="s">
        <v>204</v>
      </c>
    </row>
    <row r="71" spans="2:29" s="28" customFormat="1" ht="99" customHeight="1" x14ac:dyDescent="0.35">
      <c r="B71" s="77">
        <v>20250008</v>
      </c>
      <c r="C71" s="50" t="s">
        <v>208</v>
      </c>
      <c r="D71" s="218" t="s">
        <v>164</v>
      </c>
      <c r="E71" s="219" t="s">
        <v>389</v>
      </c>
      <c r="F71" s="218" t="s">
        <v>899</v>
      </c>
      <c r="G71" s="218" t="s">
        <v>155</v>
      </c>
      <c r="H71" s="93">
        <v>80111600</v>
      </c>
      <c r="I71" s="220">
        <v>2</v>
      </c>
      <c r="J71" s="220">
        <v>11</v>
      </c>
      <c r="K71" s="52">
        <v>0</v>
      </c>
      <c r="L71" s="53">
        <f>88000000-37000000</f>
        <v>51000000</v>
      </c>
      <c r="M71" s="218" t="s">
        <v>465</v>
      </c>
      <c r="N71" s="53" t="s">
        <v>113</v>
      </c>
      <c r="O71" s="219" t="s">
        <v>219</v>
      </c>
      <c r="P71" s="221" t="str">
        <f>IFERROR(VLOOKUP(C71,TD!$B$33:$F$37,2,0)," ")</f>
        <v>O230117</v>
      </c>
      <c r="Q71" s="221" t="str">
        <f>IFERROR(VLOOKUP(C71,TD!$B$33:$F$37,3,0)," ")</f>
        <v>4599</v>
      </c>
      <c r="R71" s="221">
        <f>IFERROR(VLOOKUP(C71,TD!$B$33:$F$37,4,0)," ")</f>
        <v>20240207</v>
      </c>
      <c r="S71" s="219" t="s">
        <v>185</v>
      </c>
      <c r="T71" s="221" t="str">
        <f>IFERROR(VLOOKUP(S71,TD!$J$34:$K$44,2,0)," ")</f>
        <v>Infraestructura física, mantenimiento y dotación (Sedes construidas, mantenidas reforzadas)</v>
      </c>
      <c r="U71" s="222" t="str">
        <f t="shared" si="0"/>
        <v>08-Infraestructura física, mantenimiento y dotación (Sedes construidas, mantenidas reforzadas)</v>
      </c>
      <c r="V71" s="219" t="s">
        <v>238</v>
      </c>
      <c r="W71" s="221" t="str">
        <f>IFERROR(VLOOKUP(V71,TD!$N$34:$O$46,2,0)," ")</f>
        <v>Sedes mantenidas</v>
      </c>
      <c r="X71" s="222" t="str">
        <f t="shared" si="1"/>
        <v>016_Sedes mantenidas</v>
      </c>
      <c r="Y71" s="222" t="str">
        <f t="shared" si="2"/>
        <v>08-Infraestructura física, mantenimiento y dotación (Sedes construidas, mantenidas reforzadas) 016_Sedes mantenidas</v>
      </c>
      <c r="Z71" s="221" t="str">
        <f t="shared" si="3"/>
        <v>O23011745992024020708016</v>
      </c>
      <c r="AA71" s="221" t="str">
        <f>IFERROR(VLOOKUP(Y71,TD!$K$47:$L$65,2,0)," ")</f>
        <v>PM/0131/0108/45990160207</v>
      </c>
      <c r="AB71" s="53" t="s">
        <v>138</v>
      </c>
      <c r="AC71" s="223" t="s">
        <v>204</v>
      </c>
    </row>
    <row r="72" spans="2:29" s="28" customFormat="1" ht="99" customHeight="1" x14ac:dyDescent="0.35">
      <c r="B72" s="77">
        <v>20250009</v>
      </c>
      <c r="C72" s="50" t="s">
        <v>208</v>
      </c>
      <c r="D72" s="218" t="s">
        <v>164</v>
      </c>
      <c r="E72" s="219" t="s">
        <v>389</v>
      </c>
      <c r="F72" s="218" t="s">
        <v>457</v>
      </c>
      <c r="G72" s="218" t="s">
        <v>155</v>
      </c>
      <c r="H72" s="93">
        <v>80111600</v>
      </c>
      <c r="I72" s="220">
        <v>2</v>
      </c>
      <c r="J72" s="220">
        <v>11</v>
      </c>
      <c r="K72" s="52">
        <v>0</v>
      </c>
      <c r="L72" s="53">
        <f>99000000-45000000</f>
        <v>54000000</v>
      </c>
      <c r="M72" s="218" t="s">
        <v>465</v>
      </c>
      <c r="N72" s="53" t="s">
        <v>113</v>
      </c>
      <c r="O72" s="219" t="s">
        <v>219</v>
      </c>
      <c r="P72" s="221" t="str">
        <f>IFERROR(VLOOKUP(C72,TD!$B$33:$F$37,2,0)," ")</f>
        <v>O230117</v>
      </c>
      <c r="Q72" s="221" t="str">
        <f>IFERROR(VLOOKUP(C72,TD!$B$33:$F$37,3,0)," ")</f>
        <v>4599</v>
      </c>
      <c r="R72" s="221">
        <f>IFERROR(VLOOKUP(C72,TD!$B$33:$F$37,4,0)," ")</f>
        <v>20240207</v>
      </c>
      <c r="S72" s="219" t="s">
        <v>185</v>
      </c>
      <c r="T72" s="221" t="str">
        <f>IFERROR(VLOOKUP(S72,TD!$J$34:$K$44,2,0)," ")</f>
        <v>Infraestructura física, mantenimiento y dotación (Sedes construidas, mantenidas reforzadas)</v>
      </c>
      <c r="U72" s="222" t="str">
        <f t="shared" si="0"/>
        <v>08-Infraestructura física, mantenimiento y dotación (Sedes construidas, mantenidas reforzadas)</v>
      </c>
      <c r="V72" s="219" t="s">
        <v>238</v>
      </c>
      <c r="W72" s="221" t="str">
        <f>IFERROR(VLOOKUP(V72,TD!$N$34:$O$46,2,0)," ")</f>
        <v>Sedes mantenidas</v>
      </c>
      <c r="X72" s="222" t="str">
        <f t="shared" si="1"/>
        <v>016_Sedes mantenidas</v>
      </c>
      <c r="Y72" s="222" t="str">
        <f t="shared" si="2"/>
        <v>08-Infraestructura física, mantenimiento y dotación (Sedes construidas, mantenidas reforzadas) 016_Sedes mantenidas</v>
      </c>
      <c r="Z72" s="221" t="str">
        <f t="shared" si="3"/>
        <v>O23011745992024020708016</v>
      </c>
      <c r="AA72" s="221" t="str">
        <f>IFERROR(VLOOKUP(Y72,TD!$K$47:$L$65,2,0)," ")</f>
        <v>PM/0131/0108/45990160207</v>
      </c>
      <c r="AB72" s="53" t="s">
        <v>138</v>
      </c>
      <c r="AC72" s="223" t="s">
        <v>204</v>
      </c>
    </row>
    <row r="73" spans="2:29" s="28" customFormat="1" ht="99" customHeight="1" x14ac:dyDescent="0.35">
      <c r="B73" s="77">
        <v>20250010</v>
      </c>
      <c r="C73" s="50" t="s">
        <v>208</v>
      </c>
      <c r="D73" s="218" t="s">
        <v>164</v>
      </c>
      <c r="E73" s="219" t="s">
        <v>389</v>
      </c>
      <c r="F73" s="218" t="s">
        <v>458</v>
      </c>
      <c r="G73" s="218" t="s">
        <v>155</v>
      </c>
      <c r="H73" s="93">
        <v>80111600</v>
      </c>
      <c r="I73" s="220">
        <v>2</v>
      </c>
      <c r="J73" s="220">
        <v>11</v>
      </c>
      <c r="K73" s="52">
        <v>0</v>
      </c>
      <c r="L73" s="53">
        <f>61300000-9050000-22850000</f>
        <v>29400000</v>
      </c>
      <c r="M73" s="218" t="s">
        <v>465</v>
      </c>
      <c r="N73" s="53" t="s">
        <v>113</v>
      </c>
      <c r="O73" s="219" t="s">
        <v>219</v>
      </c>
      <c r="P73" s="221" t="str">
        <f>IFERROR(VLOOKUP(C73,TD!$B$33:$F$37,2,0)," ")</f>
        <v>O230117</v>
      </c>
      <c r="Q73" s="221" t="str">
        <f>IFERROR(VLOOKUP(C73,TD!$B$33:$F$37,3,0)," ")</f>
        <v>4599</v>
      </c>
      <c r="R73" s="221">
        <f>IFERROR(VLOOKUP(C73,TD!$B$33:$F$37,4,0)," ")</f>
        <v>20240207</v>
      </c>
      <c r="S73" s="219" t="s">
        <v>185</v>
      </c>
      <c r="T73" s="221" t="str">
        <f>IFERROR(VLOOKUP(S73,TD!$J$34:$K$44,2,0)," ")</f>
        <v>Infraestructura física, mantenimiento y dotación (Sedes construidas, mantenidas reforzadas)</v>
      </c>
      <c r="U73" s="222" t="str">
        <f t="shared" si="0"/>
        <v>08-Infraestructura física, mantenimiento y dotación (Sedes construidas, mantenidas reforzadas)</v>
      </c>
      <c r="V73" s="219" t="s">
        <v>238</v>
      </c>
      <c r="W73" s="221" t="str">
        <f>IFERROR(VLOOKUP(V73,TD!$N$34:$O$46,2,0)," ")</f>
        <v>Sedes mantenidas</v>
      </c>
      <c r="X73" s="222" t="str">
        <f t="shared" si="1"/>
        <v>016_Sedes mantenidas</v>
      </c>
      <c r="Y73" s="222" t="str">
        <f t="shared" si="2"/>
        <v>08-Infraestructura física, mantenimiento y dotación (Sedes construidas, mantenidas reforzadas) 016_Sedes mantenidas</v>
      </c>
      <c r="Z73" s="221" t="str">
        <f t="shared" si="3"/>
        <v>O23011745992024020708016</v>
      </c>
      <c r="AA73" s="221" t="str">
        <f>IFERROR(VLOOKUP(Y73,TD!$K$47:$L$65,2,0)," ")</f>
        <v>PM/0131/0108/45990160207</v>
      </c>
      <c r="AB73" s="53" t="s">
        <v>138</v>
      </c>
      <c r="AC73" s="223" t="s">
        <v>204</v>
      </c>
    </row>
    <row r="74" spans="2:29" s="28" customFormat="1" ht="99" customHeight="1" x14ac:dyDescent="0.35">
      <c r="B74" s="130">
        <v>20250011</v>
      </c>
      <c r="C74" s="50" t="s">
        <v>208</v>
      </c>
      <c r="D74" s="218" t="s">
        <v>164</v>
      </c>
      <c r="E74" s="219" t="s">
        <v>389</v>
      </c>
      <c r="F74" s="218" t="s">
        <v>816</v>
      </c>
      <c r="G74" s="218" t="s">
        <v>155</v>
      </c>
      <c r="H74" s="93">
        <v>80111600</v>
      </c>
      <c r="I74" s="220">
        <v>2</v>
      </c>
      <c r="J74" s="220">
        <v>11</v>
      </c>
      <c r="K74" s="52">
        <v>0</v>
      </c>
      <c r="L74" s="53">
        <f>65000000-32000000</f>
        <v>33000000</v>
      </c>
      <c r="M74" s="218" t="s">
        <v>465</v>
      </c>
      <c r="N74" s="53" t="s">
        <v>113</v>
      </c>
      <c r="O74" s="219" t="s">
        <v>219</v>
      </c>
      <c r="P74" s="221" t="str">
        <f>IFERROR(VLOOKUP(C74,TD!$B$33:$F$37,2,0)," ")</f>
        <v>O230117</v>
      </c>
      <c r="Q74" s="221" t="str">
        <f>IFERROR(VLOOKUP(C74,TD!$B$33:$F$37,3,0)," ")</f>
        <v>4599</v>
      </c>
      <c r="R74" s="221">
        <f>IFERROR(VLOOKUP(C74,TD!$B$33:$F$37,4,0)," ")</f>
        <v>20240207</v>
      </c>
      <c r="S74" s="219" t="s">
        <v>185</v>
      </c>
      <c r="T74" s="221" t="str">
        <f>IFERROR(VLOOKUP(S74,TD!$J$34:$K$44,2,0)," ")</f>
        <v>Infraestructura física, mantenimiento y dotación (Sedes construidas, mantenidas reforzadas)</v>
      </c>
      <c r="U74" s="222" t="str">
        <f t="shared" si="0"/>
        <v>08-Infraestructura física, mantenimiento y dotación (Sedes construidas, mantenidas reforzadas)</v>
      </c>
      <c r="V74" s="219" t="s">
        <v>238</v>
      </c>
      <c r="W74" s="221" t="str">
        <f>IFERROR(VLOOKUP(V74,TD!$N$34:$O$46,2,0)," ")</f>
        <v>Sedes mantenidas</v>
      </c>
      <c r="X74" s="222" t="str">
        <f t="shared" si="1"/>
        <v>016_Sedes mantenidas</v>
      </c>
      <c r="Y74" s="222" t="str">
        <f t="shared" si="2"/>
        <v>08-Infraestructura física, mantenimiento y dotación (Sedes construidas, mantenidas reforzadas) 016_Sedes mantenidas</v>
      </c>
      <c r="Z74" s="221" t="str">
        <f t="shared" si="3"/>
        <v>O23011745992024020708016</v>
      </c>
      <c r="AA74" s="221" t="str">
        <f>IFERROR(VLOOKUP(Y74,TD!$K$47:$L$65,2,0)," ")</f>
        <v>PM/0131/0108/45990160207</v>
      </c>
      <c r="AB74" s="53" t="s">
        <v>120</v>
      </c>
      <c r="AC74" s="223" t="s">
        <v>204</v>
      </c>
    </row>
    <row r="75" spans="2:29" s="28" customFormat="1" ht="99" customHeight="1" x14ac:dyDescent="0.35">
      <c r="B75" s="77">
        <v>20250012</v>
      </c>
      <c r="C75" s="50" t="s">
        <v>208</v>
      </c>
      <c r="D75" s="218" t="s">
        <v>164</v>
      </c>
      <c r="E75" s="219" t="s">
        <v>389</v>
      </c>
      <c r="F75" s="218" t="s">
        <v>717</v>
      </c>
      <c r="G75" s="218" t="s">
        <v>155</v>
      </c>
      <c r="H75" s="93">
        <v>80111600</v>
      </c>
      <c r="I75" s="220">
        <v>2</v>
      </c>
      <c r="J75" s="220">
        <v>11</v>
      </c>
      <c r="K75" s="52">
        <v>0</v>
      </c>
      <c r="L75" s="53">
        <f>93500000-11000000-37500000</f>
        <v>45000000</v>
      </c>
      <c r="M75" s="218" t="s">
        <v>465</v>
      </c>
      <c r="N75" s="53" t="s">
        <v>113</v>
      </c>
      <c r="O75" s="219" t="s">
        <v>219</v>
      </c>
      <c r="P75" s="221" t="str">
        <f>IFERROR(VLOOKUP(C75,TD!$B$33:$F$37,2,0)," ")</f>
        <v>O230117</v>
      </c>
      <c r="Q75" s="221" t="str">
        <f>IFERROR(VLOOKUP(C75,TD!$B$33:$F$37,3,0)," ")</f>
        <v>4599</v>
      </c>
      <c r="R75" s="221">
        <f>IFERROR(VLOOKUP(C75,TD!$B$33:$F$37,4,0)," ")</f>
        <v>20240207</v>
      </c>
      <c r="S75" s="219" t="s">
        <v>185</v>
      </c>
      <c r="T75" s="221" t="str">
        <f>IFERROR(VLOOKUP(S75,TD!$J$34:$K$44,2,0)," ")</f>
        <v>Infraestructura física, mantenimiento y dotación (Sedes construidas, mantenidas reforzadas)</v>
      </c>
      <c r="U75" s="222" t="str">
        <f t="shared" si="0"/>
        <v>08-Infraestructura física, mantenimiento y dotación (Sedes construidas, mantenidas reforzadas)</v>
      </c>
      <c r="V75" s="219" t="s">
        <v>238</v>
      </c>
      <c r="W75" s="221" t="str">
        <f>IFERROR(VLOOKUP(V75,TD!$N$34:$O$46,2,0)," ")</f>
        <v>Sedes mantenidas</v>
      </c>
      <c r="X75" s="222" t="str">
        <f t="shared" si="1"/>
        <v>016_Sedes mantenidas</v>
      </c>
      <c r="Y75" s="222" t="str">
        <f t="shared" si="2"/>
        <v>08-Infraestructura física, mantenimiento y dotación (Sedes construidas, mantenidas reforzadas) 016_Sedes mantenidas</v>
      </c>
      <c r="Z75" s="221" t="str">
        <f t="shared" si="3"/>
        <v>O23011745992024020708016</v>
      </c>
      <c r="AA75" s="221" t="str">
        <f>IFERROR(VLOOKUP(Y75,TD!$K$47:$L$65,2,0)," ")</f>
        <v>PM/0131/0108/45990160207</v>
      </c>
      <c r="AB75" s="53" t="s">
        <v>120</v>
      </c>
      <c r="AC75" s="223" t="s">
        <v>204</v>
      </c>
    </row>
    <row r="76" spans="2:29" s="28" customFormat="1" ht="99" customHeight="1" x14ac:dyDescent="0.35">
      <c r="B76" s="77">
        <v>20250013</v>
      </c>
      <c r="C76" s="50" t="s">
        <v>208</v>
      </c>
      <c r="D76" s="218" t="s">
        <v>164</v>
      </c>
      <c r="E76" s="219" t="s">
        <v>389</v>
      </c>
      <c r="F76" s="218" t="s">
        <v>717</v>
      </c>
      <c r="G76" s="218" t="s">
        <v>155</v>
      </c>
      <c r="H76" s="93">
        <v>80111600</v>
      </c>
      <c r="I76" s="220">
        <v>2</v>
      </c>
      <c r="J76" s="220">
        <v>11</v>
      </c>
      <c r="K76" s="52">
        <v>0</v>
      </c>
      <c r="L76" s="53">
        <f>93500000-5500000-37000000</f>
        <v>51000000</v>
      </c>
      <c r="M76" s="218" t="s">
        <v>465</v>
      </c>
      <c r="N76" s="53" t="s">
        <v>113</v>
      </c>
      <c r="O76" s="219" t="s">
        <v>219</v>
      </c>
      <c r="P76" s="221" t="str">
        <f>IFERROR(VLOOKUP(C76,TD!$B$33:$F$37,2,0)," ")</f>
        <v>O230117</v>
      </c>
      <c r="Q76" s="221" t="str">
        <f>IFERROR(VLOOKUP(C76,TD!$B$33:$F$37,3,0)," ")</f>
        <v>4599</v>
      </c>
      <c r="R76" s="221">
        <f>IFERROR(VLOOKUP(C76,TD!$B$33:$F$37,4,0)," ")</f>
        <v>20240207</v>
      </c>
      <c r="S76" s="219" t="s">
        <v>185</v>
      </c>
      <c r="T76" s="221" t="str">
        <f>IFERROR(VLOOKUP(S76,TD!$J$34:$K$44,2,0)," ")</f>
        <v>Infraestructura física, mantenimiento y dotación (Sedes construidas, mantenidas reforzadas)</v>
      </c>
      <c r="U76" s="222" t="str">
        <f t="shared" ref="U76:U139" si="4">CONCATENATE(S76,"-",T76)</f>
        <v>08-Infraestructura física, mantenimiento y dotación (Sedes construidas, mantenidas reforzadas)</v>
      </c>
      <c r="V76" s="219" t="s">
        <v>238</v>
      </c>
      <c r="W76" s="221" t="str">
        <f>IFERROR(VLOOKUP(V76,TD!$N$34:$O$46,2,0)," ")</f>
        <v>Sedes mantenidas</v>
      </c>
      <c r="X76" s="222" t="str">
        <f t="shared" ref="X76:X139" si="5">CONCATENATE(V76,"_",W76)</f>
        <v>016_Sedes mantenidas</v>
      </c>
      <c r="Y76" s="222" t="str">
        <f t="shared" ref="Y76:Y139" si="6">CONCATENATE(U76," ",X76)</f>
        <v>08-Infraestructura física, mantenimiento y dotación (Sedes construidas, mantenidas reforzadas) 016_Sedes mantenidas</v>
      </c>
      <c r="Z76" s="221" t="str">
        <f t="shared" ref="Z76:Z139" si="7">CONCATENATE(P76,Q76,R76,S76,V76)</f>
        <v>O23011745992024020708016</v>
      </c>
      <c r="AA76" s="221" t="str">
        <f>IFERROR(VLOOKUP(Y76,TD!$K$47:$L$65,2,0)," ")</f>
        <v>PM/0131/0108/45990160207</v>
      </c>
      <c r="AB76" s="53" t="s">
        <v>120</v>
      </c>
      <c r="AC76" s="223" t="s">
        <v>204</v>
      </c>
    </row>
    <row r="77" spans="2:29" s="28" customFormat="1" ht="99" customHeight="1" x14ac:dyDescent="0.35">
      <c r="B77" s="77">
        <v>20250014</v>
      </c>
      <c r="C77" s="50" t="s">
        <v>208</v>
      </c>
      <c r="D77" s="218" t="s">
        <v>164</v>
      </c>
      <c r="E77" s="219" t="s">
        <v>389</v>
      </c>
      <c r="F77" s="218" t="s">
        <v>717</v>
      </c>
      <c r="G77" s="218" t="s">
        <v>155</v>
      </c>
      <c r="H77" s="93">
        <v>80111600</v>
      </c>
      <c r="I77" s="220">
        <v>2</v>
      </c>
      <c r="J77" s="220">
        <v>11</v>
      </c>
      <c r="K77" s="52">
        <v>0</v>
      </c>
      <c r="L77" s="53">
        <f>63500000-18500000</f>
        <v>45000000</v>
      </c>
      <c r="M77" s="218" t="s">
        <v>465</v>
      </c>
      <c r="N77" s="53" t="s">
        <v>113</v>
      </c>
      <c r="O77" s="219" t="s">
        <v>219</v>
      </c>
      <c r="P77" s="221" t="str">
        <f>IFERROR(VLOOKUP(C77,TD!$B$33:$F$37,2,0)," ")</f>
        <v>O230117</v>
      </c>
      <c r="Q77" s="221" t="str">
        <f>IFERROR(VLOOKUP(C77,TD!$B$33:$F$37,3,0)," ")</f>
        <v>4599</v>
      </c>
      <c r="R77" s="221">
        <f>IFERROR(VLOOKUP(C77,TD!$B$33:$F$37,4,0)," ")</f>
        <v>20240207</v>
      </c>
      <c r="S77" s="219" t="s">
        <v>185</v>
      </c>
      <c r="T77" s="221" t="str">
        <f>IFERROR(VLOOKUP(S77,TD!$J$34:$K$44,2,0)," ")</f>
        <v>Infraestructura física, mantenimiento y dotación (Sedes construidas, mantenidas reforzadas)</v>
      </c>
      <c r="U77" s="222" t="str">
        <f t="shared" si="4"/>
        <v>08-Infraestructura física, mantenimiento y dotación (Sedes construidas, mantenidas reforzadas)</v>
      </c>
      <c r="V77" s="219" t="s">
        <v>238</v>
      </c>
      <c r="W77" s="221" t="str">
        <f>IFERROR(VLOOKUP(V77,TD!$N$34:$O$46,2,0)," ")</f>
        <v>Sedes mantenidas</v>
      </c>
      <c r="X77" s="222" t="str">
        <f t="shared" si="5"/>
        <v>016_Sedes mantenidas</v>
      </c>
      <c r="Y77" s="222" t="str">
        <f t="shared" si="6"/>
        <v>08-Infraestructura física, mantenimiento y dotación (Sedes construidas, mantenidas reforzadas) 016_Sedes mantenidas</v>
      </c>
      <c r="Z77" s="221" t="str">
        <f t="shared" si="7"/>
        <v>O23011745992024020708016</v>
      </c>
      <c r="AA77" s="221" t="str">
        <f>IFERROR(VLOOKUP(Y77,TD!$K$47:$L$65,2,0)," ")</f>
        <v>PM/0131/0108/45990160207</v>
      </c>
      <c r="AB77" s="53" t="s">
        <v>120</v>
      </c>
      <c r="AC77" s="223" t="s">
        <v>204</v>
      </c>
    </row>
    <row r="78" spans="2:29" s="28" customFormat="1" ht="99" customHeight="1" x14ac:dyDescent="0.35">
      <c r="B78" s="77">
        <v>20250015</v>
      </c>
      <c r="C78" s="50" t="s">
        <v>208</v>
      </c>
      <c r="D78" s="218" t="s">
        <v>164</v>
      </c>
      <c r="E78" s="219" t="s">
        <v>389</v>
      </c>
      <c r="F78" s="218" t="s">
        <v>718</v>
      </c>
      <c r="G78" s="218" t="s">
        <v>155</v>
      </c>
      <c r="H78" s="93">
        <v>80111600</v>
      </c>
      <c r="I78" s="220">
        <v>2</v>
      </c>
      <c r="J78" s="220">
        <v>11</v>
      </c>
      <c r="K78" s="52">
        <v>0</v>
      </c>
      <c r="L78" s="53">
        <f>82500000-5500000-35000000</f>
        <v>42000000</v>
      </c>
      <c r="M78" s="218" t="s">
        <v>465</v>
      </c>
      <c r="N78" s="53" t="s">
        <v>113</v>
      </c>
      <c r="O78" s="219" t="s">
        <v>219</v>
      </c>
      <c r="P78" s="221" t="str">
        <f>IFERROR(VLOOKUP(C78,TD!$B$33:$F$37,2,0)," ")</f>
        <v>O230117</v>
      </c>
      <c r="Q78" s="221" t="str">
        <f>IFERROR(VLOOKUP(C78,TD!$B$33:$F$37,3,0)," ")</f>
        <v>4599</v>
      </c>
      <c r="R78" s="221">
        <f>IFERROR(VLOOKUP(C78,TD!$B$33:$F$37,4,0)," ")</f>
        <v>20240207</v>
      </c>
      <c r="S78" s="219" t="s">
        <v>185</v>
      </c>
      <c r="T78" s="221" t="str">
        <f>IFERROR(VLOOKUP(S78,TD!$J$34:$K$44,2,0)," ")</f>
        <v>Infraestructura física, mantenimiento y dotación (Sedes construidas, mantenidas reforzadas)</v>
      </c>
      <c r="U78" s="222" t="str">
        <f t="shared" si="4"/>
        <v>08-Infraestructura física, mantenimiento y dotación (Sedes construidas, mantenidas reforzadas)</v>
      </c>
      <c r="V78" s="219" t="s">
        <v>238</v>
      </c>
      <c r="W78" s="221" t="str">
        <f>IFERROR(VLOOKUP(V78,TD!$N$34:$O$46,2,0)," ")</f>
        <v>Sedes mantenidas</v>
      </c>
      <c r="X78" s="222" t="str">
        <f t="shared" si="5"/>
        <v>016_Sedes mantenidas</v>
      </c>
      <c r="Y78" s="222" t="str">
        <f t="shared" si="6"/>
        <v>08-Infraestructura física, mantenimiento y dotación (Sedes construidas, mantenidas reforzadas) 016_Sedes mantenidas</v>
      </c>
      <c r="Z78" s="221" t="str">
        <f t="shared" si="7"/>
        <v>O23011745992024020708016</v>
      </c>
      <c r="AA78" s="221" t="str">
        <f>IFERROR(VLOOKUP(Y78,TD!$K$47:$L$65,2,0)," ")</f>
        <v>PM/0131/0108/45990160207</v>
      </c>
      <c r="AB78" s="53" t="s">
        <v>120</v>
      </c>
      <c r="AC78" s="223" t="s">
        <v>204</v>
      </c>
    </row>
    <row r="79" spans="2:29" s="28" customFormat="1" ht="99" customHeight="1" x14ac:dyDescent="0.35">
      <c r="B79" s="77">
        <v>20250016</v>
      </c>
      <c r="C79" s="50" t="s">
        <v>208</v>
      </c>
      <c r="D79" s="218" t="s">
        <v>164</v>
      </c>
      <c r="E79" s="219" t="s">
        <v>389</v>
      </c>
      <c r="F79" s="218" t="s">
        <v>717</v>
      </c>
      <c r="G79" s="218" t="s">
        <v>155</v>
      </c>
      <c r="H79" s="93">
        <v>80111600</v>
      </c>
      <c r="I79" s="220">
        <v>2</v>
      </c>
      <c r="J79" s="220">
        <v>11</v>
      </c>
      <c r="K79" s="52">
        <v>0</v>
      </c>
      <c r="L79" s="53">
        <f>82500000-11000000-32500000</f>
        <v>39000000</v>
      </c>
      <c r="M79" s="218" t="s">
        <v>465</v>
      </c>
      <c r="N79" s="53" t="s">
        <v>113</v>
      </c>
      <c r="O79" s="219" t="s">
        <v>219</v>
      </c>
      <c r="P79" s="221" t="str">
        <f>IFERROR(VLOOKUP(C79,TD!$B$33:$F$37,2,0)," ")</f>
        <v>O230117</v>
      </c>
      <c r="Q79" s="221" t="str">
        <f>IFERROR(VLOOKUP(C79,TD!$B$33:$F$37,3,0)," ")</f>
        <v>4599</v>
      </c>
      <c r="R79" s="221">
        <f>IFERROR(VLOOKUP(C79,TD!$B$33:$F$37,4,0)," ")</f>
        <v>20240207</v>
      </c>
      <c r="S79" s="219" t="s">
        <v>185</v>
      </c>
      <c r="T79" s="221" t="str">
        <f>IFERROR(VLOOKUP(S79,TD!$J$34:$K$44,2,0)," ")</f>
        <v>Infraestructura física, mantenimiento y dotación (Sedes construidas, mantenidas reforzadas)</v>
      </c>
      <c r="U79" s="222" t="str">
        <f t="shared" si="4"/>
        <v>08-Infraestructura física, mantenimiento y dotación (Sedes construidas, mantenidas reforzadas)</v>
      </c>
      <c r="V79" s="219" t="s">
        <v>238</v>
      </c>
      <c r="W79" s="221" t="str">
        <f>IFERROR(VLOOKUP(V79,TD!$N$34:$O$46,2,0)," ")</f>
        <v>Sedes mantenidas</v>
      </c>
      <c r="X79" s="222" t="str">
        <f t="shared" si="5"/>
        <v>016_Sedes mantenidas</v>
      </c>
      <c r="Y79" s="222" t="str">
        <f t="shared" si="6"/>
        <v>08-Infraestructura física, mantenimiento y dotación (Sedes construidas, mantenidas reforzadas) 016_Sedes mantenidas</v>
      </c>
      <c r="Z79" s="221" t="str">
        <f t="shared" si="7"/>
        <v>O23011745992024020708016</v>
      </c>
      <c r="AA79" s="221" t="str">
        <f>IFERROR(VLOOKUP(Y79,TD!$K$47:$L$65,2,0)," ")</f>
        <v>PM/0131/0108/45990160207</v>
      </c>
      <c r="AB79" s="53" t="s">
        <v>120</v>
      </c>
      <c r="AC79" s="223" t="s">
        <v>204</v>
      </c>
    </row>
    <row r="80" spans="2:29" s="28" customFormat="1" ht="99" customHeight="1" x14ac:dyDescent="0.35">
      <c r="B80" s="77">
        <v>20250017</v>
      </c>
      <c r="C80" s="50" t="s">
        <v>208</v>
      </c>
      <c r="D80" s="218" t="s">
        <v>164</v>
      </c>
      <c r="E80" s="219" t="s">
        <v>389</v>
      </c>
      <c r="F80" s="218" t="s">
        <v>717</v>
      </c>
      <c r="G80" s="218" t="s">
        <v>155</v>
      </c>
      <c r="H80" s="93">
        <v>80111600</v>
      </c>
      <c r="I80" s="220">
        <v>2</v>
      </c>
      <c r="J80" s="220">
        <v>11</v>
      </c>
      <c r="K80" s="52">
        <v>0</v>
      </c>
      <c r="L80" s="53">
        <f>75000000-45000000</f>
        <v>30000000</v>
      </c>
      <c r="M80" s="218" t="s">
        <v>465</v>
      </c>
      <c r="N80" s="53" t="s">
        <v>113</v>
      </c>
      <c r="O80" s="219" t="s">
        <v>219</v>
      </c>
      <c r="P80" s="221" t="str">
        <f>IFERROR(VLOOKUP(C80,TD!$B$33:$F$37,2,0)," ")</f>
        <v>O230117</v>
      </c>
      <c r="Q80" s="221" t="str">
        <f>IFERROR(VLOOKUP(C80,TD!$B$33:$F$37,3,0)," ")</f>
        <v>4599</v>
      </c>
      <c r="R80" s="221">
        <f>IFERROR(VLOOKUP(C80,TD!$B$33:$F$37,4,0)," ")</f>
        <v>20240207</v>
      </c>
      <c r="S80" s="219" t="s">
        <v>185</v>
      </c>
      <c r="T80" s="221" t="str">
        <f>IFERROR(VLOOKUP(S80,TD!$J$34:$K$44,2,0)," ")</f>
        <v>Infraestructura física, mantenimiento y dotación (Sedes construidas, mantenidas reforzadas)</v>
      </c>
      <c r="U80" s="222" t="str">
        <f t="shared" si="4"/>
        <v>08-Infraestructura física, mantenimiento y dotación (Sedes construidas, mantenidas reforzadas)</v>
      </c>
      <c r="V80" s="219" t="s">
        <v>238</v>
      </c>
      <c r="W80" s="221" t="str">
        <f>IFERROR(VLOOKUP(V80,TD!$N$34:$O$46,2,0)," ")</f>
        <v>Sedes mantenidas</v>
      </c>
      <c r="X80" s="222" t="str">
        <f t="shared" si="5"/>
        <v>016_Sedes mantenidas</v>
      </c>
      <c r="Y80" s="222" t="str">
        <f t="shared" si="6"/>
        <v>08-Infraestructura física, mantenimiento y dotación (Sedes construidas, mantenidas reforzadas) 016_Sedes mantenidas</v>
      </c>
      <c r="Z80" s="221" t="str">
        <f t="shared" si="7"/>
        <v>O23011745992024020708016</v>
      </c>
      <c r="AA80" s="221" t="str">
        <f>IFERROR(VLOOKUP(Y80,TD!$K$47:$L$65,2,0)," ")</f>
        <v>PM/0131/0108/45990160207</v>
      </c>
      <c r="AB80" s="53" t="s">
        <v>120</v>
      </c>
      <c r="AC80" s="223" t="s">
        <v>204</v>
      </c>
    </row>
    <row r="81" spans="2:29" s="28" customFormat="1" ht="99" customHeight="1" x14ac:dyDescent="0.35">
      <c r="B81" s="77">
        <v>20250018</v>
      </c>
      <c r="C81" s="50" t="s">
        <v>208</v>
      </c>
      <c r="D81" s="218" t="s">
        <v>164</v>
      </c>
      <c r="E81" s="219" t="s">
        <v>389</v>
      </c>
      <c r="F81" s="218" t="s">
        <v>717</v>
      </c>
      <c r="G81" s="218" t="s">
        <v>155</v>
      </c>
      <c r="H81" s="93">
        <v>80111600</v>
      </c>
      <c r="I81" s="220">
        <v>2</v>
      </c>
      <c r="J81" s="220">
        <v>11</v>
      </c>
      <c r="K81" s="52">
        <v>0</v>
      </c>
      <c r="L81" s="53">
        <f>42700000-12700000</f>
        <v>30000000</v>
      </c>
      <c r="M81" s="218" t="s">
        <v>465</v>
      </c>
      <c r="N81" s="53" t="s">
        <v>113</v>
      </c>
      <c r="O81" s="219" t="s">
        <v>219</v>
      </c>
      <c r="P81" s="221" t="str">
        <f>IFERROR(VLOOKUP(C81,TD!$B$33:$F$37,2,0)," ")</f>
        <v>O230117</v>
      </c>
      <c r="Q81" s="221" t="str">
        <f>IFERROR(VLOOKUP(C81,TD!$B$33:$F$37,3,0)," ")</f>
        <v>4599</v>
      </c>
      <c r="R81" s="221">
        <f>IFERROR(VLOOKUP(C81,TD!$B$33:$F$37,4,0)," ")</f>
        <v>20240207</v>
      </c>
      <c r="S81" s="219" t="s">
        <v>185</v>
      </c>
      <c r="T81" s="221" t="str">
        <f>IFERROR(VLOOKUP(S81,TD!$J$34:$K$44,2,0)," ")</f>
        <v>Infraestructura física, mantenimiento y dotación (Sedes construidas, mantenidas reforzadas)</v>
      </c>
      <c r="U81" s="222" t="str">
        <f t="shared" si="4"/>
        <v>08-Infraestructura física, mantenimiento y dotación (Sedes construidas, mantenidas reforzadas)</v>
      </c>
      <c r="V81" s="219" t="s">
        <v>238</v>
      </c>
      <c r="W81" s="221" t="str">
        <f>IFERROR(VLOOKUP(V81,TD!$N$34:$O$46,2,0)," ")</f>
        <v>Sedes mantenidas</v>
      </c>
      <c r="X81" s="222" t="str">
        <f t="shared" si="5"/>
        <v>016_Sedes mantenidas</v>
      </c>
      <c r="Y81" s="222" t="str">
        <f t="shared" si="6"/>
        <v>08-Infraestructura física, mantenimiento y dotación (Sedes construidas, mantenidas reforzadas) 016_Sedes mantenidas</v>
      </c>
      <c r="Z81" s="221" t="str">
        <f t="shared" si="7"/>
        <v>O23011745992024020708016</v>
      </c>
      <c r="AA81" s="221" t="str">
        <f>IFERROR(VLOOKUP(Y81,TD!$K$47:$L$65,2,0)," ")</f>
        <v>PM/0131/0108/45990160207</v>
      </c>
      <c r="AB81" s="53" t="s">
        <v>120</v>
      </c>
      <c r="AC81" s="223" t="s">
        <v>204</v>
      </c>
    </row>
    <row r="82" spans="2:29" s="28" customFormat="1" ht="99" customHeight="1" x14ac:dyDescent="0.35">
      <c r="B82" s="130">
        <v>20250019</v>
      </c>
      <c r="C82" s="50" t="s">
        <v>208</v>
      </c>
      <c r="D82" s="218" t="s">
        <v>164</v>
      </c>
      <c r="E82" s="219" t="s">
        <v>389</v>
      </c>
      <c r="F82" s="218" t="s">
        <v>719</v>
      </c>
      <c r="G82" s="218" t="s">
        <v>156</v>
      </c>
      <c r="H82" s="93">
        <v>80111600</v>
      </c>
      <c r="I82" s="220">
        <v>2</v>
      </c>
      <c r="J82" s="220">
        <v>11</v>
      </c>
      <c r="K82" s="52">
        <v>0</v>
      </c>
      <c r="L82" s="53">
        <f>66000000-28800000</f>
        <v>37200000</v>
      </c>
      <c r="M82" s="218" t="s">
        <v>465</v>
      </c>
      <c r="N82" s="53" t="s">
        <v>113</v>
      </c>
      <c r="O82" s="219" t="s">
        <v>219</v>
      </c>
      <c r="P82" s="221" t="str">
        <f>IFERROR(VLOOKUP(C82,TD!$B$33:$F$37,2,0)," ")</f>
        <v>O230117</v>
      </c>
      <c r="Q82" s="221" t="str">
        <f>IFERROR(VLOOKUP(C82,TD!$B$33:$F$37,3,0)," ")</f>
        <v>4599</v>
      </c>
      <c r="R82" s="221">
        <f>IFERROR(VLOOKUP(C82,TD!$B$33:$F$37,4,0)," ")</f>
        <v>20240207</v>
      </c>
      <c r="S82" s="219" t="s">
        <v>185</v>
      </c>
      <c r="T82" s="221" t="str">
        <f>IFERROR(VLOOKUP(S82,TD!$J$34:$K$44,2,0)," ")</f>
        <v>Infraestructura física, mantenimiento y dotación (Sedes construidas, mantenidas reforzadas)</v>
      </c>
      <c r="U82" s="222" t="str">
        <f t="shared" si="4"/>
        <v>08-Infraestructura física, mantenimiento y dotación (Sedes construidas, mantenidas reforzadas)</v>
      </c>
      <c r="V82" s="219" t="s">
        <v>238</v>
      </c>
      <c r="W82" s="221" t="str">
        <f>IFERROR(VLOOKUP(V82,TD!$N$34:$O$46,2,0)," ")</f>
        <v>Sedes mantenidas</v>
      </c>
      <c r="X82" s="222" t="str">
        <f t="shared" si="5"/>
        <v>016_Sedes mantenidas</v>
      </c>
      <c r="Y82" s="222" t="str">
        <f t="shared" si="6"/>
        <v>08-Infraestructura física, mantenimiento y dotación (Sedes construidas, mantenidas reforzadas) 016_Sedes mantenidas</v>
      </c>
      <c r="Z82" s="221" t="str">
        <f t="shared" si="7"/>
        <v>O23011745992024020708016</v>
      </c>
      <c r="AA82" s="221" t="str">
        <f>IFERROR(VLOOKUP(Y82,TD!$K$47:$L$65,2,0)," ")</f>
        <v>PM/0131/0108/45990160207</v>
      </c>
      <c r="AB82" s="53" t="s">
        <v>138</v>
      </c>
      <c r="AC82" s="223" t="s">
        <v>204</v>
      </c>
    </row>
    <row r="83" spans="2:29" s="28" customFormat="1" ht="99" customHeight="1" x14ac:dyDescent="0.35">
      <c r="B83" s="130">
        <v>20250020</v>
      </c>
      <c r="C83" s="50" t="s">
        <v>208</v>
      </c>
      <c r="D83" s="218" t="s">
        <v>164</v>
      </c>
      <c r="E83" s="219" t="s">
        <v>389</v>
      </c>
      <c r="F83" s="218" t="s">
        <v>719</v>
      </c>
      <c r="G83" s="218" t="s">
        <v>156</v>
      </c>
      <c r="H83" s="93">
        <v>80111600</v>
      </c>
      <c r="I83" s="220">
        <v>2</v>
      </c>
      <c r="J83" s="220">
        <v>11</v>
      </c>
      <c r="K83" s="52">
        <v>0</v>
      </c>
      <c r="L83" s="53">
        <f>66000000-47000000</f>
        <v>19000000</v>
      </c>
      <c r="M83" s="218" t="s">
        <v>465</v>
      </c>
      <c r="N83" s="53" t="s">
        <v>113</v>
      </c>
      <c r="O83" s="219" t="s">
        <v>219</v>
      </c>
      <c r="P83" s="221" t="str">
        <f>IFERROR(VLOOKUP(C83,TD!$B$33:$F$37,2,0)," ")</f>
        <v>O230117</v>
      </c>
      <c r="Q83" s="221" t="str">
        <f>IFERROR(VLOOKUP(C83,TD!$B$33:$F$37,3,0)," ")</f>
        <v>4599</v>
      </c>
      <c r="R83" s="221">
        <f>IFERROR(VLOOKUP(C83,TD!$B$33:$F$37,4,0)," ")</f>
        <v>20240207</v>
      </c>
      <c r="S83" s="219" t="s">
        <v>185</v>
      </c>
      <c r="T83" s="221" t="str">
        <f>IFERROR(VLOOKUP(S83,TD!$J$34:$K$44,2,0)," ")</f>
        <v>Infraestructura física, mantenimiento y dotación (Sedes construidas, mantenidas reforzadas)</v>
      </c>
      <c r="U83" s="222" t="str">
        <f t="shared" si="4"/>
        <v>08-Infraestructura física, mantenimiento y dotación (Sedes construidas, mantenidas reforzadas)</v>
      </c>
      <c r="V83" s="219" t="s">
        <v>238</v>
      </c>
      <c r="W83" s="221" t="str">
        <f>IFERROR(VLOOKUP(V83,TD!$N$34:$O$46,2,0)," ")</f>
        <v>Sedes mantenidas</v>
      </c>
      <c r="X83" s="222" t="str">
        <f t="shared" si="5"/>
        <v>016_Sedes mantenidas</v>
      </c>
      <c r="Y83" s="222" t="str">
        <f t="shared" si="6"/>
        <v>08-Infraestructura física, mantenimiento y dotación (Sedes construidas, mantenidas reforzadas) 016_Sedes mantenidas</v>
      </c>
      <c r="Z83" s="221" t="str">
        <f t="shared" si="7"/>
        <v>O23011745992024020708016</v>
      </c>
      <c r="AA83" s="221" t="str">
        <f>IFERROR(VLOOKUP(Y83,TD!$K$47:$L$65,2,0)," ")</f>
        <v>PM/0131/0108/45990160207</v>
      </c>
      <c r="AB83" s="53" t="s">
        <v>138</v>
      </c>
      <c r="AC83" s="223" t="s">
        <v>204</v>
      </c>
    </row>
    <row r="84" spans="2:29" s="28" customFormat="1" ht="99" customHeight="1" x14ac:dyDescent="0.35">
      <c r="B84" s="130">
        <v>20250021</v>
      </c>
      <c r="C84" s="50" t="s">
        <v>208</v>
      </c>
      <c r="D84" s="218" t="s">
        <v>164</v>
      </c>
      <c r="E84" s="219" t="s">
        <v>389</v>
      </c>
      <c r="F84" s="218" t="s">
        <v>719</v>
      </c>
      <c r="G84" s="218" t="s">
        <v>156</v>
      </c>
      <c r="H84" s="93">
        <v>80111600</v>
      </c>
      <c r="I84" s="220">
        <v>2</v>
      </c>
      <c r="J84" s="220">
        <v>11</v>
      </c>
      <c r="K84" s="52">
        <v>0</v>
      </c>
      <c r="L84" s="53">
        <f>71500000-34300000</f>
        <v>37200000</v>
      </c>
      <c r="M84" s="218" t="s">
        <v>465</v>
      </c>
      <c r="N84" s="53" t="s">
        <v>113</v>
      </c>
      <c r="O84" s="219" t="s">
        <v>219</v>
      </c>
      <c r="P84" s="221" t="str">
        <f>IFERROR(VLOOKUP(C84,TD!$B$33:$F$37,2,0)," ")</f>
        <v>O230117</v>
      </c>
      <c r="Q84" s="221" t="str">
        <f>IFERROR(VLOOKUP(C84,TD!$B$33:$F$37,3,0)," ")</f>
        <v>4599</v>
      </c>
      <c r="R84" s="221">
        <f>IFERROR(VLOOKUP(C84,TD!$B$33:$F$37,4,0)," ")</f>
        <v>20240207</v>
      </c>
      <c r="S84" s="219" t="s">
        <v>185</v>
      </c>
      <c r="T84" s="221" t="str">
        <f>IFERROR(VLOOKUP(S84,TD!$J$34:$K$44,2,0)," ")</f>
        <v>Infraestructura física, mantenimiento y dotación (Sedes construidas, mantenidas reforzadas)</v>
      </c>
      <c r="U84" s="222" t="str">
        <f t="shared" si="4"/>
        <v>08-Infraestructura física, mantenimiento y dotación (Sedes construidas, mantenidas reforzadas)</v>
      </c>
      <c r="V84" s="219" t="s">
        <v>238</v>
      </c>
      <c r="W84" s="221" t="str">
        <f>IFERROR(VLOOKUP(V84,TD!$N$34:$O$46,2,0)," ")</f>
        <v>Sedes mantenidas</v>
      </c>
      <c r="X84" s="222" t="str">
        <f t="shared" si="5"/>
        <v>016_Sedes mantenidas</v>
      </c>
      <c r="Y84" s="222" t="str">
        <f t="shared" si="6"/>
        <v>08-Infraestructura física, mantenimiento y dotación (Sedes construidas, mantenidas reforzadas) 016_Sedes mantenidas</v>
      </c>
      <c r="Z84" s="221" t="str">
        <f t="shared" si="7"/>
        <v>O23011745992024020708016</v>
      </c>
      <c r="AA84" s="221" t="str">
        <f>IFERROR(VLOOKUP(Y84,TD!$K$47:$L$65,2,0)," ")</f>
        <v>PM/0131/0108/45990160207</v>
      </c>
      <c r="AB84" s="53" t="s">
        <v>138</v>
      </c>
      <c r="AC84" s="223" t="s">
        <v>204</v>
      </c>
    </row>
    <row r="85" spans="2:29" s="28" customFormat="1" ht="99" customHeight="1" x14ac:dyDescent="0.35">
      <c r="B85" s="130">
        <v>20250022</v>
      </c>
      <c r="C85" s="50" t="s">
        <v>208</v>
      </c>
      <c r="D85" s="218" t="s">
        <v>164</v>
      </c>
      <c r="E85" s="219" t="s">
        <v>389</v>
      </c>
      <c r="F85" s="218" t="s">
        <v>719</v>
      </c>
      <c r="G85" s="218" t="s">
        <v>155</v>
      </c>
      <c r="H85" s="93">
        <v>80111600</v>
      </c>
      <c r="I85" s="220">
        <v>2</v>
      </c>
      <c r="J85" s="220">
        <v>11</v>
      </c>
      <c r="K85" s="52">
        <v>0</v>
      </c>
      <c r="L85" s="53">
        <f>71500000-34300000</f>
        <v>37200000</v>
      </c>
      <c r="M85" s="218" t="s">
        <v>465</v>
      </c>
      <c r="N85" s="53" t="s">
        <v>113</v>
      </c>
      <c r="O85" s="219" t="s">
        <v>219</v>
      </c>
      <c r="P85" s="221" t="str">
        <f>IFERROR(VLOOKUP(C85,TD!$B$33:$F$37,2,0)," ")</f>
        <v>O230117</v>
      </c>
      <c r="Q85" s="221" t="str">
        <f>IFERROR(VLOOKUP(C85,TD!$B$33:$F$37,3,0)," ")</f>
        <v>4599</v>
      </c>
      <c r="R85" s="221">
        <f>IFERROR(VLOOKUP(C85,TD!$B$33:$F$37,4,0)," ")</f>
        <v>20240207</v>
      </c>
      <c r="S85" s="219" t="s">
        <v>185</v>
      </c>
      <c r="T85" s="221" t="str">
        <f>IFERROR(VLOOKUP(S85,TD!$J$34:$K$44,2,0)," ")</f>
        <v>Infraestructura física, mantenimiento y dotación (Sedes construidas, mantenidas reforzadas)</v>
      </c>
      <c r="U85" s="222" t="str">
        <f t="shared" si="4"/>
        <v>08-Infraestructura física, mantenimiento y dotación (Sedes construidas, mantenidas reforzadas)</v>
      </c>
      <c r="V85" s="219" t="s">
        <v>238</v>
      </c>
      <c r="W85" s="221" t="str">
        <f>IFERROR(VLOOKUP(V85,TD!$N$34:$O$46,2,0)," ")</f>
        <v>Sedes mantenidas</v>
      </c>
      <c r="X85" s="222" t="str">
        <f t="shared" si="5"/>
        <v>016_Sedes mantenidas</v>
      </c>
      <c r="Y85" s="222" t="str">
        <f t="shared" si="6"/>
        <v>08-Infraestructura física, mantenimiento y dotación (Sedes construidas, mantenidas reforzadas) 016_Sedes mantenidas</v>
      </c>
      <c r="Z85" s="221" t="str">
        <f t="shared" si="7"/>
        <v>O23011745992024020708016</v>
      </c>
      <c r="AA85" s="221" t="str">
        <f>IFERROR(VLOOKUP(Y85,TD!$K$47:$L$65,2,0)," ")</f>
        <v>PM/0131/0108/45990160207</v>
      </c>
      <c r="AB85" s="53" t="s">
        <v>138</v>
      </c>
      <c r="AC85" s="223" t="s">
        <v>204</v>
      </c>
    </row>
    <row r="86" spans="2:29" s="28" customFormat="1" ht="112" customHeight="1" x14ac:dyDescent="0.35">
      <c r="B86" s="77">
        <v>20250023</v>
      </c>
      <c r="C86" s="50" t="s">
        <v>208</v>
      </c>
      <c r="D86" s="218" t="s">
        <v>164</v>
      </c>
      <c r="E86" s="219" t="s">
        <v>389</v>
      </c>
      <c r="F86" s="218" t="s">
        <v>388</v>
      </c>
      <c r="G86" s="218" t="s">
        <v>155</v>
      </c>
      <c r="H86" s="93">
        <v>80111600</v>
      </c>
      <c r="I86" s="220">
        <v>2</v>
      </c>
      <c r="J86" s="220">
        <v>11</v>
      </c>
      <c r="K86" s="52">
        <v>0</v>
      </c>
      <c r="L86" s="53">
        <f>93500000-1650000-41750000</f>
        <v>50100000</v>
      </c>
      <c r="M86" s="218" t="s">
        <v>465</v>
      </c>
      <c r="N86" s="53" t="s">
        <v>113</v>
      </c>
      <c r="O86" s="219" t="s">
        <v>219</v>
      </c>
      <c r="P86" s="221" t="str">
        <f>IFERROR(VLOOKUP(C86,TD!$B$33:$F$37,2,0)," ")</f>
        <v>O230117</v>
      </c>
      <c r="Q86" s="221" t="str">
        <f>IFERROR(VLOOKUP(C86,TD!$B$33:$F$37,3,0)," ")</f>
        <v>4599</v>
      </c>
      <c r="R86" s="221">
        <f>IFERROR(VLOOKUP(C86,TD!$B$33:$F$37,4,0)," ")</f>
        <v>20240207</v>
      </c>
      <c r="S86" s="219" t="s">
        <v>185</v>
      </c>
      <c r="T86" s="221" t="str">
        <f>IFERROR(VLOOKUP(S86,TD!$J$34:$K$44,2,0)," ")</f>
        <v>Infraestructura física, mantenimiento y dotación (Sedes construidas, mantenidas reforzadas)</v>
      </c>
      <c r="U86" s="222" t="str">
        <f t="shared" si="4"/>
        <v>08-Infraestructura física, mantenimiento y dotación (Sedes construidas, mantenidas reforzadas)</v>
      </c>
      <c r="V86" s="219" t="s">
        <v>238</v>
      </c>
      <c r="W86" s="221" t="str">
        <f>IFERROR(VLOOKUP(V86,TD!$N$34:$O$46,2,0)," ")</f>
        <v>Sedes mantenidas</v>
      </c>
      <c r="X86" s="222" t="str">
        <f t="shared" si="5"/>
        <v>016_Sedes mantenidas</v>
      </c>
      <c r="Y86" s="222" t="str">
        <f t="shared" si="6"/>
        <v>08-Infraestructura física, mantenimiento y dotación (Sedes construidas, mantenidas reforzadas) 016_Sedes mantenidas</v>
      </c>
      <c r="Z86" s="221" t="str">
        <f t="shared" si="7"/>
        <v>O23011745992024020708016</v>
      </c>
      <c r="AA86" s="221" t="str">
        <f>IFERROR(VLOOKUP(Y86,TD!$K$47:$L$65,2,0)," ")</f>
        <v>PM/0131/0108/45990160207</v>
      </c>
      <c r="AB86" s="53" t="s">
        <v>138</v>
      </c>
      <c r="AC86" s="223" t="s">
        <v>204</v>
      </c>
    </row>
    <row r="87" spans="2:29" s="28" customFormat="1" ht="99" customHeight="1" x14ac:dyDescent="0.35">
      <c r="B87" s="77">
        <v>20250024</v>
      </c>
      <c r="C87" s="50" t="s">
        <v>208</v>
      </c>
      <c r="D87" s="218" t="s">
        <v>164</v>
      </c>
      <c r="E87" s="219" t="s">
        <v>389</v>
      </c>
      <c r="F87" s="218" t="s">
        <v>459</v>
      </c>
      <c r="G87" s="218" t="s">
        <v>155</v>
      </c>
      <c r="H87" s="93">
        <v>80111600</v>
      </c>
      <c r="I87" s="220">
        <v>2</v>
      </c>
      <c r="J87" s="220">
        <v>11</v>
      </c>
      <c r="K87" s="52">
        <v>0</v>
      </c>
      <c r="L87" s="128">
        <f>346500000-63000000</f>
        <v>283500000</v>
      </c>
      <c r="M87" s="218" t="s">
        <v>465</v>
      </c>
      <c r="N87" s="53" t="s">
        <v>113</v>
      </c>
      <c r="O87" s="219" t="s">
        <v>219</v>
      </c>
      <c r="P87" s="221" t="str">
        <f>IFERROR(VLOOKUP(C87,TD!$B$33:$F$37,2,0)," ")</f>
        <v>O230117</v>
      </c>
      <c r="Q87" s="221" t="str">
        <f>IFERROR(VLOOKUP(C87,TD!$B$33:$F$37,3,0)," ")</f>
        <v>4599</v>
      </c>
      <c r="R87" s="221">
        <f>IFERROR(VLOOKUP(C87,TD!$B$33:$F$37,4,0)," ")</f>
        <v>20240207</v>
      </c>
      <c r="S87" s="219" t="s">
        <v>185</v>
      </c>
      <c r="T87" s="221" t="str">
        <f>IFERROR(VLOOKUP(S87,TD!$J$34:$K$44,2,0)," ")</f>
        <v>Infraestructura física, mantenimiento y dotación (Sedes construidas, mantenidas reforzadas)</v>
      </c>
      <c r="U87" s="222" t="str">
        <f t="shared" si="4"/>
        <v>08-Infraestructura física, mantenimiento y dotación (Sedes construidas, mantenidas reforzadas)</v>
      </c>
      <c r="V87" s="219" t="s">
        <v>238</v>
      </c>
      <c r="W87" s="221" t="str">
        <f>IFERROR(VLOOKUP(V87,TD!$N$34:$O$46,2,0)," ")</f>
        <v>Sedes mantenidas</v>
      </c>
      <c r="X87" s="222" t="str">
        <f t="shared" si="5"/>
        <v>016_Sedes mantenidas</v>
      </c>
      <c r="Y87" s="222" t="str">
        <f t="shared" si="6"/>
        <v>08-Infraestructura física, mantenimiento y dotación (Sedes construidas, mantenidas reforzadas) 016_Sedes mantenidas</v>
      </c>
      <c r="Z87" s="221" t="str">
        <f t="shared" si="7"/>
        <v>O23011745992024020708016</v>
      </c>
      <c r="AA87" s="221" t="str">
        <f>IFERROR(VLOOKUP(Y87,TD!$K$47:$L$65,2,0)," ")</f>
        <v>PM/0131/0108/45990160207</v>
      </c>
      <c r="AB87" s="53" t="s">
        <v>120</v>
      </c>
      <c r="AC87" s="223" t="s">
        <v>204</v>
      </c>
    </row>
    <row r="88" spans="2:29" s="28" customFormat="1" ht="99" customHeight="1" x14ac:dyDescent="0.35">
      <c r="B88" s="77">
        <v>20250025</v>
      </c>
      <c r="C88" s="50" t="s">
        <v>208</v>
      </c>
      <c r="D88" s="218" t="s">
        <v>164</v>
      </c>
      <c r="E88" s="219" t="s">
        <v>389</v>
      </c>
      <c r="F88" s="218" t="s">
        <v>720</v>
      </c>
      <c r="G88" s="218" t="s">
        <v>155</v>
      </c>
      <c r="H88" s="93">
        <v>80111600</v>
      </c>
      <c r="I88" s="220">
        <v>2</v>
      </c>
      <c r="J88" s="220">
        <v>11</v>
      </c>
      <c r="K88" s="52">
        <v>0</v>
      </c>
      <c r="L88" s="53">
        <f>55000000-2750000-31850000</f>
        <v>20400000</v>
      </c>
      <c r="M88" s="218" t="s">
        <v>465</v>
      </c>
      <c r="N88" s="53" t="s">
        <v>113</v>
      </c>
      <c r="O88" s="219" t="s">
        <v>219</v>
      </c>
      <c r="P88" s="221" t="str">
        <f>IFERROR(VLOOKUP(C88,TD!$B$33:$F$37,2,0)," ")</f>
        <v>O230117</v>
      </c>
      <c r="Q88" s="221" t="str">
        <f>IFERROR(VLOOKUP(C88,TD!$B$33:$F$37,3,0)," ")</f>
        <v>4599</v>
      </c>
      <c r="R88" s="221">
        <f>IFERROR(VLOOKUP(C88,TD!$B$33:$F$37,4,0)," ")</f>
        <v>20240207</v>
      </c>
      <c r="S88" s="219" t="s">
        <v>185</v>
      </c>
      <c r="T88" s="221" t="str">
        <f>IFERROR(VLOOKUP(S88,TD!$J$34:$K$44,2,0)," ")</f>
        <v>Infraestructura física, mantenimiento y dotación (Sedes construidas, mantenidas reforzadas)</v>
      </c>
      <c r="U88" s="222" t="str">
        <f t="shared" si="4"/>
        <v>08-Infraestructura física, mantenimiento y dotación (Sedes construidas, mantenidas reforzadas)</v>
      </c>
      <c r="V88" s="219" t="s">
        <v>238</v>
      </c>
      <c r="W88" s="221" t="str">
        <f>IFERROR(VLOOKUP(V88,TD!$N$34:$O$46,2,0)," ")</f>
        <v>Sedes mantenidas</v>
      </c>
      <c r="X88" s="222" t="str">
        <f t="shared" si="5"/>
        <v>016_Sedes mantenidas</v>
      </c>
      <c r="Y88" s="222" t="str">
        <f t="shared" si="6"/>
        <v>08-Infraestructura física, mantenimiento y dotación (Sedes construidas, mantenidas reforzadas) 016_Sedes mantenidas</v>
      </c>
      <c r="Z88" s="221" t="str">
        <f t="shared" si="7"/>
        <v>O23011745992024020708016</v>
      </c>
      <c r="AA88" s="221" t="str">
        <f>IFERROR(VLOOKUP(Y88,TD!$K$47:$L$65,2,0)," ")</f>
        <v>PM/0131/0108/45990160207</v>
      </c>
      <c r="AB88" s="53" t="s">
        <v>138</v>
      </c>
      <c r="AC88" s="223" t="s">
        <v>204</v>
      </c>
    </row>
    <row r="89" spans="2:29" s="28" customFormat="1" ht="99" customHeight="1" x14ac:dyDescent="0.35">
      <c r="B89" s="77">
        <v>20250027</v>
      </c>
      <c r="C89" s="50" t="s">
        <v>208</v>
      </c>
      <c r="D89" s="218" t="s">
        <v>164</v>
      </c>
      <c r="E89" s="219" t="s">
        <v>389</v>
      </c>
      <c r="F89" s="218" t="s">
        <v>460</v>
      </c>
      <c r="G89" s="218" t="s">
        <v>156</v>
      </c>
      <c r="H89" s="93">
        <v>80111600</v>
      </c>
      <c r="I89" s="220">
        <v>2</v>
      </c>
      <c r="J89" s="220">
        <v>11</v>
      </c>
      <c r="K89" s="52">
        <v>0</v>
      </c>
      <c r="L89" s="53">
        <f>37400000-17000000</f>
        <v>20400000</v>
      </c>
      <c r="M89" s="218" t="s">
        <v>465</v>
      </c>
      <c r="N89" s="53" t="s">
        <v>113</v>
      </c>
      <c r="O89" s="219" t="s">
        <v>219</v>
      </c>
      <c r="P89" s="221" t="str">
        <f>IFERROR(VLOOKUP(C89,TD!$B$33:$F$37,2,0)," ")</f>
        <v>O230117</v>
      </c>
      <c r="Q89" s="221" t="str">
        <f>IFERROR(VLOOKUP(C89,TD!$B$33:$F$37,3,0)," ")</f>
        <v>4599</v>
      </c>
      <c r="R89" s="221">
        <f>IFERROR(VLOOKUP(C89,TD!$B$33:$F$37,4,0)," ")</f>
        <v>20240207</v>
      </c>
      <c r="S89" s="219" t="s">
        <v>185</v>
      </c>
      <c r="T89" s="221" t="str">
        <f>IFERROR(VLOOKUP(S89,TD!$J$34:$K$44,2,0)," ")</f>
        <v>Infraestructura física, mantenimiento y dotación (Sedes construidas, mantenidas reforzadas)</v>
      </c>
      <c r="U89" s="222" t="str">
        <f t="shared" si="4"/>
        <v>08-Infraestructura física, mantenimiento y dotación (Sedes construidas, mantenidas reforzadas)</v>
      </c>
      <c r="V89" s="219" t="s">
        <v>238</v>
      </c>
      <c r="W89" s="221" t="str">
        <f>IFERROR(VLOOKUP(V89,TD!$N$34:$O$46,2,0)," ")</f>
        <v>Sedes mantenidas</v>
      </c>
      <c r="X89" s="222" t="str">
        <f t="shared" si="5"/>
        <v>016_Sedes mantenidas</v>
      </c>
      <c r="Y89" s="222" t="str">
        <f t="shared" si="6"/>
        <v>08-Infraestructura física, mantenimiento y dotación (Sedes construidas, mantenidas reforzadas) 016_Sedes mantenidas</v>
      </c>
      <c r="Z89" s="221" t="str">
        <f t="shared" si="7"/>
        <v>O23011745992024020708016</v>
      </c>
      <c r="AA89" s="221" t="str">
        <f>IFERROR(VLOOKUP(Y89,TD!$K$47:$L$65,2,0)," ")</f>
        <v>PM/0131/0108/45990160207</v>
      </c>
      <c r="AB89" s="53" t="s">
        <v>138</v>
      </c>
      <c r="AC89" s="223" t="s">
        <v>204</v>
      </c>
    </row>
    <row r="90" spans="2:29" s="28" customFormat="1" ht="99" customHeight="1" x14ac:dyDescent="0.35">
      <c r="B90" s="77">
        <v>20250028</v>
      </c>
      <c r="C90" s="50" t="s">
        <v>208</v>
      </c>
      <c r="D90" s="218" t="s">
        <v>164</v>
      </c>
      <c r="E90" s="219" t="s">
        <v>389</v>
      </c>
      <c r="F90" s="218" t="s">
        <v>460</v>
      </c>
      <c r="G90" s="218" t="s">
        <v>156</v>
      </c>
      <c r="H90" s="93">
        <v>80111600</v>
      </c>
      <c r="I90" s="220">
        <v>2</v>
      </c>
      <c r="J90" s="220">
        <v>11</v>
      </c>
      <c r="K90" s="52">
        <v>0</v>
      </c>
      <c r="L90" s="53">
        <f>37400000-17000000</f>
        <v>20400000</v>
      </c>
      <c r="M90" s="218" t="s">
        <v>465</v>
      </c>
      <c r="N90" s="53" t="s">
        <v>113</v>
      </c>
      <c r="O90" s="219" t="s">
        <v>219</v>
      </c>
      <c r="P90" s="221" t="str">
        <f>IFERROR(VLOOKUP(C90,TD!$B$33:$F$37,2,0)," ")</f>
        <v>O230117</v>
      </c>
      <c r="Q90" s="221" t="str">
        <f>IFERROR(VLOOKUP(C90,TD!$B$33:$F$37,3,0)," ")</f>
        <v>4599</v>
      </c>
      <c r="R90" s="221">
        <f>IFERROR(VLOOKUP(C90,TD!$B$33:$F$37,4,0)," ")</f>
        <v>20240207</v>
      </c>
      <c r="S90" s="219" t="s">
        <v>185</v>
      </c>
      <c r="T90" s="221" t="str">
        <f>IFERROR(VLOOKUP(S90,TD!$J$34:$K$44,2,0)," ")</f>
        <v>Infraestructura física, mantenimiento y dotación (Sedes construidas, mantenidas reforzadas)</v>
      </c>
      <c r="U90" s="222" t="str">
        <f t="shared" si="4"/>
        <v>08-Infraestructura física, mantenimiento y dotación (Sedes construidas, mantenidas reforzadas)</v>
      </c>
      <c r="V90" s="219" t="s">
        <v>238</v>
      </c>
      <c r="W90" s="221" t="str">
        <f>IFERROR(VLOOKUP(V90,TD!$N$34:$O$46,2,0)," ")</f>
        <v>Sedes mantenidas</v>
      </c>
      <c r="X90" s="222" t="str">
        <f t="shared" si="5"/>
        <v>016_Sedes mantenidas</v>
      </c>
      <c r="Y90" s="222" t="str">
        <f t="shared" si="6"/>
        <v>08-Infraestructura física, mantenimiento y dotación (Sedes construidas, mantenidas reforzadas) 016_Sedes mantenidas</v>
      </c>
      <c r="Z90" s="221" t="str">
        <f t="shared" si="7"/>
        <v>O23011745992024020708016</v>
      </c>
      <c r="AA90" s="221" t="str">
        <f>IFERROR(VLOOKUP(Y90,TD!$K$47:$L$65,2,0)," ")</f>
        <v>PM/0131/0108/45990160207</v>
      </c>
      <c r="AB90" s="53" t="s">
        <v>138</v>
      </c>
      <c r="AC90" s="223" t="s">
        <v>204</v>
      </c>
    </row>
    <row r="91" spans="2:29" s="28" customFormat="1" ht="99" customHeight="1" x14ac:dyDescent="0.35">
      <c r="B91" s="77">
        <v>20250029</v>
      </c>
      <c r="C91" s="50" t="s">
        <v>208</v>
      </c>
      <c r="D91" s="218" t="s">
        <v>164</v>
      </c>
      <c r="E91" s="219" t="s">
        <v>389</v>
      </c>
      <c r="F91" s="218" t="s">
        <v>721</v>
      </c>
      <c r="G91" s="218" t="s">
        <v>155</v>
      </c>
      <c r="H91" s="93">
        <v>80111600</v>
      </c>
      <c r="I91" s="220">
        <v>2</v>
      </c>
      <c r="J91" s="220">
        <v>11</v>
      </c>
      <c r="K91" s="52">
        <v>0</v>
      </c>
      <c r="L91" s="53">
        <f>71500000-29500000</f>
        <v>42000000</v>
      </c>
      <c r="M91" s="218" t="s">
        <v>465</v>
      </c>
      <c r="N91" s="53" t="s">
        <v>113</v>
      </c>
      <c r="O91" s="219" t="s">
        <v>219</v>
      </c>
      <c r="P91" s="221" t="str">
        <f>IFERROR(VLOOKUP(C91,TD!$B$33:$F$37,2,0)," ")</f>
        <v>O230117</v>
      </c>
      <c r="Q91" s="221" t="str">
        <f>IFERROR(VLOOKUP(C91,TD!$B$33:$F$37,3,0)," ")</f>
        <v>4599</v>
      </c>
      <c r="R91" s="221">
        <f>IFERROR(VLOOKUP(C91,TD!$B$33:$F$37,4,0)," ")</f>
        <v>20240207</v>
      </c>
      <c r="S91" s="219" t="s">
        <v>185</v>
      </c>
      <c r="T91" s="221" t="str">
        <f>IFERROR(VLOOKUP(S91,TD!$J$34:$K$44,2,0)," ")</f>
        <v>Infraestructura física, mantenimiento y dotación (Sedes construidas, mantenidas reforzadas)</v>
      </c>
      <c r="U91" s="222" t="str">
        <f t="shared" si="4"/>
        <v>08-Infraestructura física, mantenimiento y dotación (Sedes construidas, mantenidas reforzadas)</v>
      </c>
      <c r="V91" s="219" t="s">
        <v>238</v>
      </c>
      <c r="W91" s="221" t="str">
        <f>IFERROR(VLOOKUP(V91,TD!$N$34:$O$46,2,0)," ")</f>
        <v>Sedes mantenidas</v>
      </c>
      <c r="X91" s="222" t="str">
        <f t="shared" si="5"/>
        <v>016_Sedes mantenidas</v>
      </c>
      <c r="Y91" s="222" t="str">
        <f t="shared" si="6"/>
        <v>08-Infraestructura física, mantenimiento y dotación (Sedes construidas, mantenidas reforzadas) 016_Sedes mantenidas</v>
      </c>
      <c r="Z91" s="221" t="str">
        <f t="shared" si="7"/>
        <v>O23011745992024020708016</v>
      </c>
      <c r="AA91" s="221" t="str">
        <f>IFERROR(VLOOKUP(Y91,TD!$K$47:$L$65,2,0)," ")</f>
        <v>PM/0131/0108/45990160207</v>
      </c>
      <c r="AB91" s="53" t="s">
        <v>138</v>
      </c>
      <c r="AC91" s="223" t="s">
        <v>204</v>
      </c>
    </row>
    <row r="92" spans="2:29" s="28" customFormat="1" ht="99" customHeight="1" x14ac:dyDescent="0.35">
      <c r="B92" s="77">
        <v>20250030</v>
      </c>
      <c r="C92" s="50" t="s">
        <v>208</v>
      </c>
      <c r="D92" s="218" t="s">
        <v>164</v>
      </c>
      <c r="E92" s="219" t="s">
        <v>389</v>
      </c>
      <c r="F92" s="218" t="s">
        <v>461</v>
      </c>
      <c r="G92" s="218" t="s">
        <v>155</v>
      </c>
      <c r="H92" s="93">
        <v>80111600</v>
      </c>
      <c r="I92" s="220">
        <v>2</v>
      </c>
      <c r="J92" s="220">
        <v>11</v>
      </c>
      <c r="K92" s="52">
        <v>0</v>
      </c>
      <c r="L92" s="53">
        <f>71500000-32500000</f>
        <v>39000000</v>
      </c>
      <c r="M92" s="218" t="s">
        <v>465</v>
      </c>
      <c r="N92" s="53" t="s">
        <v>113</v>
      </c>
      <c r="O92" s="219" t="s">
        <v>219</v>
      </c>
      <c r="P92" s="221" t="str">
        <f>IFERROR(VLOOKUP(C92,TD!$B$33:$F$37,2,0)," ")</f>
        <v>O230117</v>
      </c>
      <c r="Q92" s="221" t="str">
        <f>IFERROR(VLOOKUP(C92,TD!$B$33:$F$37,3,0)," ")</f>
        <v>4599</v>
      </c>
      <c r="R92" s="221">
        <f>IFERROR(VLOOKUP(C92,TD!$B$33:$F$37,4,0)," ")</f>
        <v>20240207</v>
      </c>
      <c r="S92" s="219" t="s">
        <v>185</v>
      </c>
      <c r="T92" s="221" t="str">
        <f>IFERROR(VLOOKUP(S92,TD!$J$34:$K$44,2,0)," ")</f>
        <v>Infraestructura física, mantenimiento y dotación (Sedes construidas, mantenidas reforzadas)</v>
      </c>
      <c r="U92" s="222" t="str">
        <f t="shared" si="4"/>
        <v>08-Infraestructura física, mantenimiento y dotación (Sedes construidas, mantenidas reforzadas)</v>
      </c>
      <c r="V92" s="219" t="s">
        <v>238</v>
      </c>
      <c r="W92" s="221" t="str">
        <f>IFERROR(VLOOKUP(V92,TD!$N$34:$O$46,2,0)," ")</f>
        <v>Sedes mantenidas</v>
      </c>
      <c r="X92" s="222" t="str">
        <f t="shared" si="5"/>
        <v>016_Sedes mantenidas</v>
      </c>
      <c r="Y92" s="222" t="str">
        <f t="shared" si="6"/>
        <v>08-Infraestructura física, mantenimiento y dotación (Sedes construidas, mantenidas reforzadas) 016_Sedes mantenidas</v>
      </c>
      <c r="Z92" s="221" t="str">
        <f t="shared" si="7"/>
        <v>O23011745992024020708016</v>
      </c>
      <c r="AA92" s="221" t="str">
        <f>IFERROR(VLOOKUP(Y92,TD!$K$47:$L$65,2,0)," ")</f>
        <v>PM/0131/0108/45990160207</v>
      </c>
      <c r="AB92" s="53" t="s">
        <v>120</v>
      </c>
      <c r="AC92" s="223" t="s">
        <v>204</v>
      </c>
    </row>
    <row r="93" spans="2:29" s="28" customFormat="1" ht="99" customHeight="1" x14ac:dyDescent="0.35">
      <c r="B93" s="77">
        <v>20250031</v>
      </c>
      <c r="C93" s="50" t="s">
        <v>208</v>
      </c>
      <c r="D93" s="218" t="s">
        <v>164</v>
      </c>
      <c r="E93" s="219" t="s">
        <v>389</v>
      </c>
      <c r="F93" s="218" t="s">
        <v>462</v>
      </c>
      <c r="G93" s="218" t="s">
        <v>155</v>
      </c>
      <c r="H93" s="93">
        <v>80111600</v>
      </c>
      <c r="I93" s="220">
        <v>2</v>
      </c>
      <c r="J93" s="220">
        <v>11</v>
      </c>
      <c r="K93" s="52">
        <v>0</v>
      </c>
      <c r="L93" s="53">
        <f>60500000-8250000-23750000</f>
        <v>28500000</v>
      </c>
      <c r="M93" s="218" t="s">
        <v>465</v>
      </c>
      <c r="N93" s="53" t="s">
        <v>113</v>
      </c>
      <c r="O93" s="219" t="s">
        <v>219</v>
      </c>
      <c r="P93" s="221" t="str">
        <f>IFERROR(VLOOKUP(C93,TD!$B$33:$F$37,2,0)," ")</f>
        <v>O230117</v>
      </c>
      <c r="Q93" s="221" t="str">
        <f>IFERROR(VLOOKUP(C93,TD!$B$33:$F$37,3,0)," ")</f>
        <v>4599</v>
      </c>
      <c r="R93" s="221">
        <f>IFERROR(VLOOKUP(C93,TD!$B$33:$F$37,4,0)," ")</f>
        <v>20240207</v>
      </c>
      <c r="S93" s="219" t="s">
        <v>185</v>
      </c>
      <c r="T93" s="221" t="str">
        <f>IFERROR(VLOOKUP(S93,TD!$J$34:$K$44,2,0)," ")</f>
        <v>Infraestructura física, mantenimiento y dotación (Sedes construidas, mantenidas reforzadas)</v>
      </c>
      <c r="U93" s="222" t="str">
        <f t="shared" si="4"/>
        <v>08-Infraestructura física, mantenimiento y dotación (Sedes construidas, mantenidas reforzadas)</v>
      </c>
      <c r="V93" s="219" t="s">
        <v>238</v>
      </c>
      <c r="W93" s="221" t="str">
        <f>IFERROR(VLOOKUP(V93,TD!$N$34:$O$46,2,0)," ")</f>
        <v>Sedes mantenidas</v>
      </c>
      <c r="X93" s="222" t="str">
        <f t="shared" si="5"/>
        <v>016_Sedes mantenidas</v>
      </c>
      <c r="Y93" s="222" t="str">
        <f t="shared" si="6"/>
        <v>08-Infraestructura física, mantenimiento y dotación (Sedes construidas, mantenidas reforzadas) 016_Sedes mantenidas</v>
      </c>
      <c r="Z93" s="221" t="str">
        <f t="shared" si="7"/>
        <v>O23011745992024020708016</v>
      </c>
      <c r="AA93" s="221" t="str">
        <f>IFERROR(VLOOKUP(Y93,TD!$K$47:$L$65,2,0)," ")</f>
        <v>PM/0131/0108/45990160207</v>
      </c>
      <c r="AB93" s="53" t="s">
        <v>138</v>
      </c>
      <c r="AC93" s="223" t="s">
        <v>204</v>
      </c>
    </row>
    <row r="94" spans="2:29" s="28" customFormat="1" ht="99" customHeight="1" x14ac:dyDescent="0.35">
      <c r="B94" s="77">
        <v>20250032</v>
      </c>
      <c r="C94" s="50" t="s">
        <v>208</v>
      </c>
      <c r="D94" s="218" t="s">
        <v>164</v>
      </c>
      <c r="E94" s="219" t="s">
        <v>389</v>
      </c>
      <c r="F94" s="218" t="s">
        <v>462</v>
      </c>
      <c r="G94" s="218" t="s">
        <v>155</v>
      </c>
      <c r="H94" s="93">
        <v>80111600</v>
      </c>
      <c r="I94" s="220">
        <v>2</v>
      </c>
      <c r="J94" s="220">
        <v>11</v>
      </c>
      <c r="K94" s="52">
        <v>0</v>
      </c>
      <c r="L94" s="53">
        <f>60500000-8250000-33250000</f>
        <v>19000000</v>
      </c>
      <c r="M94" s="218" t="s">
        <v>465</v>
      </c>
      <c r="N94" s="53" t="s">
        <v>113</v>
      </c>
      <c r="O94" s="219" t="s">
        <v>219</v>
      </c>
      <c r="P94" s="221" t="str">
        <f>IFERROR(VLOOKUP(C94,TD!$B$33:$F$37,2,0)," ")</f>
        <v>O230117</v>
      </c>
      <c r="Q94" s="221" t="str">
        <f>IFERROR(VLOOKUP(C94,TD!$B$33:$F$37,3,0)," ")</f>
        <v>4599</v>
      </c>
      <c r="R94" s="221">
        <f>IFERROR(VLOOKUP(C94,TD!$B$33:$F$37,4,0)," ")</f>
        <v>20240207</v>
      </c>
      <c r="S94" s="219" t="s">
        <v>185</v>
      </c>
      <c r="T94" s="221" t="str">
        <f>IFERROR(VLOOKUP(S94,TD!$J$34:$K$44,2,0)," ")</f>
        <v>Infraestructura física, mantenimiento y dotación (Sedes construidas, mantenidas reforzadas)</v>
      </c>
      <c r="U94" s="222" t="str">
        <f t="shared" si="4"/>
        <v>08-Infraestructura física, mantenimiento y dotación (Sedes construidas, mantenidas reforzadas)</v>
      </c>
      <c r="V94" s="219" t="s">
        <v>238</v>
      </c>
      <c r="W94" s="221" t="str">
        <f>IFERROR(VLOOKUP(V94,TD!$N$34:$O$46,2,0)," ")</f>
        <v>Sedes mantenidas</v>
      </c>
      <c r="X94" s="222" t="str">
        <f t="shared" si="5"/>
        <v>016_Sedes mantenidas</v>
      </c>
      <c r="Y94" s="222" t="str">
        <f t="shared" si="6"/>
        <v>08-Infraestructura física, mantenimiento y dotación (Sedes construidas, mantenidas reforzadas) 016_Sedes mantenidas</v>
      </c>
      <c r="Z94" s="221" t="str">
        <f t="shared" si="7"/>
        <v>O23011745992024020708016</v>
      </c>
      <c r="AA94" s="221" t="str">
        <f>IFERROR(VLOOKUP(Y94,TD!$K$47:$L$65,2,0)," ")</f>
        <v>PM/0131/0108/45990160207</v>
      </c>
      <c r="AB94" s="53" t="s">
        <v>138</v>
      </c>
      <c r="AC94" s="223" t="s">
        <v>204</v>
      </c>
    </row>
    <row r="95" spans="2:29" s="28" customFormat="1" ht="99" customHeight="1" x14ac:dyDescent="0.35">
      <c r="B95" s="77">
        <v>20250033</v>
      </c>
      <c r="C95" s="50" t="s">
        <v>208</v>
      </c>
      <c r="D95" s="218" t="s">
        <v>164</v>
      </c>
      <c r="E95" s="219" t="s">
        <v>389</v>
      </c>
      <c r="F95" s="218" t="s">
        <v>463</v>
      </c>
      <c r="G95" s="218" t="s">
        <v>155</v>
      </c>
      <c r="H95" s="93">
        <v>80111600</v>
      </c>
      <c r="I95" s="220">
        <v>2</v>
      </c>
      <c r="J95" s="220">
        <v>11</v>
      </c>
      <c r="K95" s="52">
        <v>0</v>
      </c>
      <c r="L95" s="53">
        <f>71500000-32500000</f>
        <v>39000000</v>
      </c>
      <c r="M95" s="218" t="s">
        <v>465</v>
      </c>
      <c r="N95" s="53" t="s">
        <v>113</v>
      </c>
      <c r="O95" s="219" t="s">
        <v>219</v>
      </c>
      <c r="P95" s="221" t="str">
        <f>IFERROR(VLOOKUP(C95,TD!$B$33:$F$37,2,0)," ")</f>
        <v>O230117</v>
      </c>
      <c r="Q95" s="221" t="str">
        <f>IFERROR(VLOOKUP(C95,TD!$B$33:$F$37,3,0)," ")</f>
        <v>4599</v>
      </c>
      <c r="R95" s="221">
        <f>IFERROR(VLOOKUP(C95,TD!$B$33:$F$37,4,0)," ")</f>
        <v>20240207</v>
      </c>
      <c r="S95" s="219" t="s">
        <v>185</v>
      </c>
      <c r="T95" s="221" t="str">
        <f>IFERROR(VLOOKUP(S95,TD!$J$34:$K$44,2,0)," ")</f>
        <v>Infraestructura física, mantenimiento y dotación (Sedes construidas, mantenidas reforzadas)</v>
      </c>
      <c r="U95" s="222" t="str">
        <f t="shared" si="4"/>
        <v>08-Infraestructura física, mantenimiento y dotación (Sedes construidas, mantenidas reforzadas)</v>
      </c>
      <c r="V95" s="219" t="s">
        <v>238</v>
      </c>
      <c r="W95" s="221" t="str">
        <f>IFERROR(VLOOKUP(V95,TD!$N$34:$O$46,2,0)," ")</f>
        <v>Sedes mantenidas</v>
      </c>
      <c r="X95" s="222" t="str">
        <f t="shared" si="5"/>
        <v>016_Sedes mantenidas</v>
      </c>
      <c r="Y95" s="222" t="str">
        <f t="shared" si="6"/>
        <v>08-Infraestructura física, mantenimiento y dotación (Sedes construidas, mantenidas reforzadas) 016_Sedes mantenidas</v>
      </c>
      <c r="Z95" s="221" t="str">
        <f t="shared" si="7"/>
        <v>O23011745992024020708016</v>
      </c>
      <c r="AA95" s="221" t="str">
        <f>IFERROR(VLOOKUP(Y95,TD!$K$47:$L$65,2,0)," ")</f>
        <v>PM/0131/0108/45990160207</v>
      </c>
      <c r="AB95" s="53" t="s">
        <v>120</v>
      </c>
      <c r="AC95" s="223" t="s">
        <v>204</v>
      </c>
    </row>
    <row r="96" spans="2:29" s="28" customFormat="1" ht="99" customHeight="1" x14ac:dyDescent="0.35">
      <c r="B96" s="77">
        <v>20250034</v>
      </c>
      <c r="C96" s="50" t="s">
        <v>208</v>
      </c>
      <c r="D96" s="218" t="s">
        <v>164</v>
      </c>
      <c r="E96" s="219" t="s">
        <v>389</v>
      </c>
      <c r="F96" s="218" t="s">
        <v>464</v>
      </c>
      <c r="G96" s="218" t="s">
        <v>155</v>
      </c>
      <c r="H96" s="93">
        <v>80111600</v>
      </c>
      <c r="I96" s="220">
        <v>2</v>
      </c>
      <c r="J96" s="220">
        <v>11</v>
      </c>
      <c r="K96" s="52">
        <v>0</v>
      </c>
      <c r="L96" s="53">
        <f>82500000-37500000</f>
        <v>45000000</v>
      </c>
      <c r="M96" s="218" t="s">
        <v>465</v>
      </c>
      <c r="N96" s="53" t="s">
        <v>113</v>
      </c>
      <c r="O96" s="219" t="s">
        <v>219</v>
      </c>
      <c r="P96" s="221" t="str">
        <f>IFERROR(VLOOKUP(C96,TD!$B$33:$F$37,2,0)," ")</f>
        <v>O230117</v>
      </c>
      <c r="Q96" s="221" t="str">
        <f>IFERROR(VLOOKUP(C96,TD!$B$33:$F$37,3,0)," ")</f>
        <v>4599</v>
      </c>
      <c r="R96" s="221">
        <f>IFERROR(VLOOKUP(C96,TD!$B$33:$F$37,4,0)," ")</f>
        <v>20240207</v>
      </c>
      <c r="S96" s="219" t="s">
        <v>185</v>
      </c>
      <c r="T96" s="221" t="str">
        <f>IFERROR(VLOOKUP(S96,TD!$J$34:$K$44,2,0)," ")</f>
        <v>Infraestructura física, mantenimiento y dotación (Sedes construidas, mantenidas reforzadas)</v>
      </c>
      <c r="U96" s="222" t="str">
        <f t="shared" si="4"/>
        <v>08-Infraestructura física, mantenimiento y dotación (Sedes construidas, mantenidas reforzadas)</v>
      </c>
      <c r="V96" s="219" t="s">
        <v>238</v>
      </c>
      <c r="W96" s="221" t="str">
        <f>IFERROR(VLOOKUP(V96,TD!$N$34:$O$46,2,0)," ")</f>
        <v>Sedes mantenidas</v>
      </c>
      <c r="X96" s="222" t="str">
        <f t="shared" si="5"/>
        <v>016_Sedes mantenidas</v>
      </c>
      <c r="Y96" s="222" t="str">
        <f t="shared" si="6"/>
        <v>08-Infraestructura física, mantenimiento y dotación (Sedes construidas, mantenidas reforzadas) 016_Sedes mantenidas</v>
      </c>
      <c r="Z96" s="221" t="str">
        <f t="shared" si="7"/>
        <v>O23011745992024020708016</v>
      </c>
      <c r="AA96" s="221" t="str">
        <f>IFERROR(VLOOKUP(Y96,TD!$K$47:$L$65,2,0)," ")</f>
        <v>PM/0131/0108/45990160207</v>
      </c>
      <c r="AB96" s="53" t="s">
        <v>120</v>
      </c>
      <c r="AC96" s="223" t="s">
        <v>204</v>
      </c>
    </row>
    <row r="97" spans="2:29" s="28" customFormat="1" ht="99" customHeight="1" x14ac:dyDescent="0.35">
      <c r="B97" s="77">
        <v>20250035</v>
      </c>
      <c r="C97" s="50" t="s">
        <v>208</v>
      </c>
      <c r="D97" s="218" t="s">
        <v>46</v>
      </c>
      <c r="E97" s="219" t="s">
        <v>466</v>
      </c>
      <c r="F97" s="218" t="s">
        <v>467</v>
      </c>
      <c r="G97" s="218" t="s">
        <v>155</v>
      </c>
      <c r="H97" s="168">
        <v>80111600</v>
      </c>
      <c r="I97" s="94">
        <v>1</v>
      </c>
      <c r="J97" s="220">
        <v>7</v>
      </c>
      <c r="K97" s="52">
        <v>0</v>
      </c>
      <c r="L97" s="53">
        <f>78000000-23400000</f>
        <v>54600000</v>
      </c>
      <c r="M97" s="218" t="s">
        <v>465</v>
      </c>
      <c r="N97" s="53" t="s">
        <v>113</v>
      </c>
      <c r="O97" s="219" t="s">
        <v>219</v>
      </c>
      <c r="P97" s="221" t="str">
        <f>IFERROR(VLOOKUP(C97,TD!$B$33:$F$37,2,0)," ")</f>
        <v>O230117</v>
      </c>
      <c r="Q97" s="221" t="str">
        <f>IFERROR(VLOOKUP(C97,TD!$B$33:$F$37,3,0)," ")</f>
        <v>4599</v>
      </c>
      <c r="R97" s="221">
        <f>IFERROR(VLOOKUP(C97,TD!$B$33:$F$37,4,0)," ")</f>
        <v>20240207</v>
      </c>
      <c r="S97" s="219" t="s">
        <v>185</v>
      </c>
      <c r="T97" s="221" t="str">
        <f>IFERROR(VLOOKUP(S97,TD!$J$34:$K$44,2,0)," ")</f>
        <v>Infraestructura física, mantenimiento y dotación (Sedes construidas, mantenidas reforzadas)</v>
      </c>
      <c r="U97" s="222" t="str">
        <f t="shared" si="4"/>
        <v>08-Infraestructura física, mantenimiento y dotación (Sedes construidas, mantenidas reforzadas)</v>
      </c>
      <c r="V97" s="219" t="s">
        <v>238</v>
      </c>
      <c r="W97" s="221" t="str">
        <f>IFERROR(VLOOKUP(V97,TD!$N$34:$O$46,2,0)," ")</f>
        <v>Sedes mantenidas</v>
      </c>
      <c r="X97" s="222" t="str">
        <f t="shared" si="5"/>
        <v>016_Sedes mantenidas</v>
      </c>
      <c r="Y97" s="222" t="str">
        <f t="shared" si="6"/>
        <v>08-Infraestructura física, mantenimiento y dotación (Sedes construidas, mantenidas reforzadas) 016_Sedes mantenidas</v>
      </c>
      <c r="Z97" s="221" t="str">
        <f t="shared" si="7"/>
        <v>O23011745992024020708016</v>
      </c>
      <c r="AA97" s="221" t="str">
        <f>IFERROR(VLOOKUP(Y97,TD!$K$47:$L$65,2,0)," ")</f>
        <v>PM/0131/0108/45990160207</v>
      </c>
      <c r="AB97" s="53" t="s">
        <v>120</v>
      </c>
      <c r="AC97" s="223" t="s">
        <v>204</v>
      </c>
    </row>
    <row r="98" spans="2:29" s="28" customFormat="1" ht="99" customHeight="1" x14ac:dyDescent="0.35">
      <c r="B98" s="77">
        <v>20250036</v>
      </c>
      <c r="C98" s="50" t="s">
        <v>208</v>
      </c>
      <c r="D98" s="218" t="s">
        <v>46</v>
      </c>
      <c r="E98" s="219" t="s">
        <v>466</v>
      </c>
      <c r="F98" s="218" t="s">
        <v>468</v>
      </c>
      <c r="G98" s="218" t="s">
        <v>155</v>
      </c>
      <c r="H98" s="168">
        <v>80111600</v>
      </c>
      <c r="I98" s="94">
        <v>1</v>
      </c>
      <c r="J98" s="220">
        <v>10</v>
      </c>
      <c r="K98" s="52">
        <v>0</v>
      </c>
      <c r="L98" s="53">
        <f>93500000-8500000</f>
        <v>85000000</v>
      </c>
      <c r="M98" s="218" t="s">
        <v>465</v>
      </c>
      <c r="N98" s="53" t="s">
        <v>113</v>
      </c>
      <c r="O98" s="219" t="s">
        <v>219</v>
      </c>
      <c r="P98" s="221" t="str">
        <f>IFERROR(VLOOKUP(C98,TD!$B$33:$F$37,2,0)," ")</f>
        <v>O230117</v>
      </c>
      <c r="Q98" s="221" t="str">
        <f>IFERROR(VLOOKUP(C98,TD!$B$33:$F$37,3,0)," ")</f>
        <v>4599</v>
      </c>
      <c r="R98" s="221">
        <f>IFERROR(VLOOKUP(C98,TD!$B$33:$F$37,4,0)," ")</f>
        <v>20240207</v>
      </c>
      <c r="S98" s="219" t="s">
        <v>185</v>
      </c>
      <c r="T98" s="221" t="str">
        <f>IFERROR(VLOOKUP(S98,TD!$J$34:$K$44,2,0)," ")</f>
        <v>Infraestructura física, mantenimiento y dotación (Sedes construidas, mantenidas reforzadas)</v>
      </c>
      <c r="U98" s="222" t="str">
        <f t="shared" si="4"/>
        <v>08-Infraestructura física, mantenimiento y dotación (Sedes construidas, mantenidas reforzadas)</v>
      </c>
      <c r="V98" s="219" t="s">
        <v>238</v>
      </c>
      <c r="W98" s="221" t="str">
        <f>IFERROR(VLOOKUP(V98,TD!$N$34:$O$46,2,0)," ")</f>
        <v>Sedes mantenidas</v>
      </c>
      <c r="X98" s="222" t="str">
        <f t="shared" si="5"/>
        <v>016_Sedes mantenidas</v>
      </c>
      <c r="Y98" s="222" t="str">
        <f t="shared" si="6"/>
        <v>08-Infraestructura física, mantenimiento y dotación (Sedes construidas, mantenidas reforzadas) 016_Sedes mantenidas</v>
      </c>
      <c r="Z98" s="221" t="str">
        <f t="shared" si="7"/>
        <v>O23011745992024020708016</v>
      </c>
      <c r="AA98" s="221" t="str">
        <f>IFERROR(VLOOKUP(Y98,TD!$K$47:$L$65,2,0)," ")</f>
        <v>PM/0131/0108/45990160207</v>
      </c>
      <c r="AB98" s="53" t="s">
        <v>120</v>
      </c>
      <c r="AC98" s="223" t="s">
        <v>204</v>
      </c>
    </row>
    <row r="99" spans="2:29" s="28" customFormat="1" ht="99" customHeight="1" x14ac:dyDescent="0.35">
      <c r="B99" s="77">
        <v>20250037</v>
      </c>
      <c r="C99" s="50" t="s">
        <v>208</v>
      </c>
      <c r="D99" s="218" t="s">
        <v>46</v>
      </c>
      <c r="E99" s="219" t="s">
        <v>466</v>
      </c>
      <c r="F99" s="218" t="s">
        <v>469</v>
      </c>
      <c r="G99" s="218" t="s">
        <v>155</v>
      </c>
      <c r="H99" s="168">
        <v>80111600</v>
      </c>
      <c r="I99" s="94">
        <v>1</v>
      </c>
      <c r="J99" s="220">
        <v>10</v>
      </c>
      <c r="K99" s="52">
        <v>0</v>
      </c>
      <c r="L99" s="53">
        <f>82500000-7500000</f>
        <v>75000000</v>
      </c>
      <c r="M99" s="218" t="s">
        <v>465</v>
      </c>
      <c r="N99" s="53" t="s">
        <v>113</v>
      </c>
      <c r="O99" s="219" t="s">
        <v>219</v>
      </c>
      <c r="P99" s="221" t="str">
        <f>IFERROR(VLOOKUP(C99,TD!$B$33:$F$37,2,0)," ")</f>
        <v>O230117</v>
      </c>
      <c r="Q99" s="221" t="str">
        <f>IFERROR(VLOOKUP(C99,TD!$B$33:$F$37,3,0)," ")</f>
        <v>4599</v>
      </c>
      <c r="R99" s="221">
        <f>IFERROR(VLOOKUP(C99,TD!$B$33:$F$37,4,0)," ")</f>
        <v>20240207</v>
      </c>
      <c r="S99" s="219" t="s">
        <v>185</v>
      </c>
      <c r="T99" s="221" t="str">
        <f>IFERROR(VLOOKUP(S99,TD!$J$34:$K$44,2,0)," ")</f>
        <v>Infraestructura física, mantenimiento y dotación (Sedes construidas, mantenidas reforzadas)</v>
      </c>
      <c r="U99" s="222" t="str">
        <f t="shared" si="4"/>
        <v>08-Infraestructura física, mantenimiento y dotación (Sedes construidas, mantenidas reforzadas)</v>
      </c>
      <c r="V99" s="219" t="s">
        <v>238</v>
      </c>
      <c r="W99" s="221" t="str">
        <f>IFERROR(VLOOKUP(V99,TD!$N$34:$O$46,2,0)," ")</f>
        <v>Sedes mantenidas</v>
      </c>
      <c r="X99" s="222" t="str">
        <f t="shared" si="5"/>
        <v>016_Sedes mantenidas</v>
      </c>
      <c r="Y99" s="222" t="str">
        <f t="shared" si="6"/>
        <v>08-Infraestructura física, mantenimiento y dotación (Sedes construidas, mantenidas reforzadas) 016_Sedes mantenidas</v>
      </c>
      <c r="Z99" s="221" t="str">
        <f t="shared" si="7"/>
        <v>O23011745992024020708016</v>
      </c>
      <c r="AA99" s="221" t="str">
        <f>IFERROR(VLOOKUP(Y99,TD!$K$47:$L$65,2,0)," ")</f>
        <v>PM/0131/0108/45990160207</v>
      </c>
      <c r="AB99" s="53" t="s">
        <v>120</v>
      </c>
      <c r="AC99" s="223" t="s">
        <v>204</v>
      </c>
    </row>
    <row r="100" spans="2:29" s="28" customFormat="1" ht="99" customHeight="1" x14ac:dyDescent="0.35">
      <c r="B100" s="77">
        <v>20250038</v>
      </c>
      <c r="C100" s="50" t="s">
        <v>208</v>
      </c>
      <c r="D100" s="218" t="s">
        <v>46</v>
      </c>
      <c r="E100" s="219" t="s">
        <v>466</v>
      </c>
      <c r="F100" s="218" t="s">
        <v>470</v>
      </c>
      <c r="G100" s="218" t="s">
        <v>155</v>
      </c>
      <c r="H100" s="93">
        <v>80111600</v>
      </c>
      <c r="I100" s="220">
        <v>2</v>
      </c>
      <c r="J100" s="220">
        <v>6</v>
      </c>
      <c r="K100" s="52">
        <v>0</v>
      </c>
      <c r="L100" s="53">
        <f>58500000-19500000</f>
        <v>39000000</v>
      </c>
      <c r="M100" s="218" t="s">
        <v>465</v>
      </c>
      <c r="N100" s="53" t="s">
        <v>113</v>
      </c>
      <c r="O100" s="219" t="s">
        <v>219</v>
      </c>
      <c r="P100" s="221" t="str">
        <f>IFERROR(VLOOKUP(C100,TD!$B$33:$F$37,2,0)," ")</f>
        <v>O230117</v>
      </c>
      <c r="Q100" s="221" t="str">
        <f>IFERROR(VLOOKUP(C100,TD!$B$33:$F$37,3,0)," ")</f>
        <v>4599</v>
      </c>
      <c r="R100" s="221">
        <f>IFERROR(VLOOKUP(C100,TD!$B$33:$F$37,4,0)," ")</f>
        <v>20240207</v>
      </c>
      <c r="S100" s="219" t="s">
        <v>185</v>
      </c>
      <c r="T100" s="221" t="str">
        <f>IFERROR(VLOOKUP(S100,TD!$J$34:$K$44,2,0)," ")</f>
        <v>Infraestructura física, mantenimiento y dotación (Sedes construidas, mantenidas reforzadas)</v>
      </c>
      <c r="U100" s="222" t="str">
        <f t="shared" si="4"/>
        <v>08-Infraestructura física, mantenimiento y dotación (Sedes construidas, mantenidas reforzadas)</v>
      </c>
      <c r="V100" s="219" t="s">
        <v>238</v>
      </c>
      <c r="W100" s="221" t="str">
        <f>IFERROR(VLOOKUP(V100,TD!$N$34:$O$46,2,0)," ")</f>
        <v>Sedes mantenidas</v>
      </c>
      <c r="X100" s="222" t="str">
        <f t="shared" si="5"/>
        <v>016_Sedes mantenidas</v>
      </c>
      <c r="Y100" s="222" t="str">
        <f t="shared" si="6"/>
        <v>08-Infraestructura física, mantenimiento y dotación (Sedes construidas, mantenidas reforzadas) 016_Sedes mantenidas</v>
      </c>
      <c r="Z100" s="221" t="str">
        <f t="shared" si="7"/>
        <v>O23011745992024020708016</v>
      </c>
      <c r="AA100" s="221" t="str">
        <f>IFERROR(VLOOKUP(Y100,TD!$K$47:$L$65,2,0)," ")</f>
        <v>PM/0131/0108/45990160207</v>
      </c>
      <c r="AB100" s="53" t="s">
        <v>120</v>
      </c>
      <c r="AC100" s="223" t="s">
        <v>204</v>
      </c>
    </row>
    <row r="101" spans="2:29" s="28" customFormat="1" ht="99" customHeight="1" x14ac:dyDescent="0.35">
      <c r="B101" s="77">
        <v>20250039</v>
      </c>
      <c r="C101" s="50" t="s">
        <v>208</v>
      </c>
      <c r="D101" s="218" t="s">
        <v>46</v>
      </c>
      <c r="E101" s="219" t="s">
        <v>466</v>
      </c>
      <c r="F101" s="218" t="s">
        <v>470</v>
      </c>
      <c r="G101" s="218" t="s">
        <v>155</v>
      </c>
      <c r="H101" s="93">
        <v>80111600</v>
      </c>
      <c r="I101" s="220">
        <v>2</v>
      </c>
      <c r="J101" s="220">
        <v>6</v>
      </c>
      <c r="K101" s="52">
        <v>0</v>
      </c>
      <c r="L101" s="53">
        <f>58500000-19500000</f>
        <v>39000000</v>
      </c>
      <c r="M101" s="218" t="s">
        <v>465</v>
      </c>
      <c r="N101" s="53" t="s">
        <v>113</v>
      </c>
      <c r="O101" s="219" t="s">
        <v>219</v>
      </c>
      <c r="P101" s="221" t="str">
        <f>IFERROR(VLOOKUP(C101,TD!$B$33:$F$37,2,0)," ")</f>
        <v>O230117</v>
      </c>
      <c r="Q101" s="221" t="str">
        <f>IFERROR(VLOOKUP(C101,TD!$B$33:$F$37,3,0)," ")</f>
        <v>4599</v>
      </c>
      <c r="R101" s="221">
        <f>IFERROR(VLOOKUP(C101,TD!$B$33:$F$37,4,0)," ")</f>
        <v>20240207</v>
      </c>
      <c r="S101" s="219" t="s">
        <v>185</v>
      </c>
      <c r="T101" s="221" t="str">
        <f>IFERROR(VLOOKUP(S101,TD!$J$34:$K$44,2,0)," ")</f>
        <v>Infraestructura física, mantenimiento y dotación (Sedes construidas, mantenidas reforzadas)</v>
      </c>
      <c r="U101" s="222" t="str">
        <f t="shared" si="4"/>
        <v>08-Infraestructura física, mantenimiento y dotación (Sedes construidas, mantenidas reforzadas)</v>
      </c>
      <c r="V101" s="219" t="s">
        <v>238</v>
      </c>
      <c r="W101" s="221" t="str">
        <f>IFERROR(VLOOKUP(V101,TD!$N$34:$O$46,2,0)," ")</f>
        <v>Sedes mantenidas</v>
      </c>
      <c r="X101" s="222" t="str">
        <f t="shared" si="5"/>
        <v>016_Sedes mantenidas</v>
      </c>
      <c r="Y101" s="222" t="str">
        <f t="shared" si="6"/>
        <v>08-Infraestructura física, mantenimiento y dotación (Sedes construidas, mantenidas reforzadas) 016_Sedes mantenidas</v>
      </c>
      <c r="Z101" s="221" t="str">
        <f t="shared" si="7"/>
        <v>O23011745992024020708016</v>
      </c>
      <c r="AA101" s="221" t="str">
        <f>IFERROR(VLOOKUP(Y101,TD!$K$47:$L$65,2,0)," ")</f>
        <v>PM/0131/0108/45990160207</v>
      </c>
      <c r="AB101" s="53" t="s">
        <v>120</v>
      </c>
      <c r="AC101" s="223" t="s">
        <v>204</v>
      </c>
    </row>
    <row r="102" spans="2:29" s="28" customFormat="1" ht="99" customHeight="1" x14ac:dyDescent="0.35">
      <c r="B102" s="77">
        <v>20250040</v>
      </c>
      <c r="C102" s="50" t="s">
        <v>208</v>
      </c>
      <c r="D102" s="218" t="s">
        <v>46</v>
      </c>
      <c r="E102" s="219" t="s">
        <v>466</v>
      </c>
      <c r="F102" s="218" t="s">
        <v>470</v>
      </c>
      <c r="G102" s="218" t="s">
        <v>155</v>
      </c>
      <c r="H102" s="93">
        <v>80111600</v>
      </c>
      <c r="I102" s="220">
        <v>2</v>
      </c>
      <c r="J102" s="220">
        <v>6</v>
      </c>
      <c r="K102" s="52">
        <v>0</v>
      </c>
      <c r="L102" s="53">
        <f>58500000-19500000</f>
        <v>39000000</v>
      </c>
      <c r="M102" s="218" t="s">
        <v>465</v>
      </c>
      <c r="N102" s="53" t="s">
        <v>113</v>
      </c>
      <c r="O102" s="219" t="s">
        <v>219</v>
      </c>
      <c r="P102" s="221" t="str">
        <f>IFERROR(VLOOKUP(C102,TD!$B$33:$F$37,2,0)," ")</f>
        <v>O230117</v>
      </c>
      <c r="Q102" s="221" t="str">
        <f>IFERROR(VLOOKUP(C102,TD!$B$33:$F$37,3,0)," ")</f>
        <v>4599</v>
      </c>
      <c r="R102" s="221">
        <f>IFERROR(VLOOKUP(C102,TD!$B$33:$F$37,4,0)," ")</f>
        <v>20240207</v>
      </c>
      <c r="S102" s="219" t="s">
        <v>185</v>
      </c>
      <c r="T102" s="221" t="str">
        <f>IFERROR(VLOOKUP(S102,TD!$J$34:$K$44,2,0)," ")</f>
        <v>Infraestructura física, mantenimiento y dotación (Sedes construidas, mantenidas reforzadas)</v>
      </c>
      <c r="U102" s="222" t="str">
        <f t="shared" si="4"/>
        <v>08-Infraestructura física, mantenimiento y dotación (Sedes construidas, mantenidas reforzadas)</v>
      </c>
      <c r="V102" s="219" t="s">
        <v>238</v>
      </c>
      <c r="W102" s="221" t="str">
        <f>IFERROR(VLOOKUP(V102,TD!$N$34:$O$46,2,0)," ")</f>
        <v>Sedes mantenidas</v>
      </c>
      <c r="X102" s="222" t="str">
        <f t="shared" si="5"/>
        <v>016_Sedes mantenidas</v>
      </c>
      <c r="Y102" s="222" t="str">
        <f t="shared" si="6"/>
        <v>08-Infraestructura física, mantenimiento y dotación (Sedes construidas, mantenidas reforzadas) 016_Sedes mantenidas</v>
      </c>
      <c r="Z102" s="221" t="str">
        <f t="shared" si="7"/>
        <v>O23011745992024020708016</v>
      </c>
      <c r="AA102" s="221" t="str">
        <f>IFERROR(VLOOKUP(Y102,TD!$K$47:$L$65,2,0)," ")</f>
        <v>PM/0131/0108/45990160207</v>
      </c>
      <c r="AB102" s="53" t="s">
        <v>120</v>
      </c>
      <c r="AC102" s="223" t="s">
        <v>204</v>
      </c>
    </row>
    <row r="103" spans="2:29" s="28" customFormat="1" ht="99" customHeight="1" x14ac:dyDescent="0.35">
      <c r="B103" s="77">
        <v>20250041</v>
      </c>
      <c r="C103" s="50" t="s">
        <v>208</v>
      </c>
      <c r="D103" s="218" t="s">
        <v>46</v>
      </c>
      <c r="E103" s="219" t="s">
        <v>466</v>
      </c>
      <c r="F103" s="218" t="s">
        <v>470</v>
      </c>
      <c r="G103" s="218" t="s">
        <v>155</v>
      </c>
      <c r="H103" s="93">
        <v>80111600</v>
      </c>
      <c r="I103" s="220">
        <v>3</v>
      </c>
      <c r="J103" s="220">
        <v>4</v>
      </c>
      <c r="K103" s="52">
        <v>0</v>
      </c>
      <c r="L103" s="53">
        <f>52000000-13000000-13000000</f>
        <v>26000000</v>
      </c>
      <c r="M103" s="218" t="s">
        <v>465</v>
      </c>
      <c r="N103" s="53" t="s">
        <v>113</v>
      </c>
      <c r="O103" s="219" t="s">
        <v>219</v>
      </c>
      <c r="P103" s="221" t="str">
        <f>IFERROR(VLOOKUP(C103,TD!$B$33:$F$37,2,0)," ")</f>
        <v>O230117</v>
      </c>
      <c r="Q103" s="221" t="str">
        <f>IFERROR(VLOOKUP(C103,TD!$B$33:$F$37,3,0)," ")</f>
        <v>4599</v>
      </c>
      <c r="R103" s="221">
        <f>IFERROR(VLOOKUP(C103,TD!$B$33:$F$37,4,0)," ")</f>
        <v>20240207</v>
      </c>
      <c r="S103" s="219" t="s">
        <v>185</v>
      </c>
      <c r="T103" s="221" t="str">
        <f>IFERROR(VLOOKUP(S103,TD!$J$34:$K$44,2,0)," ")</f>
        <v>Infraestructura física, mantenimiento y dotación (Sedes construidas, mantenidas reforzadas)</v>
      </c>
      <c r="U103" s="222" t="str">
        <f t="shared" si="4"/>
        <v>08-Infraestructura física, mantenimiento y dotación (Sedes construidas, mantenidas reforzadas)</v>
      </c>
      <c r="V103" s="219" t="s">
        <v>238</v>
      </c>
      <c r="W103" s="221" t="str">
        <f>IFERROR(VLOOKUP(V103,TD!$N$34:$O$46,2,0)," ")</f>
        <v>Sedes mantenidas</v>
      </c>
      <c r="X103" s="222" t="str">
        <f t="shared" si="5"/>
        <v>016_Sedes mantenidas</v>
      </c>
      <c r="Y103" s="222" t="str">
        <f t="shared" si="6"/>
        <v>08-Infraestructura física, mantenimiento y dotación (Sedes construidas, mantenidas reforzadas) 016_Sedes mantenidas</v>
      </c>
      <c r="Z103" s="221" t="str">
        <f t="shared" si="7"/>
        <v>O23011745992024020708016</v>
      </c>
      <c r="AA103" s="221" t="str">
        <f>IFERROR(VLOOKUP(Y103,TD!$K$47:$L$65,2,0)," ")</f>
        <v>PM/0131/0108/45990160207</v>
      </c>
      <c r="AB103" s="53" t="s">
        <v>120</v>
      </c>
      <c r="AC103" s="223" t="s">
        <v>204</v>
      </c>
    </row>
    <row r="104" spans="2:29" s="28" customFormat="1" ht="99" customHeight="1" x14ac:dyDescent="0.35">
      <c r="B104" s="77">
        <v>20250042</v>
      </c>
      <c r="C104" s="50" t="s">
        <v>208</v>
      </c>
      <c r="D104" s="218" t="s">
        <v>46</v>
      </c>
      <c r="E104" s="219" t="s">
        <v>466</v>
      </c>
      <c r="F104" s="218" t="s">
        <v>470</v>
      </c>
      <c r="G104" s="218" t="s">
        <v>155</v>
      </c>
      <c r="H104" s="93">
        <v>80111600</v>
      </c>
      <c r="I104" s="220">
        <v>1</v>
      </c>
      <c r="J104" s="220">
        <v>10</v>
      </c>
      <c r="K104" s="52">
        <v>0</v>
      </c>
      <c r="L104" s="53">
        <v>71000000</v>
      </c>
      <c r="M104" s="218" t="s">
        <v>465</v>
      </c>
      <c r="N104" s="53" t="s">
        <v>113</v>
      </c>
      <c r="O104" s="219" t="s">
        <v>219</v>
      </c>
      <c r="P104" s="221" t="str">
        <f>IFERROR(VLOOKUP(C104,TD!$B$33:$F$37,2,0)," ")</f>
        <v>O230117</v>
      </c>
      <c r="Q104" s="221" t="str">
        <f>IFERROR(VLOOKUP(C104,TD!$B$33:$F$37,3,0)," ")</f>
        <v>4599</v>
      </c>
      <c r="R104" s="221">
        <f>IFERROR(VLOOKUP(C104,TD!$B$33:$F$37,4,0)," ")</f>
        <v>20240207</v>
      </c>
      <c r="S104" s="219" t="s">
        <v>185</v>
      </c>
      <c r="T104" s="221" t="str">
        <f>IFERROR(VLOOKUP(S104,TD!$J$34:$K$44,2,0)," ")</f>
        <v>Infraestructura física, mantenimiento y dotación (Sedes construidas, mantenidas reforzadas)</v>
      </c>
      <c r="U104" s="222" t="str">
        <f t="shared" si="4"/>
        <v>08-Infraestructura física, mantenimiento y dotación (Sedes construidas, mantenidas reforzadas)</v>
      </c>
      <c r="V104" s="219" t="s">
        <v>238</v>
      </c>
      <c r="W104" s="221" t="str">
        <f>IFERROR(VLOOKUP(V104,TD!$N$34:$O$46,2,0)," ")</f>
        <v>Sedes mantenidas</v>
      </c>
      <c r="X104" s="222" t="str">
        <f t="shared" si="5"/>
        <v>016_Sedes mantenidas</v>
      </c>
      <c r="Y104" s="222" t="str">
        <f t="shared" si="6"/>
        <v>08-Infraestructura física, mantenimiento y dotación (Sedes construidas, mantenidas reforzadas) 016_Sedes mantenidas</v>
      </c>
      <c r="Z104" s="221" t="str">
        <f t="shared" si="7"/>
        <v>O23011745992024020708016</v>
      </c>
      <c r="AA104" s="221" t="str">
        <f>IFERROR(VLOOKUP(Y104,TD!$K$47:$L$65,2,0)," ")</f>
        <v>PM/0131/0108/45990160207</v>
      </c>
      <c r="AB104" s="53" t="s">
        <v>120</v>
      </c>
      <c r="AC104" s="223" t="s">
        <v>204</v>
      </c>
    </row>
    <row r="105" spans="2:29" s="28" customFormat="1" ht="99" customHeight="1" x14ac:dyDescent="0.35">
      <c r="B105" s="77">
        <v>20250043</v>
      </c>
      <c r="C105" s="50" t="s">
        <v>208</v>
      </c>
      <c r="D105" s="218" t="s">
        <v>46</v>
      </c>
      <c r="E105" s="219" t="s">
        <v>466</v>
      </c>
      <c r="F105" s="218" t="s">
        <v>830</v>
      </c>
      <c r="G105" s="218" t="s">
        <v>155</v>
      </c>
      <c r="H105" s="93">
        <v>80111600</v>
      </c>
      <c r="I105" s="220">
        <v>3</v>
      </c>
      <c r="J105" s="220">
        <v>4</v>
      </c>
      <c r="K105" s="52">
        <v>0</v>
      </c>
      <c r="L105" s="53">
        <f>38500000-10000000-8500000</f>
        <v>20000000</v>
      </c>
      <c r="M105" s="218" t="s">
        <v>465</v>
      </c>
      <c r="N105" s="53" t="s">
        <v>113</v>
      </c>
      <c r="O105" s="219" t="s">
        <v>219</v>
      </c>
      <c r="P105" s="221" t="str">
        <f>IFERROR(VLOOKUP(C105,TD!$B$33:$F$37,2,0)," ")</f>
        <v>O230117</v>
      </c>
      <c r="Q105" s="221" t="str">
        <f>IFERROR(VLOOKUP(C105,TD!$B$33:$F$37,3,0)," ")</f>
        <v>4599</v>
      </c>
      <c r="R105" s="221">
        <f>IFERROR(VLOOKUP(C105,TD!$B$33:$F$37,4,0)," ")</f>
        <v>20240207</v>
      </c>
      <c r="S105" s="219" t="s">
        <v>185</v>
      </c>
      <c r="T105" s="221" t="str">
        <f>IFERROR(VLOOKUP(S105,TD!$J$34:$K$44,2,0)," ")</f>
        <v>Infraestructura física, mantenimiento y dotación (Sedes construidas, mantenidas reforzadas)</v>
      </c>
      <c r="U105" s="222" t="str">
        <f t="shared" si="4"/>
        <v>08-Infraestructura física, mantenimiento y dotación (Sedes construidas, mantenidas reforzadas)</v>
      </c>
      <c r="V105" s="219" t="s">
        <v>238</v>
      </c>
      <c r="W105" s="221" t="str">
        <f>IFERROR(VLOOKUP(V105,TD!$N$34:$O$46,2,0)," ")</f>
        <v>Sedes mantenidas</v>
      </c>
      <c r="X105" s="222" t="str">
        <f t="shared" si="5"/>
        <v>016_Sedes mantenidas</v>
      </c>
      <c r="Y105" s="222" t="str">
        <f t="shared" si="6"/>
        <v>08-Infraestructura física, mantenimiento y dotación (Sedes construidas, mantenidas reforzadas) 016_Sedes mantenidas</v>
      </c>
      <c r="Z105" s="221" t="str">
        <f t="shared" si="7"/>
        <v>O23011745992024020708016</v>
      </c>
      <c r="AA105" s="221" t="str">
        <f>IFERROR(VLOOKUP(Y105,TD!$K$47:$L$65,2,0)," ")</f>
        <v>PM/0131/0108/45990160207</v>
      </c>
      <c r="AB105" s="53" t="s">
        <v>120</v>
      </c>
      <c r="AC105" s="223" t="s">
        <v>204</v>
      </c>
    </row>
    <row r="106" spans="2:29" s="28" customFormat="1" ht="99" customHeight="1" x14ac:dyDescent="0.35">
      <c r="B106" s="77">
        <v>20250044</v>
      </c>
      <c r="C106" s="50" t="s">
        <v>208</v>
      </c>
      <c r="D106" s="218" t="s">
        <v>46</v>
      </c>
      <c r="E106" s="219" t="s">
        <v>466</v>
      </c>
      <c r="F106" s="218" t="s">
        <v>471</v>
      </c>
      <c r="G106" s="218" t="s">
        <v>156</v>
      </c>
      <c r="H106" s="93">
        <v>80111600</v>
      </c>
      <c r="I106" s="220">
        <v>2</v>
      </c>
      <c r="J106" s="220">
        <v>6</v>
      </c>
      <c r="K106" s="52">
        <v>0</v>
      </c>
      <c r="L106" s="53">
        <f>35500000-15700000</f>
        <v>19800000</v>
      </c>
      <c r="M106" s="218" t="s">
        <v>465</v>
      </c>
      <c r="N106" s="53" t="s">
        <v>113</v>
      </c>
      <c r="O106" s="219" t="s">
        <v>219</v>
      </c>
      <c r="P106" s="221" t="str">
        <f>IFERROR(VLOOKUP(C106,TD!$B$33:$F$37,2,0)," ")</f>
        <v>O230117</v>
      </c>
      <c r="Q106" s="221" t="str">
        <f>IFERROR(VLOOKUP(C106,TD!$B$33:$F$37,3,0)," ")</f>
        <v>4599</v>
      </c>
      <c r="R106" s="221">
        <f>IFERROR(VLOOKUP(C106,TD!$B$33:$F$37,4,0)," ")</f>
        <v>20240207</v>
      </c>
      <c r="S106" s="219" t="s">
        <v>185</v>
      </c>
      <c r="T106" s="221" t="str">
        <f>IFERROR(VLOOKUP(S106,TD!$J$34:$K$44,2,0)," ")</f>
        <v>Infraestructura física, mantenimiento y dotación (Sedes construidas, mantenidas reforzadas)</v>
      </c>
      <c r="U106" s="222" t="str">
        <f t="shared" si="4"/>
        <v>08-Infraestructura física, mantenimiento y dotación (Sedes construidas, mantenidas reforzadas)</v>
      </c>
      <c r="V106" s="219" t="s">
        <v>238</v>
      </c>
      <c r="W106" s="221" t="str">
        <f>IFERROR(VLOOKUP(V106,TD!$N$34:$O$46,2,0)," ")</f>
        <v>Sedes mantenidas</v>
      </c>
      <c r="X106" s="222" t="str">
        <f t="shared" si="5"/>
        <v>016_Sedes mantenidas</v>
      </c>
      <c r="Y106" s="222" t="str">
        <f t="shared" si="6"/>
        <v>08-Infraestructura física, mantenimiento y dotación (Sedes construidas, mantenidas reforzadas) 016_Sedes mantenidas</v>
      </c>
      <c r="Z106" s="221" t="str">
        <f t="shared" si="7"/>
        <v>O23011745992024020708016</v>
      </c>
      <c r="AA106" s="221" t="str">
        <f>IFERROR(VLOOKUP(Y106,TD!$K$47:$L$65,2,0)," ")</f>
        <v>PM/0131/0108/45990160207</v>
      </c>
      <c r="AB106" s="53" t="s">
        <v>138</v>
      </c>
      <c r="AC106" s="223" t="s">
        <v>204</v>
      </c>
    </row>
    <row r="107" spans="2:29" s="28" customFormat="1" ht="99" customHeight="1" x14ac:dyDescent="0.35">
      <c r="B107" s="77">
        <v>20250045</v>
      </c>
      <c r="C107" s="50" t="s">
        <v>208</v>
      </c>
      <c r="D107" s="218" t="s">
        <v>46</v>
      </c>
      <c r="E107" s="219" t="s">
        <v>466</v>
      </c>
      <c r="F107" s="218" t="s">
        <v>831</v>
      </c>
      <c r="G107" s="218" t="s">
        <v>155</v>
      </c>
      <c r="H107" s="93">
        <v>80111600</v>
      </c>
      <c r="I107" s="220">
        <v>2</v>
      </c>
      <c r="J107" s="220">
        <v>8</v>
      </c>
      <c r="K107" s="52">
        <v>0</v>
      </c>
      <c r="L107" s="53">
        <v>48000000</v>
      </c>
      <c r="M107" s="218" t="s">
        <v>465</v>
      </c>
      <c r="N107" s="53" t="s">
        <v>113</v>
      </c>
      <c r="O107" s="219" t="s">
        <v>219</v>
      </c>
      <c r="P107" s="221" t="str">
        <f>IFERROR(VLOOKUP(C107,TD!$B$33:$F$37,2,0)," ")</f>
        <v>O230117</v>
      </c>
      <c r="Q107" s="221" t="str">
        <f>IFERROR(VLOOKUP(C107,TD!$B$33:$F$37,3,0)," ")</f>
        <v>4599</v>
      </c>
      <c r="R107" s="221">
        <f>IFERROR(VLOOKUP(C107,TD!$B$33:$F$37,4,0)," ")</f>
        <v>20240207</v>
      </c>
      <c r="S107" s="219" t="s">
        <v>185</v>
      </c>
      <c r="T107" s="221" t="str">
        <f>IFERROR(VLOOKUP(S107,TD!$J$34:$K$44,2,0)," ")</f>
        <v>Infraestructura física, mantenimiento y dotación (Sedes construidas, mantenidas reforzadas)</v>
      </c>
      <c r="U107" s="222" t="str">
        <f t="shared" si="4"/>
        <v>08-Infraestructura física, mantenimiento y dotación (Sedes construidas, mantenidas reforzadas)</v>
      </c>
      <c r="V107" s="219" t="s">
        <v>238</v>
      </c>
      <c r="W107" s="221" t="str">
        <f>IFERROR(VLOOKUP(V107,TD!$N$34:$O$46,2,0)," ")</f>
        <v>Sedes mantenidas</v>
      </c>
      <c r="X107" s="222" t="str">
        <f t="shared" si="5"/>
        <v>016_Sedes mantenidas</v>
      </c>
      <c r="Y107" s="222" t="str">
        <f t="shared" si="6"/>
        <v>08-Infraestructura física, mantenimiento y dotación (Sedes construidas, mantenidas reforzadas) 016_Sedes mantenidas</v>
      </c>
      <c r="Z107" s="221" t="str">
        <f t="shared" si="7"/>
        <v>O23011745992024020708016</v>
      </c>
      <c r="AA107" s="221" t="str">
        <f>IFERROR(VLOOKUP(Y107,TD!$K$47:$L$65,2,0)," ")</f>
        <v>PM/0131/0108/45990160207</v>
      </c>
      <c r="AB107" s="53" t="s">
        <v>120</v>
      </c>
      <c r="AC107" s="223" t="s">
        <v>204</v>
      </c>
    </row>
    <row r="108" spans="2:29" s="28" customFormat="1" ht="99" customHeight="1" x14ac:dyDescent="0.35">
      <c r="B108" s="77">
        <v>20250046</v>
      </c>
      <c r="C108" s="50" t="s">
        <v>208</v>
      </c>
      <c r="D108" s="218" t="s">
        <v>36</v>
      </c>
      <c r="E108" s="219" t="s">
        <v>378</v>
      </c>
      <c r="F108" s="218" t="s">
        <v>472</v>
      </c>
      <c r="G108" s="218" t="s">
        <v>155</v>
      </c>
      <c r="H108" s="93">
        <v>80111600</v>
      </c>
      <c r="I108" s="220">
        <v>2</v>
      </c>
      <c r="J108" s="220">
        <v>9</v>
      </c>
      <c r="K108" s="52">
        <v>0</v>
      </c>
      <c r="L108" s="53">
        <v>33781662</v>
      </c>
      <c r="M108" s="218" t="s">
        <v>465</v>
      </c>
      <c r="N108" s="53" t="s">
        <v>113</v>
      </c>
      <c r="O108" s="219" t="s">
        <v>211</v>
      </c>
      <c r="P108" s="221" t="str">
        <f>IFERROR(VLOOKUP(C108,TD!$B$33:$F$37,2,0)," ")</f>
        <v>O230117</v>
      </c>
      <c r="Q108" s="221" t="str">
        <f>IFERROR(VLOOKUP(C108,TD!$B$33:$F$37,3,0)," ")</f>
        <v>4599</v>
      </c>
      <c r="R108" s="221">
        <f>IFERROR(VLOOKUP(C108,TD!$B$33:$F$37,4,0)," ")</f>
        <v>20240207</v>
      </c>
      <c r="S108" s="219" t="s">
        <v>193</v>
      </c>
      <c r="T108" s="221" t="str">
        <f>IFERROR(VLOOKUP(S108,TD!$J$34:$K$44,2,0)," ")</f>
        <v>Servicios para la planeación y sistemas de gestión y comunicación estratégica</v>
      </c>
      <c r="U108" s="222" t="str">
        <f t="shared" si="4"/>
        <v>13-Servicios para la planeación y sistemas de gestión y comunicación estratégica</v>
      </c>
      <c r="V108" s="219" t="s">
        <v>240</v>
      </c>
      <c r="W108" s="221" t="str">
        <f>IFERROR(VLOOKUP(V108,TD!$N$34:$O$46,2,0)," ")</f>
        <v>Servicio de asistencia técnica</v>
      </c>
      <c r="X108" s="222" t="str">
        <f t="shared" si="5"/>
        <v>031_Servicio de asistencia técnica</v>
      </c>
      <c r="Y108" s="222" t="str">
        <f t="shared" si="6"/>
        <v>13-Servicios para la planeación y sistemas de gestión y comunicación estratégica 031_Servicio de asistencia técnica</v>
      </c>
      <c r="Z108" s="221" t="str">
        <f t="shared" si="7"/>
        <v>O23011745992024020713031</v>
      </c>
      <c r="AA108" s="221" t="str">
        <f>IFERROR(VLOOKUP(Y108,TD!$K$47:$L$65,2,0)," ")</f>
        <v>PM/0131/0113/45990310207</v>
      </c>
      <c r="AB108" s="53" t="s">
        <v>138</v>
      </c>
      <c r="AC108" s="223" t="s">
        <v>204</v>
      </c>
    </row>
    <row r="109" spans="2:29" s="28" customFormat="1" ht="99" customHeight="1" x14ac:dyDescent="0.35">
      <c r="B109" s="77">
        <v>20250047</v>
      </c>
      <c r="C109" s="50" t="s">
        <v>208</v>
      </c>
      <c r="D109" s="218" t="s">
        <v>36</v>
      </c>
      <c r="E109" s="219" t="s">
        <v>378</v>
      </c>
      <c r="F109" s="218" t="s">
        <v>817</v>
      </c>
      <c r="G109" s="218" t="s">
        <v>155</v>
      </c>
      <c r="H109" s="93">
        <v>80111600</v>
      </c>
      <c r="I109" s="220">
        <v>3</v>
      </c>
      <c r="J109" s="220">
        <v>10</v>
      </c>
      <c r="K109" s="52">
        <v>0</v>
      </c>
      <c r="L109" s="53">
        <v>65000000</v>
      </c>
      <c r="M109" s="218" t="s">
        <v>465</v>
      </c>
      <c r="N109" s="53" t="s">
        <v>113</v>
      </c>
      <c r="O109" s="219" t="s">
        <v>211</v>
      </c>
      <c r="P109" s="221" t="str">
        <f>IFERROR(VLOOKUP(C109,TD!$B$33:$F$37,2,0)," ")</f>
        <v>O230117</v>
      </c>
      <c r="Q109" s="221" t="str">
        <f>IFERROR(VLOOKUP(C109,TD!$B$33:$F$37,3,0)," ")</f>
        <v>4599</v>
      </c>
      <c r="R109" s="221">
        <f>IFERROR(VLOOKUP(C109,TD!$B$33:$F$37,4,0)," ")</f>
        <v>20240207</v>
      </c>
      <c r="S109" s="219" t="s">
        <v>193</v>
      </c>
      <c r="T109" s="221" t="str">
        <f>IFERROR(VLOOKUP(S109,TD!$J$34:$K$44,2,0)," ")</f>
        <v>Servicios para la planeación y sistemas de gestión y comunicación estratégica</v>
      </c>
      <c r="U109" s="222" t="str">
        <f t="shared" si="4"/>
        <v>13-Servicios para la planeación y sistemas de gestión y comunicación estratégica</v>
      </c>
      <c r="V109" s="219" t="s">
        <v>240</v>
      </c>
      <c r="W109" s="221" t="str">
        <f>IFERROR(VLOOKUP(V109,TD!$N$34:$O$46,2,0)," ")</f>
        <v>Servicio de asistencia técnica</v>
      </c>
      <c r="X109" s="222" t="str">
        <f t="shared" si="5"/>
        <v>031_Servicio de asistencia técnica</v>
      </c>
      <c r="Y109" s="222" t="str">
        <f t="shared" si="6"/>
        <v>13-Servicios para la planeación y sistemas de gestión y comunicación estratégica 031_Servicio de asistencia técnica</v>
      </c>
      <c r="Z109" s="221" t="str">
        <f t="shared" si="7"/>
        <v>O23011745992024020713031</v>
      </c>
      <c r="AA109" s="221" t="str">
        <f>IFERROR(VLOOKUP(Y109,TD!$K$47:$L$65,2,0)," ")</f>
        <v>PM/0131/0113/45990310207</v>
      </c>
      <c r="AB109" s="53" t="s">
        <v>138</v>
      </c>
      <c r="AC109" s="223" t="s">
        <v>204</v>
      </c>
    </row>
    <row r="110" spans="2:29" s="28" customFormat="1" ht="99" customHeight="1" x14ac:dyDescent="0.35">
      <c r="B110" s="77">
        <v>20250048</v>
      </c>
      <c r="C110" s="50" t="s">
        <v>208</v>
      </c>
      <c r="D110" s="218" t="s">
        <v>36</v>
      </c>
      <c r="E110" s="219" t="s">
        <v>378</v>
      </c>
      <c r="F110" s="218" t="s">
        <v>379</v>
      </c>
      <c r="G110" s="218" t="s">
        <v>156</v>
      </c>
      <c r="H110" s="93">
        <v>80111600</v>
      </c>
      <c r="I110" s="220">
        <v>2</v>
      </c>
      <c r="J110" s="220">
        <v>9</v>
      </c>
      <c r="K110" s="52">
        <v>0</v>
      </c>
      <c r="L110" s="53">
        <v>40417344</v>
      </c>
      <c r="M110" s="218" t="s">
        <v>465</v>
      </c>
      <c r="N110" s="53" t="s">
        <v>113</v>
      </c>
      <c r="O110" s="219" t="s">
        <v>211</v>
      </c>
      <c r="P110" s="221" t="str">
        <f>IFERROR(VLOOKUP(C110,TD!$B$33:$F$37,2,0)," ")</f>
        <v>O230117</v>
      </c>
      <c r="Q110" s="221" t="str">
        <f>IFERROR(VLOOKUP(C110,TD!$B$33:$F$37,3,0)," ")</f>
        <v>4599</v>
      </c>
      <c r="R110" s="221">
        <f>IFERROR(VLOOKUP(C110,TD!$B$33:$F$37,4,0)," ")</f>
        <v>20240207</v>
      </c>
      <c r="S110" s="219" t="s">
        <v>193</v>
      </c>
      <c r="T110" s="221" t="str">
        <f>IFERROR(VLOOKUP(S110,TD!$J$34:$K$44,2,0)," ")</f>
        <v>Servicios para la planeación y sistemas de gestión y comunicación estratégica</v>
      </c>
      <c r="U110" s="222" t="str">
        <f t="shared" si="4"/>
        <v>13-Servicios para la planeación y sistemas de gestión y comunicación estratégica</v>
      </c>
      <c r="V110" s="219" t="s">
        <v>240</v>
      </c>
      <c r="W110" s="221" t="str">
        <f>IFERROR(VLOOKUP(V110,TD!$N$34:$O$46,2,0)," ")</f>
        <v>Servicio de asistencia técnica</v>
      </c>
      <c r="X110" s="222" t="str">
        <f t="shared" si="5"/>
        <v>031_Servicio de asistencia técnica</v>
      </c>
      <c r="Y110" s="222" t="str">
        <f t="shared" si="6"/>
        <v>13-Servicios para la planeación y sistemas de gestión y comunicación estratégica 031_Servicio de asistencia técnica</v>
      </c>
      <c r="Z110" s="221" t="str">
        <f t="shared" si="7"/>
        <v>O23011745992024020713031</v>
      </c>
      <c r="AA110" s="221" t="str">
        <f>IFERROR(VLOOKUP(Y110,TD!$K$47:$L$65,2,0)," ")</f>
        <v>PM/0131/0113/45990310207</v>
      </c>
      <c r="AB110" s="53" t="s">
        <v>138</v>
      </c>
      <c r="AC110" s="223" t="s">
        <v>204</v>
      </c>
    </row>
    <row r="111" spans="2:29" s="28" customFormat="1" ht="99" customHeight="1" x14ac:dyDescent="0.35">
      <c r="B111" s="77">
        <v>20250049</v>
      </c>
      <c r="C111" s="50" t="s">
        <v>208</v>
      </c>
      <c r="D111" s="218" t="s">
        <v>36</v>
      </c>
      <c r="E111" s="219" t="s">
        <v>378</v>
      </c>
      <c r="F111" s="218" t="s">
        <v>380</v>
      </c>
      <c r="G111" s="218" t="s">
        <v>155</v>
      </c>
      <c r="H111" s="93">
        <v>80111600</v>
      </c>
      <c r="I111" s="220">
        <v>2</v>
      </c>
      <c r="J111" s="220">
        <v>11</v>
      </c>
      <c r="K111" s="52">
        <v>0</v>
      </c>
      <c r="L111" s="53">
        <v>104500000</v>
      </c>
      <c r="M111" s="218" t="s">
        <v>465</v>
      </c>
      <c r="N111" s="53" t="s">
        <v>113</v>
      </c>
      <c r="O111" s="219" t="s">
        <v>211</v>
      </c>
      <c r="P111" s="221" t="str">
        <f>IFERROR(VLOOKUP(C111,TD!$B$33:$F$37,2,0)," ")</f>
        <v>O230117</v>
      </c>
      <c r="Q111" s="221" t="str">
        <f>IFERROR(VLOOKUP(C111,TD!$B$33:$F$37,3,0)," ")</f>
        <v>4599</v>
      </c>
      <c r="R111" s="221">
        <f>IFERROR(VLOOKUP(C111,TD!$B$33:$F$37,4,0)," ")</f>
        <v>20240207</v>
      </c>
      <c r="S111" s="219" t="s">
        <v>193</v>
      </c>
      <c r="T111" s="221" t="str">
        <f>IFERROR(VLOOKUP(S111,TD!$J$34:$K$44,2,0)," ")</f>
        <v>Servicios para la planeación y sistemas de gestión y comunicación estratégica</v>
      </c>
      <c r="U111" s="222" t="str">
        <f t="shared" si="4"/>
        <v>13-Servicios para la planeación y sistemas de gestión y comunicación estratégica</v>
      </c>
      <c r="V111" s="219" t="s">
        <v>240</v>
      </c>
      <c r="W111" s="221" t="str">
        <f>IFERROR(VLOOKUP(V111,TD!$N$34:$O$46,2,0)," ")</f>
        <v>Servicio de asistencia técnica</v>
      </c>
      <c r="X111" s="222" t="str">
        <f t="shared" si="5"/>
        <v>031_Servicio de asistencia técnica</v>
      </c>
      <c r="Y111" s="222" t="str">
        <f t="shared" si="6"/>
        <v>13-Servicios para la planeación y sistemas de gestión y comunicación estratégica 031_Servicio de asistencia técnica</v>
      </c>
      <c r="Z111" s="221" t="str">
        <f t="shared" si="7"/>
        <v>O23011745992024020713031</v>
      </c>
      <c r="AA111" s="221" t="str">
        <f>IFERROR(VLOOKUP(Y111,TD!$K$47:$L$65,2,0)," ")</f>
        <v>PM/0131/0113/45990310207</v>
      </c>
      <c r="AB111" s="53" t="s">
        <v>138</v>
      </c>
      <c r="AC111" s="223" t="s">
        <v>204</v>
      </c>
    </row>
    <row r="112" spans="2:29" s="28" customFormat="1" ht="99" customHeight="1" x14ac:dyDescent="0.35">
      <c r="B112" s="77">
        <v>20250050</v>
      </c>
      <c r="C112" s="50" t="s">
        <v>208</v>
      </c>
      <c r="D112" s="218" t="s">
        <v>36</v>
      </c>
      <c r="E112" s="219" t="s">
        <v>378</v>
      </c>
      <c r="F112" s="218" t="s">
        <v>381</v>
      </c>
      <c r="G112" s="218" t="s">
        <v>155</v>
      </c>
      <c r="H112" s="93">
        <v>80111600</v>
      </c>
      <c r="I112" s="220">
        <v>2</v>
      </c>
      <c r="J112" s="220">
        <v>6</v>
      </c>
      <c r="K112" s="52">
        <v>0</v>
      </c>
      <c r="L112" s="53">
        <v>42000000</v>
      </c>
      <c r="M112" s="218" t="s">
        <v>465</v>
      </c>
      <c r="N112" s="53" t="s">
        <v>113</v>
      </c>
      <c r="O112" s="219" t="s">
        <v>211</v>
      </c>
      <c r="P112" s="221" t="str">
        <f>IFERROR(VLOOKUP(C112,TD!$B$33:$F$37,2,0)," ")</f>
        <v>O230117</v>
      </c>
      <c r="Q112" s="221" t="str">
        <f>IFERROR(VLOOKUP(C112,TD!$B$33:$F$37,3,0)," ")</f>
        <v>4599</v>
      </c>
      <c r="R112" s="221">
        <f>IFERROR(VLOOKUP(C112,TD!$B$33:$F$37,4,0)," ")</f>
        <v>20240207</v>
      </c>
      <c r="S112" s="219" t="s">
        <v>193</v>
      </c>
      <c r="T112" s="221" t="str">
        <f>IFERROR(VLOOKUP(S112,TD!$J$34:$K$44,2,0)," ")</f>
        <v>Servicios para la planeación y sistemas de gestión y comunicación estratégica</v>
      </c>
      <c r="U112" s="222" t="str">
        <f t="shared" si="4"/>
        <v>13-Servicios para la planeación y sistemas de gestión y comunicación estratégica</v>
      </c>
      <c r="V112" s="219" t="s">
        <v>240</v>
      </c>
      <c r="W112" s="221" t="str">
        <f>IFERROR(VLOOKUP(V112,TD!$N$34:$O$46,2,0)," ")</f>
        <v>Servicio de asistencia técnica</v>
      </c>
      <c r="X112" s="222" t="str">
        <f t="shared" si="5"/>
        <v>031_Servicio de asistencia técnica</v>
      </c>
      <c r="Y112" s="222" t="str">
        <f t="shared" si="6"/>
        <v>13-Servicios para la planeación y sistemas de gestión y comunicación estratégica 031_Servicio de asistencia técnica</v>
      </c>
      <c r="Z112" s="221" t="str">
        <f t="shared" si="7"/>
        <v>O23011745992024020713031</v>
      </c>
      <c r="AA112" s="221" t="str">
        <f>IFERROR(VLOOKUP(Y112,TD!$K$47:$L$65,2,0)," ")</f>
        <v>PM/0131/0113/45990310207</v>
      </c>
      <c r="AB112" s="53" t="s">
        <v>138</v>
      </c>
      <c r="AC112" s="223" t="s">
        <v>204</v>
      </c>
    </row>
    <row r="113" spans="2:29" s="28" customFormat="1" ht="99" customHeight="1" x14ac:dyDescent="0.35">
      <c r="B113" s="77">
        <v>20250051</v>
      </c>
      <c r="C113" s="50" t="s">
        <v>208</v>
      </c>
      <c r="D113" s="218" t="s">
        <v>36</v>
      </c>
      <c r="E113" s="219" t="s">
        <v>378</v>
      </c>
      <c r="F113" s="218" t="s">
        <v>422</v>
      </c>
      <c r="G113" s="218" t="s">
        <v>155</v>
      </c>
      <c r="H113" s="93">
        <v>80111600</v>
      </c>
      <c r="I113" s="220">
        <v>2</v>
      </c>
      <c r="J113" s="220">
        <v>7</v>
      </c>
      <c r="K113" s="52">
        <v>0</v>
      </c>
      <c r="L113" s="53">
        <v>51100000</v>
      </c>
      <c r="M113" s="218" t="s">
        <v>465</v>
      </c>
      <c r="N113" s="53" t="s">
        <v>113</v>
      </c>
      <c r="O113" s="219" t="s">
        <v>211</v>
      </c>
      <c r="P113" s="221" t="str">
        <f>IFERROR(VLOOKUP(C113,TD!$B$33:$F$37,2,0)," ")</f>
        <v>O230117</v>
      </c>
      <c r="Q113" s="221" t="str">
        <f>IFERROR(VLOOKUP(C113,TD!$B$33:$F$37,3,0)," ")</f>
        <v>4599</v>
      </c>
      <c r="R113" s="221">
        <f>IFERROR(VLOOKUP(C113,TD!$B$33:$F$37,4,0)," ")</f>
        <v>20240207</v>
      </c>
      <c r="S113" s="219" t="s">
        <v>193</v>
      </c>
      <c r="T113" s="221" t="str">
        <f>IFERROR(VLOOKUP(S113,TD!$J$34:$K$44,2,0)," ")</f>
        <v>Servicios para la planeación y sistemas de gestión y comunicación estratégica</v>
      </c>
      <c r="U113" s="222" t="str">
        <f t="shared" si="4"/>
        <v>13-Servicios para la planeación y sistemas de gestión y comunicación estratégica</v>
      </c>
      <c r="V113" s="219" t="s">
        <v>240</v>
      </c>
      <c r="W113" s="221" t="str">
        <f>IFERROR(VLOOKUP(V113,TD!$N$34:$O$46,2,0)," ")</f>
        <v>Servicio de asistencia técnica</v>
      </c>
      <c r="X113" s="222" t="str">
        <f t="shared" si="5"/>
        <v>031_Servicio de asistencia técnica</v>
      </c>
      <c r="Y113" s="222" t="str">
        <f t="shared" si="6"/>
        <v>13-Servicios para la planeación y sistemas de gestión y comunicación estratégica 031_Servicio de asistencia técnica</v>
      </c>
      <c r="Z113" s="221" t="str">
        <f t="shared" si="7"/>
        <v>O23011745992024020713031</v>
      </c>
      <c r="AA113" s="221" t="str">
        <f>IFERROR(VLOOKUP(Y113,TD!$K$47:$L$65,2,0)," ")</f>
        <v>PM/0131/0113/45990310207</v>
      </c>
      <c r="AB113" s="53" t="s">
        <v>138</v>
      </c>
      <c r="AC113" s="223" t="s">
        <v>204</v>
      </c>
    </row>
    <row r="114" spans="2:29" s="28" customFormat="1" ht="99" customHeight="1" x14ac:dyDescent="0.35">
      <c r="B114" s="77">
        <v>20250052</v>
      </c>
      <c r="C114" s="50" t="s">
        <v>208</v>
      </c>
      <c r="D114" s="218" t="s">
        <v>36</v>
      </c>
      <c r="E114" s="219" t="s">
        <v>378</v>
      </c>
      <c r="F114" s="218" t="s">
        <v>473</v>
      </c>
      <c r="G114" s="218" t="s">
        <v>155</v>
      </c>
      <c r="H114" s="93">
        <v>80111600</v>
      </c>
      <c r="I114" s="220">
        <v>2</v>
      </c>
      <c r="J114" s="220">
        <v>11</v>
      </c>
      <c r="K114" s="52">
        <v>0</v>
      </c>
      <c r="L114" s="53">
        <v>93500000</v>
      </c>
      <c r="M114" s="218" t="s">
        <v>465</v>
      </c>
      <c r="N114" s="53" t="s">
        <v>113</v>
      </c>
      <c r="O114" s="219" t="s">
        <v>212</v>
      </c>
      <c r="P114" s="221" t="str">
        <f>IFERROR(VLOOKUP(C114,TD!$B$33:$F$37,2,0)," ")</f>
        <v>O230117</v>
      </c>
      <c r="Q114" s="221" t="str">
        <f>IFERROR(VLOOKUP(C114,TD!$B$33:$F$37,3,0)," ")</f>
        <v>4599</v>
      </c>
      <c r="R114" s="221">
        <f>IFERROR(VLOOKUP(C114,TD!$B$33:$F$37,4,0)," ")</f>
        <v>20240207</v>
      </c>
      <c r="S114" s="219" t="s">
        <v>193</v>
      </c>
      <c r="T114" s="221" t="str">
        <f>IFERROR(VLOOKUP(S114,TD!$J$34:$K$44,2,0)," ")</f>
        <v>Servicios para la planeación y sistemas de gestión y comunicación estratégica</v>
      </c>
      <c r="U114" s="222" t="str">
        <f t="shared" si="4"/>
        <v>13-Servicios para la planeación y sistemas de gestión y comunicación estratégica</v>
      </c>
      <c r="V114" s="219" t="s">
        <v>241</v>
      </c>
      <c r="W114" s="221" t="str">
        <f>IFERROR(VLOOKUP(V114,TD!$N$34:$O$46,2,0)," ")</f>
        <v>Servicio de Implementación Sistemas de Gestión</v>
      </c>
      <c r="X114" s="222" t="str">
        <f t="shared" si="5"/>
        <v>023_Servicio de Implementación Sistemas de Gestión</v>
      </c>
      <c r="Y114" s="222" t="str">
        <f t="shared" si="6"/>
        <v>13-Servicios para la planeación y sistemas de gestión y comunicación estratégica 023_Servicio de Implementación Sistemas de Gestión</v>
      </c>
      <c r="Z114" s="221" t="str">
        <f t="shared" si="7"/>
        <v>O23011745992024020713023</v>
      </c>
      <c r="AA114" s="221" t="str">
        <f>IFERROR(VLOOKUP(Y114,TD!$K$47:$L$65,2,0)," ")</f>
        <v>PM/0131/0113/45990230207</v>
      </c>
      <c r="AB114" s="53" t="s">
        <v>138</v>
      </c>
      <c r="AC114" s="223" t="s">
        <v>204</v>
      </c>
    </row>
    <row r="115" spans="2:29" s="28" customFormat="1" ht="99" customHeight="1" x14ac:dyDescent="0.35">
      <c r="B115" s="77">
        <v>20250053</v>
      </c>
      <c r="C115" s="50" t="s">
        <v>208</v>
      </c>
      <c r="D115" s="218" t="s">
        <v>36</v>
      </c>
      <c r="E115" s="219" t="s">
        <v>378</v>
      </c>
      <c r="F115" s="218" t="s">
        <v>474</v>
      </c>
      <c r="G115" s="218" t="s">
        <v>155</v>
      </c>
      <c r="H115" s="93">
        <v>80111600</v>
      </c>
      <c r="I115" s="220">
        <v>2</v>
      </c>
      <c r="J115" s="220">
        <v>7</v>
      </c>
      <c r="K115" s="52">
        <v>0</v>
      </c>
      <c r="L115" s="53">
        <v>52500000</v>
      </c>
      <c r="M115" s="218" t="s">
        <v>465</v>
      </c>
      <c r="N115" s="53" t="s">
        <v>113</v>
      </c>
      <c r="O115" s="219" t="s">
        <v>211</v>
      </c>
      <c r="P115" s="221" t="str">
        <f>IFERROR(VLOOKUP(C115,TD!$B$33:$F$37,2,0)," ")</f>
        <v>O230117</v>
      </c>
      <c r="Q115" s="221" t="str">
        <f>IFERROR(VLOOKUP(C115,TD!$B$33:$F$37,3,0)," ")</f>
        <v>4599</v>
      </c>
      <c r="R115" s="221">
        <f>IFERROR(VLOOKUP(C115,TD!$B$33:$F$37,4,0)," ")</f>
        <v>20240207</v>
      </c>
      <c r="S115" s="219" t="s">
        <v>193</v>
      </c>
      <c r="T115" s="221" t="str">
        <f>IFERROR(VLOOKUP(S115,TD!$J$34:$K$44,2,0)," ")</f>
        <v>Servicios para la planeación y sistemas de gestión y comunicación estratégica</v>
      </c>
      <c r="U115" s="222" t="str">
        <f t="shared" si="4"/>
        <v>13-Servicios para la planeación y sistemas de gestión y comunicación estratégica</v>
      </c>
      <c r="V115" s="219" t="s">
        <v>240</v>
      </c>
      <c r="W115" s="221" t="str">
        <f>IFERROR(VLOOKUP(V115,TD!$N$34:$O$46,2,0)," ")</f>
        <v>Servicio de asistencia técnica</v>
      </c>
      <c r="X115" s="222" t="str">
        <f t="shared" si="5"/>
        <v>031_Servicio de asistencia técnica</v>
      </c>
      <c r="Y115" s="222" t="str">
        <f t="shared" si="6"/>
        <v>13-Servicios para la planeación y sistemas de gestión y comunicación estratégica 031_Servicio de asistencia técnica</v>
      </c>
      <c r="Z115" s="221" t="str">
        <f t="shared" si="7"/>
        <v>O23011745992024020713031</v>
      </c>
      <c r="AA115" s="221" t="str">
        <f>IFERROR(VLOOKUP(Y115,TD!$K$47:$L$65,2,0)," ")</f>
        <v>PM/0131/0113/45990310207</v>
      </c>
      <c r="AB115" s="53" t="s">
        <v>138</v>
      </c>
      <c r="AC115" s="223" t="s">
        <v>204</v>
      </c>
    </row>
    <row r="116" spans="2:29" s="28" customFormat="1" ht="99" customHeight="1" x14ac:dyDescent="0.35">
      <c r="B116" s="77">
        <v>20250054</v>
      </c>
      <c r="C116" s="50" t="s">
        <v>208</v>
      </c>
      <c r="D116" s="218" t="s">
        <v>36</v>
      </c>
      <c r="E116" s="219" t="s">
        <v>378</v>
      </c>
      <c r="F116" s="218" t="s">
        <v>475</v>
      </c>
      <c r="G116" s="218" t="s">
        <v>156</v>
      </c>
      <c r="H116" s="93">
        <v>80111600</v>
      </c>
      <c r="I116" s="220">
        <v>2</v>
      </c>
      <c r="J116" s="220">
        <v>6</v>
      </c>
      <c r="K116" s="52">
        <v>0</v>
      </c>
      <c r="L116" s="53">
        <v>24000000</v>
      </c>
      <c r="M116" s="218" t="s">
        <v>465</v>
      </c>
      <c r="N116" s="53" t="s">
        <v>113</v>
      </c>
      <c r="O116" s="219" t="s">
        <v>211</v>
      </c>
      <c r="P116" s="221" t="str">
        <f>IFERROR(VLOOKUP(C116,TD!$B$33:$F$37,2,0)," ")</f>
        <v>O230117</v>
      </c>
      <c r="Q116" s="221" t="str">
        <f>IFERROR(VLOOKUP(C116,TD!$B$33:$F$37,3,0)," ")</f>
        <v>4599</v>
      </c>
      <c r="R116" s="221">
        <f>IFERROR(VLOOKUP(C116,TD!$B$33:$F$37,4,0)," ")</f>
        <v>20240207</v>
      </c>
      <c r="S116" s="219" t="s">
        <v>193</v>
      </c>
      <c r="T116" s="221" t="str">
        <f>IFERROR(VLOOKUP(S116,TD!$J$34:$K$44,2,0)," ")</f>
        <v>Servicios para la planeación y sistemas de gestión y comunicación estratégica</v>
      </c>
      <c r="U116" s="222" t="str">
        <f t="shared" si="4"/>
        <v>13-Servicios para la planeación y sistemas de gestión y comunicación estratégica</v>
      </c>
      <c r="V116" s="219" t="s">
        <v>240</v>
      </c>
      <c r="W116" s="221" t="str">
        <f>IFERROR(VLOOKUP(V116,TD!$N$34:$O$46,2,0)," ")</f>
        <v>Servicio de asistencia técnica</v>
      </c>
      <c r="X116" s="222" t="str">
        <f t="shared" si="5"/>
        <v>031_Servicio de asistencia técnica</v>
      </c>
      <c r="Y116" s="222" t="str">
        <f t="shared" si="6"/>
        <v>13-Servicios para la planeación y sistemas de gestión y comunicación estratégica 031_Servicio de asistencia técnica</v>
      </c>
      <c r="Z116" s="221" t="str">
        <f t="shared" si="7"/>
        <v>O23011745992024020713031</v>
      </c>
      <c r="AA116" s="221" t="str">
        <f>IFERROR(VLOOKUP(Y116,TD!$K$47:$L$65,2,0)," ")</f>
        <v>PM/0131/0113/45990310207</v>
      </c>
      <c r="AB116" s="53" t="s">
        <v>138</v>
      </c>
      <c r="AC116" s="223" t="s">
        <v>204</v>
      </c>
    </row>
    <row r="117" spans="2:29" s="28" customFormat="1" ht="99" customHeight="1" x14ac:dyDescent="0.35">
      <c r="B117" s="77">
        <v>20250055</v>
      </c>
      <c r="C117" s="50" t="s">
        <v>208</v>
      </c>
      <c r="D117" s="218" t="s">
        <v>36</v>
      </c>
      <c r="E117" s="219" t="s">
        <v>378</v>
      </c>
      <c r="F117" s="218" t="s">
        <v>382</v>
      </c>
      <c r="G117" s="218" t="s">
        <v>155</v>
      </c>
      <c r="H117" s="93">
        <v>80111600</v>
      </c>
      <c r="I117" s="220">
        <v>2</v>
      </c>
      <c r="J117" s="220">
        <v>7</v>
      </c>
      <c r="K117" s="52">
        <v>0</v>
      </c>
      <c r="L117" s="53">
        <v>59500000</v>
      </c>
      <c r="M117" s="218" t="s">
        <v>465</v>
      </c>
      <c r="N117" s="53" t="s">
        <v>113</v>
      </c>
      <c r="O117" s="219" t="s">
        <v>211</v>
      </c>
      <c r="P117" s="221" t="str">
        <f>IFERROR(VLOOKUP(C117,TD!$B$33:$F$37,2,0)," ")</f>
        <v>O230117</v>
      </c>
      <c r="Q117" s="221" t="str">
        <f>IFERROR(VLOOKUP(C117,TD!$B$33:$F$37,3,0)," ")</f>
        <v>4599</v>
      </c>
      <c r="R117" s="221">
        <f>IFERROR(VLOOKUP(C117,TD!$B$33:$F$37,4,0)," ")</f>
        <v>20240207</v>
      </c>
      <c r="S117" s="219" t="s">
        <v>193</v>
      </c>
      <c r="T117" s="221" t="str">
        <f>IFERROR(VLOOKUP(S117,TD!$J$34:$K$44,2,0)," ")</f>
        <v>Servicios para la planeación y sistemas de gestión y comunicación estratégica</v>
      </c>
      <c r="U117" s="222" t="str">
        <f t="shared" si="4"/>
        <v>13-Servicios para la planeación y sistemas de gestión y comunicación estratégica</v>
      </c>
      <c r="V117" s="219" t="s">
        <v>241</v>
      </c>
      <c r="W117" s="221" t="str">
        <f>IFERROR(VLOOKUP(V117,TD!$N$34:$O$46,2,0)," ")</f>
        <v>Servicio de Implementación Sistemas de Gestión</v>
      </c>
      <c r="X117" s="222" t="str">
        <f t="shared" si="5"/>
        <v>023_Servicio de Implementación Sistemas de Gestión</v>
      </c>
      <c r="Y117" s="222" t="str">
        <f t="shared" si="6"/>
        <v>13-Servicios para la planeación y sistemas de gestión y comunicación estratégica 023_Servicio de Implementación Sistemas de Gestión</v>
      </c>
      <c r="Z117" s="221" t="str">
        <f t="shared" si="7"/>
        <v>O23011745992024020713023</v>
      </c>
      <c r="AA117" s="221" t="str">
        <f>IFERROR(VLOOKUP(Y117,TD!$K$47:$L$65,2,0)," ")</f>
        <v>PM/0131/0113/45990230207</v>
      </c>
      <c r="AB117" s="53" t="s">
        <v>138</v>
      </c>
      <c r="AC117" s="223" t="s">
        <v>204</v>
      </c>
    </row>
    <row r="118" spans="2:29" s="28" customFormat="1" ht="99" customHeight="1" x14ac:dyDescent="0.35">
      <c r="B118" s="77">
        <v>20250056</v>
      </c>
      <c r="C118" s="50" t="s">
        <v>208</v>
      </c>
      <c r="D118" s="218" t="s">
        <v>36</v>
      </c>
      <c r="E118" s="219" t="s">
        <v>378</v>
      </c>
      <c r="F118" s="218" t="s">
        <v>383</v>
      </c>
      <c r="G118" s="218" t="s">
        <v>155</v>
      </c>
      <c r="H118" s="93">
        <v>80111600</v>
      </c>
      <c r="I118" s="220">
        <v>2</v>
      </c>
      <c r="J118" s="220">
        <v>10</v>
      </c>
      <c r="K118" s="52">
        <v>0</v>
      </c>
      <c r="L118" s="53">
        <v>73000000</v>
      </c>
      <c r="M118" s="218" t="s">
        <v>465</v>
      </c>
      <c r="N118" s="53" t="s">
        <v>113</v>
      </c>
      <c r="O118" s="219" t="s">
        <v>211</v>
      </c>
      <c r="P118" s="221" t="str">
        <f>IFERROR(VLOOKUP(C118,TD!$B$33:$F$37,2,0)," ")</f>
        <v>O230117</v>
      </c>
      <c r="Q118" s="221" t="str">
        <f>IFERROR(VLOOKUP(C118,TD!$B$33:$F$37,3,0)," ")</f>
        <v>4599</v>
      </c>
      <c r="R118" s="221">
        <f>IFERROR(VLOOKUP(C118,TD!$B$33:$F$37,4,0)," ")</f>
        <v>20240207</v>
      </c>
      <c r="S118" s="219" t="s">
        <v>193</v>
      </c>
      <c r="T118" s="221" t="str">
        <f>IFERROR(VLOOKUP(S118,TD!$J$34:$K$44,2,0)," ")</f>
        <v>Servicios para la planeación y sistemas de gestión y comunicación estratégica</v>
      </c>
      <c r="U118" s="222" t="str">
        <f t="shared" si="4"/>
        <v>13-Servicios para la planeación y sistemas de gestión y comunicación estratégica</v>
      </c>
      <c r="V118" s="219" t="s">
        <v>240</v>
      </c>
      <c r="W118" s="221" t="str">
        <f>IFERROR(VLOOKUP(V118,TD!$N$34:$O$46,2,0)," ")</f>
        <v>Servicio de asistencia técnica</v>
      </c>
      <c r="X118" s="222" t="str">
        <f t="shared" si="5"/>
        <v>031_Servicio de asistencia técnica</v>
      </c>
      <c r="Y118" s="222" t="str">
        <f t="shared" si="6"/>
        <v>13-Servicios para la planeación y sistemas de gestión y comunicación estratégica 031_Servicio de asistencia técnica</v>
      </c>
      <c r="Z118" s="221" t="str">
        <f t="shared" si="7"/>
        <v>O23011745992024020713031</v>
      </c>
      <c r="AA118" s="221" t="str">
        <f>IFERROR(VLOOKUP(Y118,TD!$K$47:$L$65,2,0)," ")</f>
        <v>PM/0131/0113/45990310207</v>
      </c>
      <c r="AB118" s="53" t="s">
        <v>138</v>
      </c>
      <c r="AC118" s="223" t="s">
        <v>204</v>
      </c>
    </row>
    <row r="119" spans="2:29" s="28" customFormat="1" ht="99" customHeight="1" x14ac:dyDescent="0.35">
      <c r="B119" s="77">
        <v>20250057</v>
      </c>
      <c r="C119" s="50" t="s">
        <v>208</v>
      </c>
      <c r="D119" s="218" t="s">
        <v>36</v>
      </c>
      <c r="E119" s="219" t="s">
        <v>378</v>
      </c>
      <c r="F119" s="218" t="s">
        <v>476</v>
      </c>
      <c r="G119" s="218" t="s">
        <v>155</v>
      </c>
      <c r="H119" s="93">
        <v>80111600</v>
      </c>
      <c r="I119" s="220">
        <v>2</v>
      </c>
      <c r="J119" s="220">
        <v>6</v>
      </c>
      <c r="K119" s="52">
        <v>0</v>
      </c>
      <c r="L119" s="53">
        <v>39000000</v>
      </c>
      <c r="M119" s="218" t="s">
        <v>465</v>
      </c>
      <c r="N119" s="53" t="s">
        <v>113</v>
      </c>
      <c r="O119" s="219" t="s">
        <v>212</v>
      </c>
      <c r="P119" s="221" t="str">
        <f>IFERROR(VLOOKUP(C119,TD!$B$33:$F$37,2,0)," ")</f>
        <v>O230117</v>
      </c>
      <c r="Q119" s="221" t="str">
        <f>IFERROR(VLOOKUP(C119,TD!$B$33:$F$37,3,0)," ")</f>
        <v>4599</v>
      </c>
      <c r="R119" s="221">
        <f>IFERROR(VLOOKUP(C119,TD!$B$33:$F$37,4,0)," ")</f>
        <v>20240207</v>
      </c>
      <c r="S119" s="219" t="s">
        <v>193</v>
      </c>
      <c r="T119" s="221" t="str">
        <f>IFERROR(VLOOKUP(S119,TD!$J$34:$K$44,2,0)," ")</f>
        <v>Servicios para la planeación y sistemas de gestión y comunicación estratégica</v>
      </c>
      <c r="U119" s="222" t="str">
        <f t="shared" si="4"/>
        <v>13-Servicios para la planeación y sistemas de gestión y comunicación estratégica</v>
      </c>
      <c r="V119" s="219" t="s">
        <v>241</v>
      </c>
      <c r="W119" s="221" t="str">
        <f>IFERROR(VLOOKUP(V119,TD!$N$34:$O$46,2,0)," ")</f>
        <v>Servicio de Implementación Sistemas de Gestión</v>
      </c>
      <c r="X119" s="222" t="str">
        <f t="shared" si="5"/>
        <v>023_Servicio de Implementación Sistemas de Gestión</v>
      </c>
      <c r="Y119" s="222" t="str">
        <f t="shared" si="6"/>
        <v>13-Servicios para la planeación y sistemas de gestión y comunicación estratégica 023_Servicio de Implementación Sistemas de Gestión</v>
      </c>
      <c r="Z119" s="221" t="str">
        <f t="shared" si="7"/>
        <v>O23011745992024020713023</v>
      </c>
      <c r="AA119" s="221" t="str">
        <f>IFERROR(VLOOKUP(Y119,TD!$K$47:$L$65,2,0)," ")</f>
        <v>PM/0131/0113/45990230207</v>
      </c>
      <c r="AB119" s="53" t="s">
        <v>138</v>
      </c>
      <c r="AC119" s="223" t="s">
        <v>204</v>
      </c>
    </row>
    <row r="120" spans="2:29" s="28" customFormat="1" ht="99" customHeight="1" x14ac:dyDescent="0.35">
      <c r="B120" s="77">
        <v>20250058</v>
      </c>
      <c r="C120" s="50" t="s">
        <v>208</v>
      </c>
      <c r="D120" s="218" t="s">
        <v>36</v>
      </c>
      <c r="E120" s="219" t="s">
        <v>378</v>
      </c>
      <c r="F120" s="218" t="s">
        <v>384</v>
      </c>
      <c r="G120" s="218" t="s">
        <v>155</v>
      </c>
      <c r="H120" s="93">
        <v>80111600</v>
      </c>
      <c r="I120" s="220">
        <v>3</v>
      </c>
      <c r="J120" s="220">
        <v>7</v>
      </c>
      <c r="K120" s="52">
        <v>0</v>
      </c>
      <c r="L120" s="53">
        <v>45500000</v>
      </c>
      <c r="M120" s="218" t="s">
        <v>465</v>
      </c>
      <c r="N120" s="53" t="s">
        <v>113</v>
      </c>
      <c r="O120" s="219" t="s">
        <v>211</v>
      </c>
      <c r="P120" s="221" t="str">
        <f>IFERROR(VLOOKUP(C120,TD!$B$33:$F$37,2,0)," ")</f>
        <v>O230117</v>
      </c>
      <c r="Q120" s="221" t="str">
        <f>IFERROR(VLOOKUP(C120,TD!$B$33:$F$37,3,0)," ")</f>
        <v>4599</v>
      </c>
      <c r="R120" s="221">
        <f>IFERROR(VLOOKUP(C120,TD!$B$33:$F$37,4,0)," ")</f>
        <v>20240207</v>
      </c>
      <c r="S120" s="219" t="s">
        <v>193</v>
      </c>
      <c r="T120" s="221" t="str">
        <f>IFERROR(VLOOKUP(S120,TD!$J$34:$K$44,2,0)," ")</f>
        <v>Servicios para la planeación y sistemas de gestión y comunicación estratégica</v>
      </c>
      <c r="U120" s="222" t="str">
        <f t="shared" si="4"/>
        <v>13-Servicios para la planeación y sistemas de gestión y comunicación estratégica</v>
      </c>
      <c r="V120" s="219" t="s">
        <v>241</v>
      </c>
      <c r="W120" s="221" t="str">
        <f>IFERROR(VLOOKUP(V120,TD!$N$34:$O$46,2,0)," ")</f>
        <v>Servicio de Implementación Sistemas de Gestión</v>
      </c>
      <c r="X120" s="222" t="str">
        <f t="shared" si="5"/>
        <v>023_Servicio de Implementación Sistemas de Gestión</v>
      </c>
      <c r="Y120" s="222" t="str">
        <f t="shared" si="6"/>
        <v>13-Servicios para la planeación y sistemas de gestión y comunicación estratégica 023_Servicio de Implementación Sistemas de Gestión</v>
      </c>
      <c r="Z120" s="221" t="str">
        <f t="shared" si="7"/>
        <v>O23011745992024020713023</v>
      </c>
      <c r="AA120" s="221" t="str">
        <f>IFERROR(VLOOKUP(Y120,TD!$K$47:$L$65,2,0)," ")</f>
        <v>PM/0131/0113/45990230207</v>
      </c>
      <c r="AB120" s="53" t="s">
        <v>120</v>
      </c>
      <c r="AC120" s="223" t="s">
        <v>204</v>
      </c>
    </row>
    <row r="121" spans="2:29" s="28" customFormat="1" ht="99" customHeight="1" x14ac:dyDescent="0.35">
      <c r="B121" s="77">
        <v>20250059</v>
      </c>
      <c r="C121" s="50" t="s">
        <v>208</v>
      </c>
      <c r="D121" s="218" t="s">
        <v>36</v>
      </c>
      <c r="E121" s="219" t="s">
        <v>378</v>
      </c>
      <c r="F121" s="218" t="s">
        <v>385</v>
      </c>
      <c r="G121" s="218" t="s">
        <v>155</v>
      </c>
      <c r="H121" s="93">
        <v>80111600</v>
      </c>
      <c r="I121" s="220">
        <v>2</v>
      </c>
      <c r="J121" s="220">
        <v>11</v>
      </c>
      <c r="K121" s="52">
        <v>0</v>
      </c>
      <c r="L121" s="53">
        <v>104500000</v>
      </c>
      <c r="M121" s="218" t="s">
        <v>465</v>
      </c>
      <c r="N121" s="53" t="s">
        <v>113</v>
      </c>
      <c r="O121" s="219" t="s">
        <v>211</v>
      </c>
      <c r="P121" s="221" t="str">
        <f>IFERROR(VLOOKUP(C121,TD!$B$33:$F$37,2,0)," ")</f>
        <v>O230117</v>
      </c>
      <c r="Q121" s="221" t="str">
        <f>IFERROR(VLOOKUP(C121,TD!$B$33:$F$37,3,0)," ")</f>
        <v>4599</v>
      </c>
      <c r="R121" s="221">
        <f>IFERROR(VLOOKUP(C121,TD!$B$33:$F$37,4,0)," ")</f>
        <v>20240207</v>
      </c>
      <c r="S121" s="219" t="s">
        <v>193</v>
      </c>
      <c r="T121" s="221" t="str">
        <f>IFERROR(VLOOKUP(S121,TD!$J$34:$K$44,2,0)," ")</f>
        <v>Servicios para la planeación y sistemas de gestión y comunicación estratégica</v>
      </c>
      <c r="U121" s="222" t="str">
        <f t="shared" si="4"/>
        <v>13-Servicios para la planeación y sistemas de gestión y comunicación estratégica</v>
      </c>
      <c r="V121" s="219" t="s">
        <v>241</v>
      </c>
      <c r="W121" s="221" t="str">
        <f>IFERROR(VLOOKUP(V121,TD!$N$34:$O$46,2,0)," ")</f>
        <v>Servicio de Implementación Sistemas de Gestión</v>
      </c>
      <c r="X121" s="222" t="str">
        <f t="shared" si="5"/>
        <v>023_Servicio de Implementación Sistemas de Gestión</v>
      </c>
      <c r="Y121" s="222" t="str">
        <f t="shared" si="6"/>
        <v>13-Servicios para la planeación y sistemas de gestión y comunicación estratégica 023_Servicio de Implementación Sistemas de Gestión</v>
      </c>
      <c r="Z121" s="221" t="str">
        <f t="shared" si="7"/>
        <v>O23011745992024020713023</v>
      </c>
      <c r="AA121" s="221" t="str">
        <f>IFERROR(VLOOKUP(Y121,TD!$K$47:$L$65,2,0)," ")</f>
        <v>PM/0131/0113/45990230207</v>
      </c>
      <c r="AB121" s="53" t="s">
        <v>138</v>
      </c>
      <c r="AC121" s="223" t="s">
        <v>204</v>
      </c>
    </row>
    <row r="122" spans="2:29" s="28" customFormat="1" ht="99" customHeight="1" x14ac:dyDescent="0.35">
      <c r="B122" s="77">
        <v>20250060</v>
      </c>
      <c r="C122" s="50" t="s">
        <v>208</v>
      </c>
      <c r="D122" s="218" t="s">
        <v>36</v>
      </c>
      <c r="E122" s="219" t="s">
        <v>378</v>
      </c>
      <c r="F122" s="218" t="s">
        <v>477</v>
      </c>
      <c r="G122" s="218" t="s">
        <v>155</v>
      </c>
      <c r="H122" s="93">
        <v>80111600</v>
      </c>
      <c r="I122" s="220">
        <v>2</v>
      </c>
      <c r="J122" s="220">
        <v>6</v>
      </c>
      <c r="K122" s="52">
        <v>0</v>
      </c>
      <c r="L122" s="53">
        <v>11433334</v>
      </c>
      <c r="M122" s="218" t="s">
        <v>465</v>
      </c>
      <c r="N122" s="53" t="s">
        <v>113</v>
      </c>
      <c r="O122" s="219" t="s">
        <v>212</v>
      </c>
      <c r="P122" s="221" t="str">
        <f>IFERROR(VLOOKUP(C122,TD!$B$33:$F$37,2,0)," ")</f>
        <v>O230117</v>
      </c>
      <c r="Q122" s="221" t="str">
        <f>IFERROR(VLOOKUP(C122,TD!$B$33:$F$37,3,0)," ")</f>
        <v>4599</v>
      </c>
      <c r="R122" s="221">
        <f>IFERROR(VLOOKUP(C122,TD!$B$33:$F$37,4,0)," ")</f>
        <v>20240207</v>
      </c>
      <c r="S122" s="219" t="s">
        <v>193</v>
      </c>
      <c r="T122" s="221" t="str">
        <f>IFERROR(VLOOKUP(S122,TD!$J$34:$K$44,2,0)," ")</f>
        <v>Servicios para la planeación y sistemas de gestión y comunicación estratégica</v>
      </c>
      <c r="U122" s="222" t="str">
        <f t="shared" si="4"/>
        <v>13-Servicios para la planeación y sistemas de gestión y comunicación estratégica</v>
      </c>
      <c r="V122" s="219" t="s">
        <v>241</v>
      </c>
      <c r="W122" s="221" t="str">
        <f>IFERROR(VLOOKUP(V122,TD!$N$34:$O$46,2,0)," ")</f>
        <v>Servicio de Implementación Sistemas de Gestión</v>
      </c>
      <c r="X122" s="222" t="str">
        <f t="shared" si="5"/>
        <v>023_Servicio de Implementación Sistemas de Gestión</v>
      </c>
      <c r="Y122" s="222" t="str">
        <f t="shared" si="6"/>
        <v>13-Servicios para la planeación y sistemas de gestión y comunicación estratégica 023_Servicio de Implementación Sistemas de Gestión</v>
      </c>
      <c r="Z122" s="221" t="str">
        <f t="shared" si="7"/>
        <v>O23011745992024020713023</v>
      </c>
      <c r="AA122" s="221" t="str">
        <f>IFERROR(VLOOKUP(Y122,TD!$K$47:$L$65,2,0)," ")</f>
        <v>PM/0131/0113/45990230207</v>
      </c>
      <c r="AB122" s="53" t="s">
        <v>138</v>
      </c>
      <c r="AC122" s="223" t="s">
        <v>204</v>
      </c>
    </row>
    <row r="123" spans="2:29" s="28" customFormat="1" ht="99" customHeight="1" x14ac:dyDescent="0.35">
      <c r="B123" s="77">
        <v>20250061</v>
      </c>
      <c r="C123" s="50" t="s">
        <v>208</v>
      </c>
      <c r="D123" s="218" t="s">
        <v>36</v>
      </c>
      <c r="E123" s="219" t="s">
        <v>378</v>
      </c>
      <c r="F123" s="218" t="s">
        <v>478</v>
      </c>
      <c r="G123" s="218" t="s">
        <v>155</v>
      </c>
      <c r="H123" s="93">
        <v>80111600</v>
      </c>
      <c r="I123" s="220">
        <v>2</v>
      </c>
      <c r="J123" s="220">
        <v>6</v>
      </c>
      <c r="K123" s="52">
        <v>0</v>
      </c>
      <c r="L123" s="53">
        <v>42000000</v>
      </c>
      <c r="M123" s="218" t="s">
        <v>465</v>
      </c>
      <c r="N123" s="53" t="s">
        <v>113</v>
      </c>
      <c r="O123" s="219" t="s">
        <v>212</v>
      </c>
      <c r="P123" s="221" t="str">
        <f>IFERROR(VLOOKUP(C123,TD!$B$33:$F$37,2,0)," ")</f>
        <v>O230117</v>
      </c>
      <c r="Q123" s="221" t="str">
        <f>IFERROR(VLOOKUP(C123,TD!$B$33:$F$37,3,0)," ")</f>
        <v>4599</v>
      </c>
      <c r="R123" s="221">
        <f>IFERROR(VLOOKUP(C123,TD!$B$33:$F$37,4,0)," ")</f>
        <v>20240207</v>
      </c>
      <c r="S123" s="219" t="s">
        <v>193</v>
      </c>
      <c r="T123" s="221" t="str">
        <f>IFERROR(VLOOKUP(S123,TD!$J$34:$K$44,2,0)," ")</f>
        <v>Servicios para la planeación y sistemas de gestión y comunicación estratégica</v>
      </c>
      <c r="U123" s="222" t="str">
        <f t="shared" si="4"/>
        <v>13-Servicios para la planeación y sistemas de gestión y comunicación estratégica</v>
      </c>
      <c r="V123" s="219" t="s">
        <v>241</v>
      </c>
      <c r="W123" s="221" t="str">
        <f>IFERROR(VLOOKUP(V123,TD!$N$34:$O$46,2,0)," ")</f>
        <v>Servicio de Implementación Sistemas de Gestión</v>
      </c>
      <c r="X123" s="222" t="str">
        <f t="shared" si="5"/>
        <v>023_Servicio de Implementación Sistemas de Gestión</v>
      </c>
      <c r="Y123" s="222" t="str">
        <f t="shared" si="6"/>
        <v>13-Servicios para la planeación y sistemas de gestión y comunicación estratégica 023_Servicio de Implementación Sistemas de Gestión</v>
      </c>
      <c r="Z123" s="221" t="str">
        <f t="shared" si="7"/>
        <v>O23011745992024020713023</v>
      </c>
      <c r="AA123" s="221" t="str">
        <f>IFERROR(VLOOKUP(Y123,TD!$K$47:$L$65,2,0)," ")</f>
        <v>PM/0131/0113/45990230207</v>
      </c>
      <c r="AB123" s="53" t="s">
        <v>138</v>
      </c>
      <c r="AC123" s="223" t="s">
        <v>204</v>
      </c>
    </row>
    <row r="124" spans="2:29" s="28" customFormat="1" ht="99" customHeight="1" x14ac:dyDescent="0.35">
      <c r="B124" s="77">
        <v>20250062</v>
      </c>
      <c r="C124" s="50" t="s">
        <v>208</v>
      </c>
      <c r="D124" s="218" t="s">
        <v>36</v>
      </c>
      <c r="E124" s="219" t="s">
        <v>378</v>
      </c>
      <c r="F124" s="218" t="s">
        <v>479</v>
      </c>
      <c r="G124" s="218" t="s">
        <v>155</v>
      </c>
      <c r="H124" s="93">
        <v>80111600</v>
      </c>
      <c r="I124" s="220">
        <v>2</v>
      </c>
      <c r="J124" s="220">
        <v>11</v>
      </c>
      <c r="K124" s="52">
        <v>0</v>
      </c>
      <c r="L124" s="53">
        <v>93500000</v>
      </c>
      <c r="M124" s="218" t="s">
        <v>465</v>
      </c>
      <c r="N124" s="53" t="s">
        <v>113</v>
      </c>
      <c r="O124" s="219" t="s">
        <v>211</v>
      </c>
      <c r="P124" s="221" t="str">
        <f>IFERROR(VLOOKUP(C124,TD!$B$33:$F$37,2,0)," ")</f>
        <v>O230117</v>
      </c>
      <c r="Q124" s="221" t="str">
        <f>IFERROR(VLOOKUP(C124,TD!$B$33:$F$37,3,0)," ")</f>
        <v>4599</v>
      </c>
      <c r="R124" s="221">
        <f>IFERROR(VLOOKUP(C124,TD!$B$33:$F$37,4,0)," ")</f>
        <v>20240207</v>
      </c>
      <c r="S124" s="219" t="s">
        <v>193</v>
      </c>
      <c r="T124" s="221" t="str">
        <f>IFERROR(VLOOKUP(S124,TD!$J$34:$K$44,2,0)," ")</f>
        <v>Servicios para la planeación y sistemas de gestión y comunicación estratégica</v>
      </c>
      <c r="U124" s="222" t="str">
        <f t="shared" si="4"/>
        <v>13-Servicios para la planeación y sistemas de gestión y comunicación estratégica</v>
      </c>
      <c r="V124" s="219" t="s">
        <v>241</v>
      </c>
      <c r="W124" s="221" t="str">
        <f>IFERROR(VLOOKUP(V124,TD!$N$34:$O$46,2,0)," ")</f>
        <v>Servicio de Implementación Sistemas de Gestión</v>
      </c>
      <c r="X124" s="222" t="str">
        <f t="shared" si="5"/>
        <v>023_Servicio de Implementación Sistemas de Gestión</v>
      </c>
      <c r="Y124" s="222" t="str">
        <f t="shared" si="6"/>
        <v>13-Servicios para la planeación y sistemas de gestión y comunicación estratégica 023_Servicio de Implementación Sistemas de Gestión</v>
      </c>
      <c r="Z124" s="221" t="str">
        <f t="shared" si="7"/>
        <v>O23011745992024020713023</v>
      </c>
      <c r="AA124" s="221" t="str">
        <f>IFERROR(VLOOKUP(Y124,TD!$K$47:$L$65,2,0)," ")</f>
        <v>PM/0131/0113/45990230207</v>
      </c>
      <c r="AB124" s="53" t="s">
        <v>138</v>
      </c>
      <c r="AC124" s="223" t="s">
        <v>204</v>
      </c>
    </row>
    <row r="125" spans="2:29" s="28" customFormat="1" ht="107.5" customHeight="1" x14ac:dyDescent="0.35">
      <c r="B125" s="77">
        <v>20250063</v>
      </c>
      <c r="C125" s="50" t="s">
        <v>208</v>
      </c>
      <c r="D125" s="218" t="s">
        <v>36</v>
      </c>
      <c r="E125" s="219" t="s">
        <v>378</v>
      </c>
      <c r="F125" s="218" t="s">
        <v>446</v>
      </c>
      <c r="G125" s="218" t="s">
        <v>156</v>
      </c>
      <c r="H125" s="93">
        <v>80111600</v>
      </c>
      <c r="I125" s="220">
        <v>2</v>
      </c>
      <c r="J125" s="220">
        <v>9</v>
      </c>
      <c r="K125" s="52">
        <v>0</v>
      </c>
      <c r="L125" s="53">
        <v>40417344</v>
      </c>
      <c r="M125" s="218" t="s">
        <v>465</v>
      </c>
      <c r="N125" s="53" t="s">
        <v>113</v>
      </c>
      <c r="O125" s="219" t="s">
        <v>211</v>
      </c>
      <c r="P125" s="221" t="str">
        <f>IFERROR(VLOOKUP(C125,TD!$B$33:$F$37,2,0)," ")</f>
        <v>O230117</v>
      </c>
      <c r="Q125" s="221" t="str">
        <f>IFERROR(VLOOKUP(C125,TD!$B$33:$F$37,3,0)," ")</f>
        <v>4599</v>
      </c>
      <c r="R125" s="221">
        <f>IFERROR(VLOOKUP(C125,TD!$B$33:$F$37,4,0)," ")</f>
        <v>20240207</v>
      </c>
      <c r="S125" s="219" t="s">
        <v>193</v>
      </c>
      <c r="T125" s="221" t="str">
        <f>IFERROR(VLOOKUP(S125,TD!$J$34:$K$44,2,0)," ")</f>
        <v>Servicios para la planeación y sistemas de gestión y comunicación estratégica</v>
      </c>
      <c r="U125" s="222" t="str">
        <f t="shared" si="4"/>
        <v>13-Servicios para la planeación y sistemas de gestión y comunicación estratégica</v>
      </c>
      <c r="V125" s="219" t="s">
        <v>241</v>
      </c>
      <c r="W125" s="221" t="str">
        <f>IFERROR(VLOOKUP(V125,TD!$N$34:$O$46,2,0)," ")</f>
        <v>Servicio de Implementación Sistemas de Gestión</v>
      </c>
      <c r="X125" s="222" t="str">
        <f t="shared" si="5"/>
        <v>023_Servicio de Implementación Sistemas de Gestión</v>
      </c>
      <c r="Y125" s="222" t="str">
        <f t="shared" si="6"/>
        <v>13-Servicios para la planeación y sistemas de gestión y comunicación estratégica 023_Servicio de Implementación Sistemas de Gestión</v>
      </c>
      <c r="Z125" s="221" t="str">
        <f t="shared" si="7"/>
        <v>O23011745992024020713023</v>
      </c>
      <c r="AA125" s="221" t="str">
        <f>IFERROR(VLOOKUP(Y125,TD!$K$47:$L$65,2,0)," ")</f>
        <v>PM/0131/0113/45990230207</v>
      </c>
      <c r="AB125" s="53" t="s">
        <v>138</v>
      </c>
      <c r="AC125" s="223" t="s">
        <v>204</v>
      </c>
    </row>
    <row r="126" spans="2:29" s="28" customFormat="1" ht="99" customHeight="1" x14ac:dyDescent="0.35">
      <c r="B126" s="77">
        <v>20250064</v>
      </c>
      <c r="C126" s="50" t="s">
        <v>208</v>
      </c>
      <c r="D126" s="218" t="s">
        <v>36</v>
      </c>
      <c r="E126" s="219" t="s">
        <v>378</v>
      </c>
      <c r="F126" s="218" t="s">
        <v>480</v>
      </c>
      <c r="G126" s="218" t="s">
        <v>155</v>
      </c>
      <c r="H126" s="93">
        <v>80111600</v>
      </c>
      <c r="I126" s="220">
        <v>3</v>
      </c>
      <c r="J126" s="220">
        <v>10</v>
      </c>
      <c r="K126" s="52">
        <v>0</v>
      </c>
      <c r="L126" s="53">
        <v>65000000</v>
      </c>
      <c r="M126" s="218" t="s">
        <v>465</v>
      </c>
      <c r="N126" s="53" t="s">
        <v>113</v>
      </c>
      <c r="O126" s="219" t="s">
        <v>211</v>
      </c>
      <c r="P126" s="221" t="str">
        <f>IFERROR(VLOOKUP(C126,TD!$B$33:$F$37,2,0)," ")</f>
        <v>O230117</v>
      </c>
      <c r="Q126" s="221" t="str">
        <f>IFERROR(VLOOKUP(C126,TD!$B$33:$F$37,3,0)," ")</f>
        <v>4599</v>
      </c>
      <c r="R126" s="221">
        <f>IFERROR(VLOOKUP(C126,TD!$B$33:$F$37,4,0)," ")</f>
        <v>20240207</v>
      </c>
      <c r="S126" s="219" t="s">
        <v>193</v>
      </c>
      <c r="T126" s="221" t="str">
        <f>IFERROR(VLOOKUP(S126,TD!$J$34:$K$44,2,0)," ")</f>
        <v>Servicios para la planeación y sistemas de gestión y comunicación estratégica</v>
      </c>
      <c r="U126" s="222" t="str">
        <f t="shared" si="4"/>
        <v>13-Servicios para la planeación y sistemas de gestión y comunicación estratégica</v>
      </c>
      <c r="V126" s="219" t="s">
        <v>241</v>
      </c>
      <c r="W126" s="221" t="str">
        <f>IFERROR(VLOOKUP(V126,TD!$N$34:$O$46,2,0)," ")</f>
        <v>Servicio de Implementación Sistemas de Gestión</v>
      </c>
      <c r="X126" s="222" t="str">
        <f t="shared" si="5"/>
        <v>023_Servicio de Implementación Sistemas de Gestión</v>
      </c>
      <c r="Y126" s="222" t="str">
        <f t="shared" si="6"/>
        <v>13-Servicios para la planeación y sistemas de gestión y comunicación estratégica 023_Servicio de Implementación Sistemas de Gestión</v>
      </c>
      <c r="Z126" s="221" t="str">
        <f t="shared" si="7"/>
        <v>O23011745992024020713023</v>
      </c>
      <c r="AA126" s="221" t="str">
        <f>IFERROR(VLOOKUP(Y126,TD!$K$47:$L$65,2,0)," ")</f>
        <v>PM/0131/0113/45990230207</v>
      </c>
      <c r="AB126" s="53" t="s">
        <v>138</v>
      </c>
      <c r="AC126" s="223" t="s">
        <v>204</v>
      </c>
    </row>
    <row r="127" spans="2:29" s="28" customFormat="1" ht="99" customHeight="1" x14ac:dyDescent="0.35">
      <c r="B127" s="77">
        <v>20250065</v>
      </c>
      <c r="C127" s="50" t="s">
        <v>208</v>
      </c>
      <c r="D127" s="218" t="s">
        <v>36</v>
      </c>
      <c r="E127" s="219" t="s">
        <v>378</v>
      </c>
      <c r="F127" s="218" t="s">
        <v>481</v>
      </c>
      <c r="G127" s="218" t="s">
        <v>155</v>
      </c>
      <c r="H127" s="93">
        <v>80111600</v>
      </c>
      <c r="I127" s="220">
        <v>3</v>
      </c>
      <c r="J127" s="220">
        <v>6</v>
      </c>
      <c r="K127" s="52">
        <v>0</v>
      </c>
      <c r="L127" s="53">
        <v>35000000</v>
      </c>
      <c r="M127" s="218" t="s">
        <v>465</v>
      </c>
      <c r="N127" s="53" t="s">
        <v>113</v>
      </c>
      <c r="O127" s="219" t="s">
        <v>211</v>
      </c>
      <c r="P127" s="221" t="str">
        <f>IFERROR(VLOOKUP(C127,TD!$B$33:$F$37,2,0)," ")</f>
        <v>O230117</v>
      </c>
      <c r="Q127" s="221" t="str">
        <f>IFERROR(VLOOKUP(C127,TD!$B$33:$F$37,3,0)," ")</f>
        <v>4599</v>
      </c>
      <c r="R127" s="221">
        <f>IFERROR(VLOOKUP(C127,TD!$B$33:$F$37,4,0)," ")</f>
        <v>20240207</v>
      </c>
      <c r="S127" s="219" t="s">
        <v>193</v>
      </c>
      <c r="T127" s="221" t="str">
        <f>IFERROR(VLOOKUP(S127,TD!$J$34:$K$44,2,0)," ")</f>
        <v>Servicios para la planeación y sistemas de gestión y comunicación estratégica</v>
      </c>
      <c r="U127" s="222" t="str">
        <f t="shared" si="4"/>
        <v>13-Servicios para la planeación y sistemas de gestión y comunicación estratégica</v>
      </c>
      <c r="V127" s="219" t="s">
        <v>241</v>
      </c>
      <c r="W127" s="221" t="str">
        <f>IFERROR(VLOOKUP(V127,TD!$N$34:$O$46,2,0)," ")</f>
        <v>Servicio de Implementación Sistemas de Gestión</v>
      </c>
      <c r="X127" s="222" t="str">
        <f t="shared" si="5"/>
        <v>023_Servicio de Implementación Sistemas de Gestión</v>
      </c>
      <c r="Y127" s="222" t="str">
        <f t="shared" si="6"/>
        <v>13-Servicios para la planeación y sistemas de gestión y comunicación estratégica 023_Servicio de Implementación Sistemas de Gestión</v>
      </c>
      <c r="Z127" s="221" t="str">
        <f t="shared" si="7"/>
        <v>O23011745992024020713023</v>
      </c>
      <c r="AA127" s="221" t="str">
        <f>IFERROR(VLOOKUP(Y127,TD!$K$47:$L$65,2,0)," ")</f>
        <v>PM/0131/0113/45990230207</v>
      </c>
      <c r="AB127" s="53" t="s">
        <v>138</v>
      </c>
      <c r="AC127" s="223" t="s">
        <v>204</v>
      </c>
    </row>
    <row r="128" spans="2:29" s="28" customFormat="1" ht="99" customHeight="1" x14ac:dyDescent="0.35">
      <c r="B128" s="77">
        <v>20250067</v>
      </c>
      <c r="C128" s="50" t="s">
        <v>208</v>
      </c>
      <c r="D128" s="218" t="s">
        <v>45</v>
      </c>
      <c r="E128" s="219" t="s">
        <v>355</v>
      </c>
      <c r="F128" s="218" t="s">
        <v>357</v>
      </c>
      <c r="G128" s="218" t="s">
        <v>155</v>
      </c>
      <c r="H128" s="93">
        <v>80111600</v>
      </c>
      <c r="I128" s="220">
        <v>2</v>
      </c>
      <c r="J128" s="220">
        <v>11</v>
      </c>
      <c r="K128" s="52">
        <v>0</v>
      </c>
      <c r="L128" s="53">
        <v>57200000</v>
      </c>
      <c r="M128" s="218" t="s">
        <v>465</v>
      </c>
      <c r="N128" s="53" t="s">
        <v>113</v>
      </c>
      <c r="O128" s="219" t="s">
        <v>219</v>
      </c>
      <c r="P128" s="221" t="str">
        <f>IFERROR(VLOOKUP(C128,TD!$B$33:$F$37,2,0)," ")</f>
        <v>O230117</v>
      </c>
      <c r="Q128" s="221" t="str">
        <f>IFERROR(VLOOKUP(C128,TD!$B$33:$F$37,3,0)," ")</f>
        <v>4599</v>
      </c>
      <c r="R128" s="221">
        <f>IFERROR(VLOOKUP(C128,TD!$B$33:$F$37,4,0)," ")</f>
        <v>20240207</v>
      </c>
      <c r="S128" s="219" t="s">
        <v>185</v>
      </c>
      <c r="T128" s="221" t="str">
        <f>IFERROR(VLOOKUP(S128,TD!$J$34:$K$44,2,0)," ")</f>
        <v>Infraestructura física, mantenimiento y dotación (Sedes construidas, mantenidas reforzadas)</v>
      </c>
      <c r="U128" s="222" t="str">
        <f t="shared" si="4"/>
        <v>08-Infraestructura física, mantenimiento y dotación (Sedes construidas, mantenidas reforzadas)</v>
      </c>
      <c r="V128" s="219" t="s">
        <v>238</v>
      </c>
      <c r="W128" s="221" t="str">
        <f>IFERROR(VLOOKUP(V128,TD!$N$34:$O$46,2,0)," ")</f>
        <v>Sedes mantenidas</v>
      </c>
      <c r="X128" s="222" t="str">
        <f t="shared" si="5"/>
        <v>016_Sedes mantenidas</v>
      </c>
      <c r="Y128" s="222" t="str">
        <f t="shared" si="6"/>
        <v>08-Infraestructura física, mantenimiento y dotación (Sedes construidas, mantenidas reforzadas) 016_Sedes mantenidas</v>
      </c>
      <c r="Z128" s="221" t="str">
        <f t="shared" si="7"/>
        <v>O23011745992024020708016</v>
      </c>
      <c r="AA128" s="221" t="str">
        <f>IFERROR(VLOOKUP(Y128,TD!$K$47:$L$65,2,0)," ")</f>
        <v>PM/0131/0108/45990160207</v>
      </c>
      <c r="AB128" s="53" t="s">
        <v>120</v>
      </c>
      <c r="AC128" s="223" t="s">
        <v>204</v>
      </c>
    </row>
    <row r="129" spans="2:29" s="28" customFormat="1" ht="99" customHeight="1" x14ac:dyDescent="0.35">
      <c r="B129" s="77">
        <v>20250068</v>
      </c>
      <c r="C129" s="50" t="s">
        <v>208</v>
      </c>
      <c r="D129" s="218" t="s">
        <v>45</v>
      </c>
      <c r="E129" s="219" t="s">
        <v>355</v>
      </c>
      <c r="F129" s="218" t="s">
        <v>482</v>
      </c>
      <c r="G129" s="218" t="s">
        <v>155</v>
      </c>
      <c r="H129" s="93">
        <v>80111600</v>
      </c>
      <c r="I129" s="220">
        <v>2</v>
      </c>
      <c r="J129" s="220">
        <v>11</v>
      </c>
      <c r="K129" s="52">
        <v>0</v>
      </c>
      <c r="L129" s="53">
        <f>91300000</f>
        <v>91300000</v>
      </c>
      <c r="M129" s="218" t="s">
        <v>465</v>
      </c>
      <c r="N129" s="53" t="s">
        <v>113</v>
      </c>
      <c r="O129" s="219" t="s">
        <v>219</v>
      </c>
      <c r="P129" s="221" t="str">
        <f>IFERROR(VLOOKUP(C129,TD!$B$33:$F$37,2,0)," ")</f>
        <v>O230117</v>
      </c>
      <c r="Q129" s="221" t="str">
        <f>IFERROR(VLOOKUP(C129,TD!$B$33:$F$37,3,0)," ")</f>
        <v>4599</v>
      </c>
      <c r="R129" s="221">
        <f>IFERROR(VLOOKUP(C129,TD!$B$33:$F$37,4,0)," ")</f>
        <v>20240207</v>
      </c>
      <c r="S129" s="219" t="s">
        <v>185</v>
      </c>
      <c r="T129" s="221" t="str">
        <f>IFERROR(VLOOKUP(S129,TD!$J$34:$K$44,2,0)," ")</f>
        <v>Infraestructura física, mantenimiento y dotación (Sedes construidas, mantenidas reforzadas)</v>
      </c>
      <c r="U129" s="222" t="str">
        <f t="shared" si="4"/>
        <v>08-Infraestructura física, mantenimiento y dotación (Sedes construidas, mantenidas reforzadas)</v>
      </c>
      <c r="V129" s="219" t="s">
        <v>238</v>
      </c>
      <c r="W129" s="221" t="str">
        <f>IFERROR(VLOOKUP(V129,TD!$N$34:$O$46,2,0)," ")</f>
        <v>Sedes mantenidas</v>
      </c>
      <c r="X129" s="222" t="str">
        <f t="shared" si="5"/>
        <v>016_Sedes mantenidas</v>
      </c>
      <c r="Y129" s="222" t="str">
        <f t="shared" si="6"/>
        <v>08-Infraestructura física, mantenimiento y dotación (Sedes construidas, mantenidas reforzadas) 016_Sedes mantenidas</v>
      </c>
      <c r="Z129" s="221" t="str">
        <f t="shared" si="7"/>
        <v>O23011745992024020708016</v>
      </c>
      <c r="AA129" s="221" t="str">
        <f>IFERROR(VLOOKUP(Y129,TD!$K$47:$L$65,2,0)," ")</f>
        <v>PM/0131/0108/45990160207</v>
      </c>
      <c r="AB129" s="53" t="s">
        <v>138</v>
      </c>
      <c r="AC129" s="223" t="s">
        <v>204</v>
      </c>
    </row>
    <row r="130" spans="2:29" s="28" customFormat="1" ht="99" customHeight="1" x14ac:dyDescent="0.35">
      <c r="B130" s="77">
        <v>20250069</v>
      </c>
      <c r="C130" s="50" t="s">
        <v>208</v>
      </c>
      <c r="D130" s="218" t="s">
        <v>45</v>
      </c>
      <c r="E130" s="219" t="s">
        <v>355</v>
      </c>
      <c r="F130" s="218" t="s">
        <v>356</v>
      </c>
      <c r="G130" s="218" t="s">
        <v>155</v>
      </c>
      <c r="H130" s="93">
        <v>80111600</v>
      </c>
      <c r="I130" s="220">
        <v>2</v>
      </c>
      <c r="J130" s="220">
        <v>11</v>
      </c>
      <c r="K130" s="52">
        <v>0</v>
      </c>
      <c r="L130" s="53">
        <v>82500000</v>
      </c>
      <c r="M130" s="218" t="s">
        <v>465</v>
      </c>
      <c r="N130" s="53" t="s">
        <v>113</v>
      </c>
      <c r="O130" s="219" t="s">
        <v>219</v>
      </c>
      <c r="P130" s="221" t="str">
        <f>IFERROR(VLOOKUP(C130,TD!$B$33:$F$37,2,0)," ")</f>
        <v>O230117</v>
      </c>
      <c r="Q130" s="221" t="str">
        <f>IFERROR(VLOOKUP(C130,TD!$B$33:$F$37,3,0)," ")</f>
        <v>4599</v>
      </c>
      <c r="R130" s="221">
        <f>IFERROR(VLOOKUP(C130,TD!$B$33:$F$37,4,0)," ")</f>
        <v>20240207</v>
      </c>
      <c r="S130" s="219" t="s">
        <v>185</v>
      </c>
      <c r="T130" s="221" t="str">
        <f>IFERROR(VLOOKUP(S130,TD!$J$34:$K$44,2,0)," ")</f>
        <v>Infraestructura física, mantenimiento y dotación (Sedes construidas, mantenidas reforzadas)</v>
      </c>
      <c r="U130" s="222" t="str">
        <f t="shared" si="4"/>
        <v>08-Infraestructura física, mantenimiento y dotación (Sedes construidas, mantenidas reforzadas)</v>
      </c>
      <c r="V130" s="219" t="s">
        <v>238</v>
      </c>
      <c r="W130" s="221" t="str">
        <f>IFERROR(VLOOKUP(V130,TD!$N$34:$O$46,2,0)," ")</f>
        <v>Sedes mantenidas</v>
      </c>
      <c r="X130" s="222" t="str">
        <f t="shared" si="5"/>
        <v>016_Sedes mantenidas</v>
      </c>
      <c r="Y130" s="222" t="str">
        <f t="shared" si="6"/>
        <v>08-Infraestructura física, mantenimiento y dotación (Sedes construidas, mantenidas reforzadas) 016_Sedes mantenidas</v>
      </c>
      <c r="Z130" s="221" t="str">
        <f t="shared" si="7"/>
        <v>O23011745992024020708016</v>
      </c>
      <c r="AA130" s="221" t="str">
        <f>IFERROR(VLOOKUP(Y130,TD!$K$47:$L$65,2,0)," ")</f>
        <v>PM/0131/0108/45990160207</v>
      </c>
      <c r="AB130" s="53" t="s">
        <v>138</v>
      </c>
      <c r="AC130" s="223" t="s">
        <v>204</v>
      </c>
    </row>
    <row r="131" spans="2:29" s="28" customFormat="1" ht="99" customHeight="1" x14ac:dyDescent="0.35">
      <c r="B131" s="77">
        <v>20250070</v>
      </c>
      <c r="C131" s="50" t="s">
        <v>208</v>
      </c>
      <c r="D131" s="218" t="s">
        <v>45</v>
      </c>
      <c r="E131" s="219" t="s">
        <v>355</v>
      </c>
      <c r="F131" s="218" t="s">
        <v>483</v>
      </c>
      <c r="G131" s="218" t="s">
        <v>155</v>
      </c>
      <c r="H131" s="93">
        <v>80111600</v>
      </c>
      <c r="I131" s="220">
        <v>2</v>
      </c>
      <c r="J131" s="220">
        <v>11</v>
      </c>
      <c r="K131" s="52">
        <v>0</v>
      </c>
      <c r="L131" s="53">
        <v>107800000</v>
      </c>
      <c r="M131" s="218" t="s">
        <v>465</v>
      </c>
      <c r="N131" s="53" t="s">
        <v>113</v>
      </c>
      <c r="O131" s="219" t="s">
        <v>219</v>
      </c>
      <c r="P131" s="221" t="str">
        <f>IFERROR(VLOOKUP(C131,TD!$B$33:$F$37,2,0)," ")</f>
        <v>O230117</v>
      </c>
      <c r="Q131" s="221" t="str">
        <f>IFERROR(VLOOKUP(C131,TD!$B$33:$F$37,3,0)," ")</f>
        <v>4599</v>
      </c>
      <c r="R131" s="221">
        <f>IFERROR(VLOOKUP(C131,TD!$B$33:$F$37,4,0)," ")</f>
        <v>20240207</v>
      </c>
      <c r="S131" s="219" t="s">
        <v>185</v>
      </c>
      <c r="T131" s="221" t="str">
        <f>IFERROR(VLOOKUP(S131,TD!$J$34:$K$44,2,0)," ")</f>
        <v>Infraestructura física, mantenimiento y dotación (Sedes construidas, mantenidas reforzadas)</v>
      </c>
      <c r="U131" s="222" t="str">
        <f t="shared" si="4"/>
        <v>08-Infraestructura física, mantenimiento y dotación (Sedes construidas, mantenidas reforzadas)</v>
      </c>
      <c r="V131" s="219" t="s">
        <v>238</v>
      </c>
      <c r="W131" s="221" t="str">
        <f>IFERROR(VLOOKUP(V131,TD!$N$34:$O$46,2,0)," ")</f>
        <v>Sedes mantenidas</v>
      </c>
      <c r="X131" s="222" t="str">
        <f t="shared" si="5"/>
        <v>016_Sedes mantenidas</v>
      </c>
      <c r="Y131" s="222" t="str">
        <f t="shared" si="6"/>
        <v>08-Infraestructura física, mantenimiento y dotación (Sedes construidas, mantenidas reforzadas) 016_Sedes mantenidas</v>
      </c>
      <c r="Z131" s="221" t="str">
        <f t="shared" si="7"/>
        <v>O23011745992024020708016</v>
      </c>
      <c r="AA131" s="221" t="str">
        <f>IFERROR(VLOOKUP(Y131,TD!$K$47:$L$65,2,0)," ")</f>
        <v>PM/0131/0108/45990160207</v>
      </c>
      <c r="AB131" s="53" t="s">
        <v>138</v>
      </c>
      <c r="AC131" s="223" t="s">
        <v>204</v>
      </c>
    </row>
    <row r="132" spans="2:29" s="28" customFormat="1" ht="99" customHeight="1" x14ac:dyDescent="0.35">
      <c r="B132" s="77">
        <v>20250071</v>
      </c>
      <c r="C132" s="50" t="s">
        <v>208</v>
      </c>
      <c r="D132" s="218" t="s">
        <v>45</v>
      </c>
      <c r="E132" s="219" t="s">
        <v>355</v>
      </c>
      <c r="F132" s="218" t="s">
        <v>484</v>
      </c>
      <c r="G132" s="218" t="s">
        <v>155</v>
      </c>
      <c r="H132" s="93">
        <v>80111600</v>
      </c>
      <c r="I132" s="220">
        <v>2</v>
      </c>
      <c r="J132" s="220">
        <v>11</v>
      </c>
      <c r="K132" s="52">
        <v>0</v>
      </c>
      <c r="L132" s="53">
        <v>110000000</v>
      </c>
      <c r="M132" s="218" t="s">
        <v>465</v>
      </c>
      <c r="N132" s="53" t="s">
        <v>113</v>
      </c>
      <c r="O132" s="219" t="s">
        <v>219</v>
      </c>
      <c r="P132" s="221" t="str">
        <f>IFERROR(VLOOKUP(C132,TD!$B$33:$F$37,2,0)," ")</f>
        <v>O230117</v>
      </c>
      <c r="Q132" s="221" t="str">
        <f>IFERROR(VLOOKUP(C132,TD!$B$33:$F$37,3,0)," ")</f>
        <v>4599</v>
      </c>
      <c r="R132" s="221">
        <f>IFERROR(VLOOKUP(C132,TD!$B$33:$F$37,4,0)," ")</f>
        <v>20240207</v>
      </c>
      <c r="S132" s="219" t="s">
        <v>185</v>
      </c>
      <c r="T132" s="221" t="str">
        <f>IFERROR(VLOOKUP(S132,TD!$J$34:$K$44,2,0)," ")</f>
        <v>Infraestructura física, mantenimiento y dotación (Sedes construidas, mantenidas reforzadas)</v>
      </c>
      <c r="U132" s="222" t="str">
        <f t="shared" si="4"/>
        <v>08-Infraestructura física, mantenimiento y dotación (Sedes construidas, mantenidas reforzadas)</v>
      </c>
      <c r="V132" s="219" t="s">
        <v>238</v>
      </c>
      <c r="W132" s="221" t="str">
        <f>IFERROR(VLOOKUP(V132,TD!$N$34:$O$46,2,0)," ")</f>
        <v>Sedes mantenidas</v>
      </c>
      <c r="X132" s="222" t="str">
        <f t="shared" si="5"/>
        <v>016_Sedes mantenidas</v>
      </c>
      <c r="Y132" s="222" t="str">
        <f t="shared" si="6"/>
        <v>08-Infraestructura física, mantenimiento y dotación (Sedes construidas, mantenidas reforzadas) 016_Sedes mantenidas</v>
      </c>
      <c r="Z132" s="221" t="str">
        <f t="shared" si="7"/>
        <v>O23011745992024020708016</v>
      </c>
      <c r="AA132" s="221" t="str">
        <f>IFERROR(VLOOKUP(Y132,TD!$K$47:$L$65,2,0)," ")</f>
        <v>PM/0131/0108/45990160207</v>
      </c>
      <c r="AB132" s="53" t="s">
        <v>120</v>
      </c>
      <c r="AC132" s="223" t="s">
        <v>204</v>
      </c>
    </row>
    <row r="133" spans="2:29" s="28" customFormat="1" ht="99" customHeight="1" x14ac:dyDescent="0.35">
      <c r="B133" s="77">
        <v>20250072</v>
      </c>
      <c r="C133" s="50" t="s">
        <v>208</v>
      </c>
      <c r="D133" s="218" t="s">
        <v>45</v>
      </c>
      <c r="E133" s="219" t="s">
        <v>355</v>
      </c>
      <c r="F133" s="218" t="s">
        <v>358</v>
      </c>
      <c r="G133" s="218" t="s">
        <v>155</v>
      </c>
      <c r="H133" s="93">
        <v>80111600</v>
      </c>
      <c r="I133" s="220">
        <v>2</v>
      </c>
      <c r="J133" s="220">
        <v>11</v>
      </c>
      <c r="K133" s="52">
        <v>0</v>
      </c>
      <c r="L133" s="53">
        <v>57200000</v>
      </c>
      <c r="M133" s="218" t="s">
        <v>465</v>
      </c>
      <c r="N133" s="53" t="s">
        <v>113</v>
      </c>
      <c r="O133" s="219" t="s">
        <v>219</v>
      </c>
      <c r="P133" s="221" t="str">
        <f>IFERROR(VLOOKUP(C133,TD!$B$33:$F$37,2,0)," ")</f>
        <v>O230117</v>
      </c>
      <c r="Q133" s="221" t="str">
        <f>IFERROR(VLOOKUP(C133,TD!$B$33:$F$37,3,0)," ")</f>
        <v>4599</v>
      </c>
      <c r="R133" s="221">
        <f>IFERROR(VLOOKUP(C133,TD!$B$33:$F$37,4,0)," ")</f>
        <v>20240207</v>
      </c>
      <c r="S133" s="219" t="s">
        <v>185</v>
      </c>
      <c r="T133" s="221" t="str">
        <f>IFERROR(VLOOKUP(S133,TD!$J$34:$K$44,2,0)," ")</f>
        <v>Infraestructura física, mantenimiento y dotación (Sedes construidas, mantenidas reforzadas)</v>
      </c>
      <c r="U133" s="222" t="str">
        <f t="shared" si="4"/>
        <v>08-Infraestructura física, mantenimiento y dotación (Sedes construidas, mantenidas reforzadas)</v>
      </c>
      <c r="V133" s="219" t="s">
        <v>238</v>
      </c>
      <c r="W133" s="221" t="str">
        <f>IFERROR(VLOOKUP(V133,TD!$N$34:$O$46,2,0)," ")</f>
        <v>Sedes mantenidas</v>
      </c>
      <c r="X133" s="222" t="str">
        <f t="shared" si="5"/>
        <v>016_Sedes mantenidas</v>
      </c>
      <c r="Y133" s="222" t="str">
        <f t="shared" si="6"/>
        <v>08-Infraestructura física, mantenimiento y dotación (Sedes construidas, mantenidas reforzadas) 016_Sedes mantenidas</v>
      </c>
      <c r="Z133" s="221" t="str">
        <f t="shared" si="7"/>
        <v>O23011745992024020708016</v>
      </c>
      <c r="AA133" s="221" t="str">
        <f>IFERROR(VLOOKUP(Y133,TD!$K$47:$L$65,2,0)," ")</f>
        <v>PM/0131/0108/45990160207</v>
      </c>
      <c r="AB133" s="53" t="s">
        <v>138</v>
      </c>
      <c r="AC133" s="223" t="s">
        <v>204</v>
      </c>
    </row>
    <row r="134" spans="2:29" s="28" customFormat="1" ht="99" customHeight="1" x14ac:dyDescent="0.35">
      <c r="B134" s="77">
        <v>20250073</v>
      </c>
      <c r="C134" s="50" t="s">
        <v>208</v>
      </c>
      <c r="D134" s="218" t="s">
        <v>45</v>
      </c>
      <c r="E134" s="219" t="s">
        <v>355</v>
      </c>
      <c r="F134" s="218" t="s">
        <v>359</v>
      </c>
      <c r="G134" s="218" t="s">
        <v>156</v>
      </c>
      <c r="H134" s="93">
        <v>80111600</v>
      </c>
      <c r="I134" s="220">
        <v>2</v>
      </c>
      <c r="J134" s="220">
        <v>11</v>
      </c>
      <c r="K134" s="52">
        <v>0</v>
      </c>
      <c r="L134" s="53">
        <v>48400000</v>
      </c>
      <c r="M134" s="218" t="s">
        <v>465</v>
      </c>
      <c r="N134" s="53" t="s">
        <v>113</v>
      </c>
      <c r="O134" s="219" t="s">
        <v>219</v>
      </c>
      <c r="P134" s="221" t="str">
        <f>IFERROR(VLOOKUP(C134,TD!$B$33:$F$37,2,0)," ")</f>
        <v>O230117</v>
      </c>
      <c r="Q134" s="221" t="str">
        <f>IFERROR(VLOOKUP(C134,TD!$B$33:$F$37,3,0)," ")</f>
        <v>4599</v>
      </c>
      <c r="R134" s="221">
        <f>IFERROR(VLOOKUP(C134,TD!$B$33:$F$37,4,0)," ")</f>
        <v>20240207</v>
      </c>
      <c r="S134" s="219" t="s">
        <v>185</v>
      </c>
      <c r="T134" s="221" t="str">
        <f>IFERROR(VLOOKUP(S134,TD!$J$34:$K$44,2,0)," ")</f>
        <v>Infraestructura física, mantenimiento y dotación (Sedes construidas, mantenidas reforzadas)</v>
      </c>
      <c r="U134" s="222" t="str">
        <f t="shared" si="4"/>
        <v>08-Infraestructura física, mantenimiento y dotación (Sedes construidas, mantenidas reforzadas)</v>
      </c>
      <c r="V134" s="219" t="s">
        <v>238</v>
      </c>
      <c r="W134" s="221" t="str">
        <f>IFERROR(VLOOKUP(V134,TD!$N$34:$O$46,2,0)," ")</f>
        <v>Sedes mantenidas</v>
      </c>
      <c r="X134" s="222" t="str">
        <f t="shared" si="5"/>
        <v>016_Sedes mantenidas</v>
      </c>
      <c r="Y134" s="222" t="str">
        <f t="shared" si="6"/>
        <v>08-Infraestructura física, mantenimiento y dotación (Sedes construidas, mantenidas reforzadas) 016_Sedes mantenidas</v>
      </c>
      <c r="Z134" s="221" t="str">
        <f t="shared" si="7"/>
        <v>O23011745992024020708016</v>
      </c>
      <c r="AA134" s="221" t="str">
        <f>IFERROR(VLOOKUP(Y134,TD!$K$47:$L$65,2,0)," ")</f>
        <v>PM/0131/0108/45990160207</v>
      </c>
      <c r="AB134" s="53" t="s">
        <v>138</v>
      </c>
      <c r="AC134" s="223" t="s">
        <v>204</v>
      </c>
    </row>
    <row r="135" spans="2:29" s="28" customFormat="1" ht="99" customHeight="1" x14ac:dyDescent="0.35">
      <c r="B135" s="77">
        <v>20250074</v>
      </c>
      <c r="C135" s="50" t="s">
        <v>208</v>
      </c>
      <c r="D135" s="218" t="s">
        <v>45</v>
      </c>
      <c r="E135" s="219" t="s">
        <v>355</v>
      </c>
      <c r="F135" s="218" t="s">
        <v>485</v>
      </c>
      <c r="G135" s="218" t="s">
        <v>155</v>
      </c>
      <c r="H135" s="93">
        <v>80111600</v>
      </c>
      <c r="I135" s="220">
        <v>2</v>
      </c>
      <c r="J135" s="220">
        <v>6</v>
      </c>
      <c r="K135" s="52">
        <v>0</v>
      </c>
      <c r="L135" s="53">
        <f>98000000-39200000</f>
        <v>58800000</v>
      </c>
      <c r="M135" s="218" t="s">
        <v>465</v>
      </c>
      <c r="N135" s="53" t="s">
        <v>113</v>
      </c>
      <c r="O135" s="219" t="s">
        <v>219</v>
      </c>
      <c r="P135" s="221" t="str">
        <f>IFERROR(VLOOKUP(C135,TD!$B$33:$F$37,2,0)," ")</f>
        <v>O230117</v>
      </c>
      <c r="Q135" s="221" t="str">
        <f>IFERROR(VLOOKUP(C135,TD!$B$33:$F$37,3,0)," ")</f>
        <v>4599</v>
      </c>
      <c r="R135" s="221">
        <f>IFERROR(VLOOKUP(C135,TD!$B$33:$F$37,4,0)," ")</f>
        <v>20240207</v>
      </c>
      <c r="S135" s="219" t="s">
        <v>185</v>
      </c>
      <c r="T135" s="221" t="str">
        <f>IFERROR(VLOOKUP(S135,TD!$J$34:$K$44,2,0)," ")</f>
        <v>Infraestructura física, mantenimiento y dotación (Sedes construidas, mantenidas reforzadas)</v>
      </c>
      <c r="U135" s="222" t="str">
        <f t="shared" si="4"/>
        <v>08-Infraestructura física, mantenimiento y dotación (Sedes construidas, mantenidas reforzadas)</v>
      </c>
      <c r="V135" s="219" t="s">
        <v>238</v>
      </c>
      <c r="W135" s="221" t="str">
        <f>IFERROR(VLOOKUP(V135,TD!$N$34:$O$46,2,0)," ")</f>
        <v>Sedes mantenidas</v>
      </c>
      <c r="X135" s="222" t="str">
        <f t="shared" si="5"/>
        <v>016_Sedes mantenidas</v>
      </c>
      <c r="Y135" s="222" t="str">
        <f t="shared" si="6"/>
        <v>08-Infraestructura física, mantenimiento y dotación (Sedes construidas, mantenidas reforzadas) 016_Sedes mantenidas</v>
      </c>
      <c r="Z135" s="221" t="str">
        <f t="shared" si="7"/>
        <v>O23011745992024020708016</v>
      </c>
      <c r="AA135" s="221" t="str">
        <f>IFERROR(VLOOKUP(Y135,TD!$K$47:$L$65,2,0)," ")</f>
        <v>PM/0131/0108/45990160207</v>
      </c>
      <c r="AB135" s="53" t="s">
        <v>138</v>
      </c>
      <c r="AC135" s="223" t="s">
        <v>204</v>
      </c>
    </row>
    <row r="136" spans="2:29" s="28" customFormat="1" ht="99" customHeight="1" x14ac:dyDescent="0.35">
      <c r="B136" s="77">
        <v>20250075</v>
      </c>
      <c r="C136" s="50" t="s">
        <v>208</v>
      </c>
      <c r="D136" s="218" t="s">
        <v>45</v>
      </c>
      <c r="E136" s="219" t="s">
        <v>355</v>
      </c>
      <c r="F136" s="218" t="s">
        <v>431</v>
      </c>
      <c r="G136" s="218" t="s">
        <v>155</v>
      </c>
      <c r="H136" s="93">
        <v>80111600</v>
      </c>
      <c r="I136" s="220">
        <v>2</v>
      </c>
      <c r="J136" s="220">
        <v>6</v>
      </c>
      <c r="K136" s="52">
        <v>0</v>
      </c>
      <c r="L136" s="53">
        <f>98000000-39200000</f>
        <v>58800000</v>
      </c>
      <c r="M136" s="218" t="s">
        <v>465</v>
      </c>
      <c r="N136" s="53" t="s">
        <v>113</v>
      </c>
      <c r="O136" s="219" t="s">
        <v>219</v>
      </c>
      <c r="P136" s="221" t="str">
        <f>IFERROR(VLOOKUP(C136,TD!$B$33:$F$37,2,0)," ")</f>
        <v>O230117</v>
      </c>
      <c r="Q136" s="221" t="str">
        <f>IFERROR(VLOOKUP(C136,TD!$B$33:$F$37,3,0)," ")</f>
        <v>4599</v>
      </c>
      <c r="R136" s="221">
        <f>IFERROR(VLOOKUP(C136,TD!$B$33:$F$37,4,0)," ")</f>
        <v>20240207</v>
      </c>
      <c r="S136" s="219" t="s">
        <v>185</v>
      </c>
      <c r="T136" s="221" t="str">
        <f>IFERROR(VLOOKUP(S136,TD!$J$34:$K$44,2,0)," ")</f>
        <v>Infraestructura física, mantenimiento y dotación (Sedes construidas, mantenidas reforzadas)</v>
      </c>
      <c r="U136" s="222" t="str">
        <f t="shared" si="4"/>
        <v>08-Infraestructura física, mantenimiento y dotación (Sedes construidas, mantenidas reforzadas)</v>
      </c>
      <c r="V136" s="219" t="s">
        <v>238</v>
      </c>
      <c r="W136" s="221" t="str">
        <f>IFERROR(VLOOKUP(V136,TD!$N$34:$O$46,2,0)," ")</f>
        <v>Sedes mantenidas</v>
      </c>
      <c r="X136" s="222" t="str">
        <f t="shared" si="5"/>
        <v>016_Sedes mantenidas</v>
      </c>
      <c r="Y136" s="222" t="str">
        <f t="shared" si="6"/>
        <v>08-Infraestructura física, mantenimiento y dotación (Sedes construidas, mantenidas reforzadas) 016_Sedes mantenidas</v>
      </c>
      <c r="Z136" s="221" t="str">
        <f t="shared" si="7"/>
        <v>O23011745992024020708016</v>
      </c>
      <c r="AA136" s="221" t="str">
        <f>IFERROR(VLOOKUP(Y136,TD!$K$47:$L$65,2,0)," ")</f>
        <v>PM/0131/0108/45990160207</v>
      </c>
      <c r="AB136" s="53" t="s">
        <v>138</v>
      </c>
      <c r="AC136" s="223" t="s">
        <v>204</v>
      </c>
    </row>
    <row r="137" spans="2:29" s="28" customFormat="1" ht="120" customHeight="1" x14ac:dyDescent="0.35">
      <c r="B137" s="77">
        <v>20250076</v>
      </c>
      <c r="C137" s="50" t="s">
        <v>208</v>
      </c>
      <c r="D137" s="218" t="s">
        <v>161</v>
      </c>
      <c r="E137" s="219" t="s">
        <v>355</v>
      </c>
      <c r="F137" s="218" t="s">
        <v>360</v>
      </c>
      <c r="G137" s="218" t="s">
        <v>155</v>
      </c>
      <c r="H137" s="93">
        <v>80111600</v>
      </c>
      <c r="I137" s="220">
        <v>2</v>
      </c>
      <c r="J137" s="220">
        <v>11</v>
      </c>
      <c r="K137" s="52">
        <v>0</v>
      </c>
      <c r="L137" s="53">
        <v>115500000</v>
      </c>
      <c r="M137" s="218" t="s">
        <v>465</v>
      </c>
      <c r="N137" s="53" t="s">
        <v>113</v>
      </c>
      <c r="O137" s="219" t="s">
        <v>220</v>
      </c>
      <c r="P137" s="221" t="str">
        <f>IFERROR(VLOOKUP(C137,TD!$B$33:$F$37,2,0)," ")</f>
        <v>O230117</v>
      </c>
      <c r="Q137" s="221" t="str">
        <f>IFERROR(VLOOKUP(C137,TD!$B$33:$F$37,3,0)," ")</f>
        <v>4599</v>
      </c>
      <c r="R137" s="221">
        <f>IFERROR(VLOOKUP(C137,TD!$B$33:$F$37,4,0)," ")</f>
        <v>20240207</v>
      </c>
      <c r="S137" s="219" t="s">
        <v>193</v>
      </c>
      <c r="T137" s="221" t="str">
        <f>IFERROR(VLOOKUP(S137,TD!$J$34:$K$44,2,0)," ")</f>
        <v>Servicios para la planeación y sistemas de gestión y comunicación estratégica</v>
      </c>
      <c r="U137" s="222" t="str">
        <f t="shared" si="4"/>
        <v>13-Servicios para la planeación y sistemas de gestión y comunicación estratégica</v>
      </c>
      <c r="V137" s="219" t="s">
        <v>242</v>
      </c>
      <c r="W137" s="221" t="str">
        <f>IFERROR(VLOOKUP(V137,TD!$N$34:$O$46,2,0)," ")</f>
        <v>Documentos de planeación</v>
      </c>
      <c r="X137" s="222" t="str">
        <f t="shared" si="5"/>
        <v>019_Documentos de planeación</v>
      </c>
      <c r="Y137" s="222" t="str">
        <f t="shared" si="6"/>
        <v>13-Servicios para la planeación y sistemas de gestión y comunicación estratégica 019_Documentos de planeación</v>
      </c>
      <c r="Z137" s="221" t="str">
        <f t="shared" si="7"/>
        <v>O23011745992024020713019</v>
      </c>
      <c r="AA137" s="221" t="str">
        <f>IFERROR(VLOOKUP(Y137,TD!$K$47:$L$65,2,0)," ")</f>
        <v>PM/0131/0113/45990190207</v>
      </c>
      <c r="AB137" s="53" t="s">
        <v>138</v>
      </c>
      <c r="AC137" s="223" t="s">
        <v>204</v>
      </c>
    </row>
    <row r="138" spans="2:29" s="28" customFormat="1" ht="99" customHeight="1" x14ac:dyDescent="0.35">
      <c r="B138" s="77">
        <v>20250077</v>
      </c>
      <c r="C138" s="50" t="s">
        <v>208</v>
      </c>
      <c r="D138" s="218" t="s">
        <v>161</v>
      </c>
      <c r="E138" s="219" t="s">
        <v>355</v>
      </c>
      <c r="F138" s="218" t="s">
        <v>364</v>
      </c>
      <c r="G138" s="218" t="s">
        <v>155</v>
      </c>
      <c r="H138" s="93">
        <v>80111600</v>
      </c>
      <c r="I138" s="220">
        <v>2</v>
      </c>
      <c r="J138" s="220">
        <v>11</v>
      </c>
      <c r="K138" s="52">
        <v>0</v>
      </c>
      <c r="L138" s="53">
        <v>66000000</v>
      </c>
      <c r="M138" s="218" t="s">
        <v>465</v>
      </c>
      <c r="N138" s="53" t="s">
        <v>113</v>
      </c>
      <c r="O138" s="219" t="s">
        <v>220</v>
      </c>
      <c r="P138" s="221" t="str">
        <f>IFERROR(VLOOKUP(C138,TD!$B$33:$F$37,2,0)," ")</f>
        <v>O230117</v>
      </c>
      <c r="Q138" s="221" t="str">
        <f>IFERROR(VLOOKUP(C138,TD!$B$33:$F$37,3,0)," ")</f>
        <v>4599</v>
      </c>
      <c r="R138" s="221">
        <f>IFERROR(VLOOKUP(C138,TD!$B$33:$F$37,4,0)," ")</f>
        <v>20240207</v>
      </c>
      <c r="S138" s="219" t="s">
        <v>193</v>
      </c>
      <c r="T138" s="221" t="str">
        <f>IFERROR(VLOOKUP(S138,TD!$J$34:$K$44,2,0)," ")</f>
        <v>Servicios para la planeación y sistemas de gestión y comunicación estratégica</v>
      </c>
      <c r="U138" s="222" t="str">
        <f t="shared" si="4"/>
        <v>13-Servicios para la planeación y sistemas de gestión y comunicación estratégica</v>
      </c>
      <c r="V138" s="219" t="s">
        <v>242</v>
      </c>
      <c r="W138" s="221" t="str">
        <f>IFERROR(VLOOKUP(V138,TD!$N$34:$O$46,2,0)," ")</f>
        <v>Documentos de planeación</v>
      </c>
      <c r="X138" s="222" t="str">
        <f t="shared" si="5"/>
        <v>019_Documentos de planeación</v>
      </c>
      <c r="Y138" s="222" t="str">
        <f t="shared" si="6"/>
        <v>13-Servicios para la planeación y sistemas de gestión y comunicación estratégica 019_Documentos de planeación</v>
      </c>
      <c r="Z138" s="221" t="str">
        <f t="shared" si="7"/>
        <v>O23011745992024020713019</v>
      </c>
      <c r="AA138" s="221" t="str">
        <f>IFERROR(VLOOKUP(Y138,TD!$K$47:$L$65,2,0)," ")</f>
        <v>PM/0131/0113/45990190207</v>
      </c>
      <c r="AB138" s="53" t="s">
        <v>138</v>
      </c>
      <c r="AC138" s="223" t="s">
        <v>204</v>
      </c>
    </row>
    <row r="139" spans="2:29" s="28" customFormat="1" ht="132.65" customHeight="1" x14ac:dyDescent="0.35">
      <c r="B139" s="77">
        <v>20250078</v>
      </c>
      <c r="C139" s="50" t="s">
        <v>208</v>
      </c>
      <c r="D139" s="218" t="s">
        <v>161</v>
      </c>
      <c r="E139" s="219" t="s">
        <v>355</v>
      </c>
      <c r="F139" s="218" t="s">
        <v>366</v>
      </c>
      <c r="G139" s="218" t="s">
        <v>156</v>
      </c>
      <c r="H139" s="93">
        <v>80111600</v>
      </c>
      <c r="I139" s="220">
        <v>2</v>
      </c>
      <c r="J139" s="220">
        <v>11</v>
      </c>
      <c r="K139" s="52">
        <v>0</v>
      </c>
      <c r="L139" s="53">
        <f>44000000+4400000</f>
        <v>48400000</v>
      </c>
      <c r="M139" s="218" t="s">
        <v>465</v>
      </c>
      <c r="N139" s="53" t="s">
        <v>113</v>
      </c>
      <c r="O139" s="219" t="s">
        <v>220</v>
      </c>
      <c r="P139" s="221" t="str">
        <f>IFERROR(VLOOKUP(C139,TD!$B$33:$F$37,2,0)," ")</f>
        <v>O230117</v>
      </c>
      <c r="Q139" s="221" t="str">
        <f>IFERROR(VLOOKUP(C139,TD!$B$33:$F$37,3,0)," ")</f>
        <v>4599</v>
      </c>
      <c r="R139" s="221">
        <f>IFERROR(VLOOKUP(C139,TD!$B$33:$F$37,4,0)," ")</f>
        <v>20240207</v>
      </c>
      <c r="S139" s="219" t="s">
        <v>193</v>
      </c>
      <c r="T139" s="221" t="str">
        <f>IFERROR(VLOOKUP(S139,TD!$J$34:$K$44,2,0)," ")</f>
        <v>Servicios para la planeación y sistemas de gestión y comunicación estratégica</v>
      </c>
      <c r="U139" s="222" t="str">
        <f t="shared" si="4"/>
        <v>13-Servicios para la planeación y sistemas de gestión y comunicación estratégica</v>
      </c>
      <c r="V139" s="219" t="s">
        <v>242</v>
      </c>
      <c r="W139" s="221" t="str">
        <f>IFERROR(VLOOKUP(V139,TD!$N$34:$O$46,2,0)," ")</f>
        <v>Documentos de planeación</v>
      </c>
      <c r="X139" s="222" t="str">
        <f t="shared" si="5"/>
        <v>019_Documentos de planeación</v>
      </c>
      <c r="Y139" s="222" t="str">
        <f t="shared" si="6"/>
        <v>13-Servicios para la planeación y sistemas de gestión y comunicación estratégica 019_Documentos de planeación</v>
      </c>
      <c r="Z139" s="221" t="str">
        <f t="shared" si="7"/>
        <v>O23011745992024020713019</v>
      </c>
      <c r="AA139" s="221" t="str">
        <f>IFERROR(VLOOKUP(Y139,TD!$K$47:$L$65,2,0)," ")</f>
        <v>PM/0131/0113/45990190207</v>
      </c>
      <c r="AB139" s="53" t="s">
        <v>138</v>
      </c>
      <c r="AC139" s="223" t="s">
        <v>204</v>
      </c>
    </row>
    <row r="140" spans="2:29" s="28" customFormat="1" ht="154" customHeight="1" x14ac:dyDescent="0.35">
      <c r="B140" s="77">
        <v>20250079</v>
      </c>
      <c r="C140" s="50" t="s">
        <v>208</v>
      </c>
      <c r="D140" s="218" t="s">
        <v>161</v>
      </c>
      <c r="E140" s="219" t="s">
        <v>355</v>
      </c>
      <c r="F140" s="218" t="s">
        <v>363</v>
      </c>
      <c r="G140" s="218" t="s">
        <v>155</v>
      </c>
      <c r="H140" s="93">
        <v>80111600</v>
      </c>
      <c r="I140" s="220">
        <v>2</v>
      </c>
      <c r="J140" s="220">
        <v>11</v>
      </c>
      <c r="K140" s="52">
        <v>0</v>
      </c>
      <c r="L140" s="53">
        <v>66000000</v>
      </c>
      <c r="M140" s="218" t="s">
        <v>465</v>
      </c>
      <c r="N140" s="53" t="s">
        <v>113</v>
      </c>
      <c r="O140" s="219" t="s">
        <v>220</v>
      </c>
      <c r="P140" s="221" t="str">
        <f>IFERROR(VLOOKUP(C140,TD!$B$33:$F$37,2,0)," ")</f>
        <v>O230117</v>
      </c>
      <c r="Q140" s="221" t="str">
        <f>IFERROR(VLOOKUP(C140,TD!$B$33:$F$37,3,0)," ")</f>
        <v>4599</v>
      </c>
      <c r="R140" s="221">
        <f>IFERROR(VLOOKUP(C140,TD!$B$33:$F$37,4,0)," ")</f>
        <v>20240207</v>
      </c>
      <c r="S140" s="219" t="s">
        <v>193</v>
      </c>
      <c r="T140" s="221" t="str">
        <f>IFERROR(VLOOKUP(S140,TD!$J$34:$K$44,2,0)," ")</f>
        <v>Servicios para la planeación y sistemas de gestión y comunicación estratégica</v>
      </c>
      <c r="U140" s="222" t="str">
        <f t="shared" ref="U140:U203" si="8">CONCATENATE(S140,"-",T140)</f>
        <v>13-Servicios para la planeación y sistemas de gestión y comunicación estratégica</v>
      </c>
      <c r="V140" s="219" t="s">
        <v>242</v>
      </c>
      <c r="W140" s="221" t="str">
        <f>IFERROR(VLOOKUP(V140,TD!$N$34:$O$46,2,0)," ")</f>
        <v>Documentos de planeación</v>
      </c>
      <c r="X140" s="222" t="str">
        <f t="shared" ref="X140:X203" si="9">CONCATENATE(V140,"_",W140)</f>
        <v>019_Documentos de planeación</v>
      </c>
      <c r="Y140" s="222" t="str">
        <f t="shared" ref="Y140:Y203" si="10">CONCATENATE(U140," ",X140)</f>
        <v>13-Servicios para la planeación y sistemas de gestión y comunicación estratégica 019_Documentos de planeación</v>
      </c>
      <c r="Z140" s="221" t="str">
        <f t="shared" ref="Z140:Z203" si="11">CONCATENATE(P140,Q140,R140,S140,V140)</f>
        <v>O23011745992024020713019</v>
      </c>
      <c r="AA140" s="221" t="str">
        <f>IFERROR(VLOOKUP(Y140,TD!$K$47:$L$65,2,0)," ")</f>
        <v>PM/0131/0113/45990190207</v>
      </c>
      <c r="AB140" s="53" t="s">
        <v>138</v>
      </c>
      <c r="AC140" s="223" t="s">
        <v>204</v>
      </c>
    </row>
    <row r="141" spans="2:29" s="28" customFormat="1" ht="99" customHeight="1" x14ac:dyDescent="0.35">
      <c r="B141" s="77">
        <v>20250080</v>
      </c>
      <c r="C141" s="50" t="s">
        <v>208</v>
      </c>
      <c r="D141" s="218" t="s">
        <v>161</v>
      </c>
      <c r="E141" s="219" t="s">
        <v>355</v>
      </c>
      <c r="F141" s="218" t="s">
        <v>362</v>
      </c>
      <c r="G141" s="218" t="s">
        <v>155</v>
      </c>
      <c r="H141" s="93">
        <v>80111600</v>
      </c>
      <c r="I141" s="220">
        <v>2</v>
      </c>
      <c r="J141" s="220">
        <v>11</v>
      </c>
      <c r="K141" s="52">
        <v>0</v>
      </c>
      <c r="L141" s="53">
        <v>88000000</v>
      </c>
      <c r="M141" s="218" t="s">
        <v>465</v>
      </c>
      <c r="N141" s="53" t="s">
        <v>113</v>
      </c>
      <c r="O141" s="219" t="s">
        <v>220</v>
      </c>
      <c r="P141" s="221" t="str">
        <f>IFERROR(VLOOKUP(C141,TD!$B$33:$F$37,2,0)," ")</f>
        <v>O230117</v>
      </c>
      <c r="Q141" s="221" t="str">
        <f>IFERROR(VLOOKUP(C141,TD!$B$33:$F$37,3,0)," ")</f>
        <v>4599</v>
      </c>
      <c r="R141" s="221">
        <f>IFERROR(VLOOKUP(C141,TD!$B$33:$F$37,4,0)," ")</f>
        <v>20240207</v>
      </c>
      <c r="S141" s="219" t="s">
        <v>193</v>
      </c>
      <c r="T141" s="221" t="str">
        <f>IFERROR(VLOOKUP(S141,TD!$J$34:$K$44,2,0)," ")</f>
        <v>Servicios para la planeación y sistemas de gestión y comunicación estratégica</v>
      </c>
      <c r="U141" s="222" t="str">
        <f t="shared" si="8"/>
        <v>13-Servicios para la planeación y sistemas de gestión y comunicación estratégica</v>
      </c>
      <c r="V141" s="219" t="s">
        <v>242</v>
      </c>
      <c r="W141" s="221" t="str">
        <f>IFERROR(VLOOKUP(V141,TD!$N$34:$O$46,2,0)," ")</f>
        <v>Documentos de planeación</v>
      </c>
      <c r="X141" s="222" t="str">
        <f t="shared" si="9"/>
        <v>019_Documentos de planeación</v>
      </c>
      <c r="Y141" s="222" t="str">
        <f t="shared" si="10"/>
        <v>13-Servicios para la planeación y sistemas de gestión y comunicación estratégica 019_Documentos de planeación</v>
      </c>
      <c r="Z141" s="221" t="str">
        <f t="shared" si="11"/>
        <v>O23011745992024020713019</v>
      </c>
      <c r="AA141" s="221" t="str">
        <f>IFERROR(VLOOKUP(Y141,TD!$K$47:$L$65,2,0)," ")</f>
        <v>PM/0131/0113/45990190207</v>
      </c>
      <c r="AB141" s="53" t="s">
        <v>138</v>
      </c>
      <c r="AC141" s="223" t="s">
        <v>204</v>
      </c>
    </row>
    <row r="142" spans="2:29" s="28" customFormat="1" ht="99" customHeight="1" x14ac:dyDescent="0.35">
      <c r="B142" s="77">
        <v>20250081</v>
      </c>
      <c r="C142" s="50" t="s">
        <v>208</v>
      </c>
      <c r="D142" s="218" t="s">
        <v>161</v>
      </c>
      <c r="E142" s="219" t="s">
        <v>355</v>
      </c>
      <c r="F142" s="218" t="s">
        <v>365</v>
      </c>
      <c r="G142" s="218" t="s">
        <v>155</v>
      </c>
      <c r="H142" s="93">
        <v>80111600</v>
      </c>
      <c r="I142" s="220">
        <v>2</v>
      </c>
      <c r="J142" s="220">
        <v>11</v>
      </c>
      <c r="K142" s="52">
        <v>0</v>
      </c>
      <c r="L142" s="53">
        <v>66000000</v>
      </c>
      <c r="M142" s="218" t="s">
        <v>465</v>
      </c>
      <c r="N142" s="53" t="s">
        <v>113</v>
      </c>
      <c r="O142" s="219" t="s">
        <v>220</v>
      </c>
      <c r="P142" s="221" t="str">
        <f>IFERROR(VLOOKUP(C142,TD!$B$33:$F$37,2,0)," ")</f>
        <v>O230117</v>
      </c>
      <c r="Q142" s="221" t="str">
        <f>IFERROR(VLOOKUP(C142,TD!$B$33:$F$37,3,0)," ")</f>
        <v>4599</v>
      </c>
      <c r="R142" s="221">
        <f>IFERROR(VLOOKUP(C142,TD!$B$33:$F$37,4,0)," ")</f>
        <v>20240207</v>
      </c>
      <c r="S142" s="219" t="s">
        <v>193</v>
      </c>
      <c r="T142" s="221" t="str">
        <f>IFERROR(VLOOKUP(S142,TD!$J$34:$K$44,2,0)," ")</f>
        <v>Servicios para la planeación y sistemas de gestión y comunicación estratégica</v>
      </c>
      <c r="U142" s="222" t="str">
        <f t="shared" si="8"/>
        <v>13-Servicios para la planeación y sistemas de gestión y comunicación estratégica</v>
      </c>
      <c r="V142" s="219" t="s">
        <v>242</v>
      </c>
      <c r="W142" s="221" t="str">
        <f>IFERROR(VLOOKUP(V142,TD!$N$34:$O$46,2,0)," ")</f>
        <v>Documentos de planeación</v>
      </c>
      <c r="X142" s="222" t="str">
        <f t="shared" si="9"/>
        <v>019_Documentos de planeación</v>
      </c>
      <c r="Y142" s="222" t="str">
        <f t="shared" si="10"/>
        <v>13-Servicios para la planeación y sistemas de gestión y comunicación estratégica 019_Documentos de planeación</v>
      </c>
      <c r="Z142" s="221" t="str">
        <f t="shared" si="11"/>
        <v>O23011745992024020713019</v>
      </c>
      <c r="AA142" s="221" t="str">
        <f>IFERROR(VLOOKUP(Y142,TD!$K$47:$L$65,2,0)," ")</f>
        <v>PM/0131/0113/45990190207</v>
      </c>
      <c r="AB142" s="53" t="s">
        <v>138</v>
      </c>
      <c r="AC142" s="223" t="s">
        <v>204</v>
      </c>
    </row>
    <row r="143" spans="2:29" s="28" customFormat="1" ht="99" customHeight="1" x14ac:dyDescent="0.35">
      <c r="B143" s="77">
        <v>20250082</v>
      </c>
      <c r="C143" s="50" t="s">
        <v>208</v>
      </c>
      <c r="D143" s="218" t="s">
        <v>45</v>
      </c>
      <c r="E143" s="219" t="s">
        <v>355</v>
      </c>
      <c r="F143" s="218" t="s">
        <v>726</v>
      </c>
      <c r="G143" s="218" t="s">
        <v>155</v>
      </c>
      <c r="H143" s="93">
        <v>80111600</v>
      </c>
      <c r="I143" s="220">
        <v>2</v>
      </c>
      <c r="J143" s="220">
        <v>8</v>
      </c>
      <c r="K143" s="52">
        <v>0</v>
      </c>
      <c r="L143" s="53">
        <f>61723493-13723493+12000000</f>
        <v>60000000</v>
      </c>
      <c r="M143" s="218" t="s">
        <v>465</v>
      </c>
      <c r="N143" s="53" t="s">
        <v>113</v>
      </c>
      <c r="O143" s="219" t="s">
        <v>219</v>
      </c>
      <c r="P143" s="221" t="str">
        <f>IFERROR(VLOOKUP(C143,TD!$B$33:$F$37,2,0)," ")</f>
        <v>O230117</v>
      </c>
      <c r="Q143" s="221" t="str">
        <f>IFERROR(VLOOKUP(C143,TD!$B$33:$F$37,3,0)," ")</f>
        <v>4599</v>
      </c>
      <c r="R143" s="221">
        <f>IFERROR(VLOOKUP(C143,TD!$B$33:$F$37,4,0)," ")</f>
        <v>20240207</v>
      </c>
      <c r="S143" s="219" t="s">
        <v>185</v>
      </c>
      <c r="T143" s="221" t="str">
        <f>IFERROR(VLOOKUP(S143,TD!$J$34:$K$44,2,0)," ")</f>
        <v>Infraestructura física, mantenimiento y dotación (Sedes construidas, mantenidas reforzadas)</v>
      </c>
      <c r="U143" s="222" t="str">
        <f t="shared" si="8"/>
        <v>08-Infraestructura física, mantenimiento y dotación (Sedes construidas, mantenidas reforzadas)</v>
      </c>
      <c r="V143" s="219" t="s">
        <v>238</v>
      </c>
      <c r="W143" s="221" t="str">
        <f>IFERROR(VLOOKUP(V143,TD!$N$34:$O$46,2,0)," ")</f>
        <v>Sedes mantenidas</v>
      </c>
      <c r="X143" s="222" t="str">
        <f t="shared" si="9"/>
        <v>016_Sedes mantenidas</v>
      </c>
      <c r="Y143" s="222" t="str">
        <f t="shared" si="10"/>
        <v>08-Infraestructura física, mantenimiento y dotación (Sedes construidas, mantenidas reforzadas) 016_Sedes mantenidas</v>
      </c>
      <c r="Z143" s="221" t="str">
        <f t="shared" si="11"/>
        <v>O23011745992024020708016</v>
      </c>
      <c r="AA143" s="221" t="str">
        <f>IFERROR(VLOOKUP(Y143,TD!$K$47:$L$65,2,0)," ")</f>
        <v>PM/0131/0108/45990160207</v>
      </c>
      <c r="AB143" s="53" t="s">
        <v>138</v>
      </c>
      <c r="AC143" s="223" t="s">
        <v>204</v>
      </c>
    </row>
    <row r="144" spans="2:29" s="28" customFormat="1" ht="122.5" customHeight="1" x14ac:dyDescent="0.35">
      <c r="B144" s="77">
        <v>20250083</v>
      </c>
      <c r="C144" s="50" t="s">
        <v>208</v>
      </c>
      <c r="D144" s="218" t="s">
        <v>161</v>
      </c>
      <c r="E144" s="219" t="s">
        <v>355</v>
      </c>
      <c r="F144" s="218" t="s">
        <v>824</v>
      </c>
      <c r="G144" s="218" t="s">
        <v>155</v>
      </c>
      <c r="H144" s="93">
        <v>80111600</v>
      </c>
      <c r="I144" s="220">
        <v>2</v>
      </c>
      <c r="J144" s="220">
        <v>10</v>
      </c>
      <c r="K144" s="52">
        <v>0</v>
      </c>
      <c r="L144" s="53">
        <v>52000000</v>
      </c>
      <c r="M144" s="218" t="s">
        <v>465</v>
      </c>
      <c r="N144" s="53" t="s">
        <v>113</v>
      </c>
      <c r="O144" s="219" t="s">
        <v>220</v>
      </c>
      <c r="P144" s="221" t="str">
        <f>IFERROR(VLOOKUP(C144,TD!$B$33:$F$37,2,0)," ")</f>
        <v>O230117</v>
      </c>
      <c r="Q144" s="221" t="str">
        <f>IFERROR(VLOOKUP(C144,TD!$B$33:$F$37,3,0)," ")</f>
        <v>4599</v>
      </c>
      <c r="R144" s="221">
        <f>IFERROR(VLOOKUP(C144,TD!$B$33:$F$37,4,0)," ")</f>
        <v>20240207</v>
      </c>
      <c r="S144" s="219" t="s">
        <v>193</v>
      </c>
      <c r="T144" s="221" t="str">
        <f>IFERROR(VLOOKUP(S144,TD!$J$34:$K$44,2,0)," ")</f>
        <v>Servicios para la planeación y sistemas de gestión y comunicación estratégica</v>
      </c>
      <c r="U144" s="222" t="str">
        <f t="shared" si="8"/>
        <v>13-Servicios para la planeación y sistemas de gestión y comunicación estratégica</v>
      </c>
      <c r="V144" s="219" t="s">
        <v>242</v>
      </c>
      <c r="W144" s="221" t="str">
        <f>IFERROR(VLOOKUP(V144,TD!$N$34:$O$46,2,0)," ")</f>
        <v>Documentos de planeación</v>
      </c>
      <c r="X144" s="222" t="str">
        <f t="shared" si="9"/>
        <v>019_Documentos de planeación</v>
      </c>
      <c r="Y144" s="222" t="str">
        <f t="shared" si="10"/>
        <v>13-Servicios para la planeación y sistemas de gestión y comunicación estratégica 019_Documentos de planeación</v>
      </c>
      <c r="Z144" s="221" t="str">
        <f t="shared" si="11"/>
        <v>O23011745992024020713019</v>
      </c>
      <c r="AA144" s="221" t="str">
        <f>IFERROR(VLOOKUP(Y144,TD!$K$47:$L$65,2,0)," ")</f>
        <v>PM/0131/0113/45990190207</v>
      </c>
      <c r="AB144" s="53" t="s">
        <v>138</v>
      </c>
      <c r="AC144" s="223" t="s">
        <v>204</v>
      </c>
    </row>
    <row r="145" spans="2:29" s="28" customFormat="1" ht="99" customHeight="1" x14ac:dyDescent="0.35">
      <c r="B145" s="77">
        <v>20250084</v>
      </c>
      <c r="C145" s="50" t="s">
        <v>208</v>
      </c>
      <c r="D145" s="218" t="s">
        <v>161</v>
      </c>
      <c r="E145" s="219" t="s">
        <v>355</v>
      </c>
      <c r="F145" s="218" t="s">
        <v>361</v>
      </c>
      <c r="G145" s="218" t="s">
        <v>155</v>
      </c>
      <c r="H145" s="93">
        <v>80111600</v>
      </c>
      <c r="I145" s="220">
        <v>2</v>
      </c>
      <c r="J145" s="220">
        <v>11</v>
      </c>
      <c r="K145" s="52">
        <v>0</v>
      </c>
      <c r="L145" s="53">
        <v>66000000</v>
      </c>
      <c r="M145" s="218" t="s">
        <v>465</v>
      </c>
      <c r="N145" s="53" t="s">
        <v>113</v>
      </c>
      <c r="O145" s="219" t="s">
        <v>220</v>
      </c>
      <c r="P145" s="221" t="str">
        <f>IFERROR(VLOOKUP(C145,TD!$B$33:$F$37,2,0)," ")</f>
        <v>O230117</v>
      </c>
      <c r="Q145" s="221" t="str">
        <f>IFERROR(VLOOKUP(C145,TD!$B$33:$F$37,3,0)," ")</f>
        <v>4599</v>
      </c>
      <c r="R145" s="221">
        <f>IFERROR(VLOOKUP(C145,TD!$B$33:$F$37,4,0)," ")</f>
        <v>20240207</v>
      </c>
      <c r="S145" s="219" t="s">
        <v>193</v>
      </c>
      <c r="T145" s="221" t="str">
        <f>IFERROR(VLOOKUP(S145,TD!$J$34:$K$44,2,0)," ")</f>
        <v>Servicios para la planeación y sistemas de gestión y comunicación estratégica</v>
      </c>
      <c r="U145" s="222" t="str">
        <f t="shared" si="8"/>
        <v>13-Servicios para la planeación y sistemas de gestión y comunicación estratégica</v>
      </c>
      <c r="V145" s="219" t="s">
        <v>242</v>
      </c>
      <c r="W145" s="221" t="str">
        <f>IFERROR(VLOOKUP(V145,TD!$N$34:$O$46,2,0)," ")</f>
        <v>Documentos de planeación</v>
      </c>
      <c r="X145" s="222" t="str">
        <f t="shared" si="9"/>
        <v>019_Documentos de planeación</v>
      </c>
      <c r="Y145" s="222" t="str">
        <f t="shared" si="10"/>
        <v>13-Servicios para la planeación y sistemas de gestión y comunicación estratégica 019_Documentos de planeación</v>
      </c>
      <c r="Z145" s="221" t="str">
        <f t="shared" si="11"/>
        <v>O23011745992024020713019</v>
      </c>
      <c r="AA145" s="221" t="str">
        <f>IFERROR(VLOOKUP(Y145,TD!$K$47:$L$65,2,0)," ")</f>
        <v>PM/0131/0113/45990190207</v>
      </c>
      <c r="AB145" s="53" t="s">
        <v>138</v>
      </c>
      <c r="AC145" s="223" t="s">
        <v>204</v>
      </c>
    </row>
    <row r="146" spans="2:29" s="28" customFormat="1" ht="99" customHeight="1" x14ac:dyDescent="0.35">
      <c r="B146" s="77">
        <v>20250085</v>
      </c>
      <c r="C146" s="50" t="s">
        <v>208</v>
      </c>
      <c r="D146" s="218" t="s">
        <v>161</v>
      </c>
      <c r="E146" s="219" t="s">
        <v>355</v>
      </c>
      <c r="F146" s="218" t="s">
        <v>367</v>
      </c>
      <c r="G146" s="218" t="s">
        <v>156</v>
      </c>
      <c r="H146" s="93">
        <v>80111600</v>
      </c>
      <c r="I146" s="220">
        <v>3</v>
      </c>
      <c r="J146" s="220">
        <v>10</v>
      </c>
      <c r="K146" s="52">
        <v>0</v>
      </c>
      <c r="L146" s="53">
        <f>44000000+4400000-4400000</f>
        <v>44000000</v>
      </c>
      <c r="M146" s="218" t="s">
        <v>465</v>
      </c>
      <c r="N146" s="53" t="s">
        <v>113</v>
      </c>
      <c r="O146" s="219" t="s">
        <v>220</v>
      </c>
      <c r="P146" s="221" t="str">
        <f>IFERROR(VLOOKUP(C146,TD!$B$33:$F$37,2,0)," ")</f>
        <v>O230117</v>
      </c>
      <c r="Q146" s="221" t="str">
        <f>IFERROR(VLOOKUP(C146,TD!$B$33:$F$37,3,0)," ")</f>
        <v>4599</v>
      </c>
      <c r="R146" s="221">
        <f>IFERROR(VLOOKUP(C146,TD!$B$33:$F$37,4,0)," ")</f>
        <v>20240207</v>
      </c>
      <c r="S146" s="219" t="s">
        <v>193</v>
      </c>
      <c r="T146" s="221" t="str">
        <f>IFERROR(VLOOKUP(S146,TD!$J$34:$K$44,2,0)," ")</f>
        <v>Servicios para la planeación y sistemas de gestión y comunicación estratégica</v>
      </c>
      <c r="U146" s="222" t="str">
        <f t="shared" si="8"/>
        <v>13-Servicios para la planeación y sistemas de gestión y comunicación estratégica</v>
      </c>
      <c r="V146" s="219" t="s">
        <v>242</v>
      </c>
      <c r="W146" s="221" t="str">
        <f>IFERROR(VLOOKUP(V146,TD!$N$34:$O$46,2,0)," ")</f>
        <v>Documentos de planeación</v>
      </c>
      <c r="X146" s="222" t="str">
        <f t="shared" si="9"/>
        <v>019_Documentos de planeación</v>
      </c>
      <c r="Y146" s="222" t="str">
        <f t="shared" si="10"/>
        <v>13-Servicios para la planeación y sistemas de gestión y comunicación estratégica 019_Documentos de planeación</v>
      </c>
      <c r="Z146" s="221" t="str">
        <f t="shared" si="11"/>
        <v>O23011745992024020713019</v>
      </c>
      <c r="AA146" s="221" t="str">
        <f>IFERROR(VLOOKUP(Y146,TD!$K$47:$L$65,2,0)," ")</f>
        <v>PM/0131/0113/45990190207</v>
      </c>
      <c r="AB146" s="53" t="s">
        <v>138</v>
      </c>
      <c r="AC146" s="223" t="s">
        <v>204</v>
      </c>
    </row>
    <row r="147" spans="2:29" s="28" customFormat="1" ht="99" customHeight="1" x14ac:dyDescent="0.35">
      <c r="B147" s="77">
        <v>20250086</v>
      </c>
      <c r="C147" s="50" t="s">
        <v>208</v>
      </c>
      <c r="D147" s="218" t="s">
        <v>161</v>
      </c>
      <c r="E147" s="219" t="s">
        <v>355</v>
      </c>
      <c r="F147" s="218" t="s">
        <v>432</v>
      </c>
      <c r="G147" s="218" t="s">
        <v>155</v>
      </c>
      <c r="H147" s="93">
        <v>80111600</v>
      </c>
      <c r="I147" s="220">
        <v>2</v>
      </c>
      <c r="J147" s="220">
        <v>11</v>
      </c>
      <c r="K147" s="52">
        <v>0</v>
      </c>
      <c r="L147" s="53">
        <v>107800000</v>
      </c>
      <c r="M147" s="218" t="s">
        <v>465</v>
      </c>
      <c r="N147" s="53" t="s">
        <v>113</v>
      </c>
      <c r="O147" s="219" t="s">
        <v>220</v>
      </c>
      <c r="P147" s="221" t="str">
        <f>IFERROR(VLOOKUP(C147,TD!$B$33:$F$37,2,0)," ")</f>
        <v>O230117</v>
      </c>
      <c r="Q147" s="221" t="str">
        <f>IFERROR(VLOOKUP(C147,TD!$B$33:$F$37,3,0)," ")</f>
        <v>4599</v>
      </c>
      <c r="R147" s="221">
        <f>IFERROR(VLOOKUP(C147,TD!$B$33:$F$37,4,0)," ")</f>
        <v>20240207</v>
      </c>
      <c r="S147" s="219" t="s">
        <v>193</v>
      </c>
      <c r="T147" s="221" t="str">
        <f>IFERROR(VLOOKUP(S147,TD!$J$34:$K$44,2,0)," ")</f>
        <v>Servicios para la planeación y sistemas de gestión y comunicación estratégica</v>
      </c>
      <c r="U147" s="222" t="str">
        <f t="shared" si="8"/>
        <v>13-Servicios para la planeación y sistemas de gestión y comunicación estratégica</v>
      </c>
      <c r="V147" s="219" t="s">
        <v>242</v>
      </c>
      <c r="W147" s="221" t="str">
        <f>IFERROR(VLOOKUP(V147,TD!$N$34:$O$46,2,0)," ")</f>
        <v>Documentos de planeación</v>
      </c>
      <c r="X147" s="222" t="str">
        <f t="shared" si="9"/>
        <v>019_Documentos de planeación</v>
      </c>
      <c r="Y147" s="222" t="str">
        <f t="shared" si="10"/>
        <v>13-Servicios para la planeación y sistemas de gestión y comunicación estratégica 019_Documentos de planeación</v>
      </c>
      <c r="Z147" s="221" t="str">
        <f t="shared" si="11"/>
        <v>O23011745992024020713019</v>
      </c>
      <c r="AA147" s="221" t="str">
        <f>IFERROR(VLOOKUP(Y147,TD!$K$47:$L$65,2,0)," ")</f>
        <v>PM/0131/0113/45990190207</v>
      </c>
      <c r="AB147" s="53" t="s">
        <v>138</v>
      </c>
      <c r="AC147" s="223" t="s">
        <v>204</v>
      </c>
    </row>
    <row r="148" spans="2:29" s="28" customFormat="1" ht="114" customHeight="1" x14ac:dyDescent="0.35">
      <c r="B148" s="77">
        <v>20250087</v>
      </c>
      <c r="C148" s="50" t="s">
        <v>208</v>
      </c>
      <c r="D148" s="218" t="s">
        <v>161</v>
      </c>
      <c r="E148" s="219" t="s">
        <v>355</v>
      </c>
      <c r="F148" s="218" t="s">
        <v>436</v>
      </c>
      <c r="G148" s="218" t="s">
        <v>155</v>
      </c>
      <c r="H148" s="93">
        <v>80111600</v>
      </c>
      <c r="I148" s="220">
        <v>2</v>
      </c>
      <c r="J148" s="220">
        <v>6</v>
      </c>
      <c r="K148" s="52">
        <v>0</v>
      </c>
      <c r="L148" s="53">
        <f>57200000-26000000</f>
        <v>31200000</v>
      </c>
      <c r="M148" s="218" t="s">
        <v>465</v>
      </c>
      <c r="N148" s="53" t="s">
        <v>113</v>
      </c>
      <c r="O148" s="219" t="s">
        <v>220</v>
      </c>
      <c r="P148" s="221" t="str">
        <f>IFERROR(VLOOKUP(C148,TD!$B$33:$F$37,2,0)," ")</f>
        <v>O230117</v>
      </c>
      <c r="Q148" s="221" t="str">
        <f>IFERROR(VLOOKUP(C148,TD!$B$33:$F$37,3,0)," ")</f>
        <v>4599</v>
      </c>
      <c r="R148" s="221">
        <f>IFERROR(VLOOKUP(C148,TD!$B$33:$F$37,4,0)," ")</f>
        <v>20240207</v>
      </c>
      <c r="S148" s="219" t="s">
        <v>193</v>
      </c>
      <c r="T148" s="221" t="str">
        <f>IFERROR(VLOOKUP(S148,TD!$J$34:$K$44,2,0)," ")</f>
        <v>Servicios para la planeación y sistemas de gestión y comunicación estratégica</v>
      </c>
      <c r="U148" s="222" t="str">
        <f t="shared" si="8"/>
        <v>13-Servicios para la planeación y sistemas de gestión y comunicación estratégica</v>
      </c>
      <c r="V148" s="219" t="s">
        <v>242</v>
      </c>
      <c r="W148" s="221" t="str">
        <f>IFERROR(VLOOKUP(V148,TD!$N$34:$O$46,2,0)," ")</f>
        <v>Documentos de planeación</v>
      </c>
      <c r="X148" s="222" t="str">
        <f t="shared" si="9"/>
        <v>019_Documentos de planeación</v>
      </c>
      <c r="Y148" s="222" t="str">
        <f t="shared" si="10"/>
        <v>13-Servicios para la planeación y sistemas de gestión y comunicación estratégica 019_Documentos de planeación</v>
      </c>
      <c r="Z148" s="221" t="str">
        <f t="shared" si="11"/>
        <v>O23011745992024020713019</v>
      </c>
      <c r="AA148" s="221" t="str">
        <f>IFERROR(VLOOKUP(Y148,TD!$K$47:$L$65,2,0)," ")</f>
        <v>PM/0131/0113/45990190207</v>
      </c>
      <c r="AB148" s="53" t="s">
        <v>138</v>
      </c>
      <c r="AC148" s="223" t="s">
        <v>204</v>
      </c>
    </row>
    <row r="149" spans="2:29" s="28" customFormat="1" ht="99" customHeight="1" x14ac:dyDescent="0.35">
      <c r="B149" s="77">
        <v>20250088</v>
      </c>
      <c r="C149" s="50" t="s">
        <v>208</v>
      </c>
      <c r="D149" s="218" t="s">
        <v>161</v>
      </c>
      <c r="E149" s="219" t="s">
        <v>355</v>
      </c>
      <c r="F149" s="218" t="s">
        <v>438</v>
      </c>
      <c r="G149" s="218" t="s">
        <v>155</v>
      </c>
      <c r="H149" s="93">
        <v>80111600</v>
      </c>
      <c r="I149" s="220">
        <v>3</v>
      </c>
      <c r="J149" s="220">
        <v>10</v>
      </c>
      <c r="K149" s="52">
        <v>0</v>
      </c>
      <c r="L149" s="53">
        <f>57200000-5200000</f>
        <v>52000000</v>
      </c>
      <c r="M149" s="218" t="s">
        <v>465</v>
      </c>
      <c r="N149" s="53" t="s">
        <v>113</v>
      </c>
      <c r="O149" s="219" t="s">
        <v>220</v>
      </c>
      <c r="P149" s="221" t="str">
        <f>IFERROR(VLOOKUP(C149,TD!$B$33:$F$37,2,0)," ")</f>
        <v>O230117</v>
      </c>
      <c r="Q149" s="221" t="str">
        <f>IFERROR(VLOOKUP(C149,TD!$B$33:$F$37,3,0)," ")</f>
        <v>4599</v>
      </c>
      <c r="R149" s="221">
        <f>IFERROR(VLOOKUP(C149,TD!$B$33:$F$37,4,0)," ")</f>
        <v>20240207</v>
      </c>
      <c r="S149" s="219" t="s">
        <v>193</v>
      </c>
      <c r="T149" s="221" t="str">
        <f>IFERROR(VLOOKUP(S149,TD!$J$34:$K$44,2,0)," ")</f>
        <v>Servicios para la planeación y sistemas de gestión y comunicación estratégica</v>
      </c>
      <c r="U149" s="222" t="str">
        <f t="shared" si="8"/>
        <v>13-Servicios para la planeación y sistemas de gestión y comunicación estratégica</v>
      </c>
      <c r="V149" s="219" t="s">
        <v>242</v>
      </c>
      <c r="W149" s="221" t="str">
        <f>IFERROR(VLOOKUP(V149,TD!$N$34:$O$46,2,0)," ")</f>
        <v>Documentos de planeación</v>
      </c>
      <c r="X149" s="222" t="str">
        <f t="shared" si="9"/>
        <v>019_Documentos de planeación</v>
      </c>
      <c r="Y149" s="222" t="str">
        <f t="shared" si="10"/>
        <v>13-Servicios para la planeación y sistemas de gestión y comunicación estratégica 019_Documentos de planeación</v>
      </c>
      <c r="Z149" s="221" t="str">
        <f t="shared" si="11"/>
        <v>O23011745992024020713019</v>
      </c>
      <c r="AA149" s="221" t="str">
        <f>IFERROR(VLOOKUP(Y149,TD!$K$47:$L$65,2,0)," ")</f>
        <v>PM/0131/0113/45990190207</v>
      </c>
      <c r="AB149" s="53" t="s">
        <v>138</v>
      </c>
      <c r="AC149" s="223" t="s">
        <v>204</v>
      </c>
    </row>
    <row r="150" spans="2:29" s="28" customFormat="1" ht="99" customHeight="1" x14ac:dyDescent="0.35">
      <c r="B150" s="77">
        <v>20250089</v>
      </c>
      <c r="C150" s="50" t="s">
        <v>208</v>
      </c>
      <c r="D150" s="218" t="s">
        <v>161</v>
      </c>
      <c r="E150" s="219" t="s">
        <v>355</v>
      </c>
      <c r="F150" s="218" t="s">
        <v>712</v>
      </c>
      <c r="G150" s="218" t="s">
        <v>155</v>
      </c>
      <c r="H150" s="93">
        <v>80111600</v>
      </c>
      <c r="I150" s="220">
        <v>3</v>
      </c>
      <c r="J150" s="220">
        <v>6</v>
      </c>
      <c r="K150" s="52">
        <v>0</v>
      </c>
      <c r="L150" s="53">
        <f>24000000+24000000-7200000</f>
        <v>40800000</v>
      </c>
      <c r="M150" s="218" t="s">
        <v>465</v>
      </c>
      <c r="N150" s="53" t="s">
        <v>113</v>
      </c>
      <c r="O150" s="219" t="s">
        <v>220</v>
      </c>
      <c r="P150" s="221" t="str">
        <f>IFERROR(VLOOKUP(C150,TD!$B$33:$F$37,2,0)," ")</f>
        <v>O230117</v>
      </c>
      <c r="Q150" s="221" t="str">
        <f>IFERROR(VLOOKUP(C150,TD!$B$33:$F$37,3,0)," ")</f>
        <v>4599</v>
      </c>
      <c r="R150" s="221">
        <f>IFERROR(VLOOKUP(C150,TD!$B$33:$F$37,4,0)," ")</f>
        <v>20240207</v>
      </c>
      <c r="S150" s="219" t="s">
        <v>193</v>
      </c>
      <c r="T150" s="221" t="str">
        <f>IFERROR(VLOOKUP(S150,TD!$J$34:$K$44,2,0)," ")</f>
        <v>Servicios para la planeación y sistemas de gestión y comunicación estratégica</v>
      </c>
      <c r="U150" s="222" t="str">
        <f t="shared" si="8"/>
        <v>13-Servicios para la planeación y sistemas de gestión y comunicación estratégica</v>
      </c>
      <c r="V150" s="219" t="s">
        <v>242</v>
      </c>
      <c r="W150" s="221" t="str">
        <f>IFERROR(VLOOKUP(V150,TD!$N$34:$O$46,2,0)," ")</f>
        <v>Documentos de planeación</v>
      </c>
      <c r="X150" s="222" t="str">
        <f t="shared" si="9"/>
        <v>019_Documentos de planeación</v>
      </c>
      <c r="Y150" s="222" t="str">
        <f t="shared" si="10"/>
        <v>13-Servicios para la planeación y sistemas de gestión y comunicación estratégica 019_Documentos de planeación</v>
      </c>
      <c r="Z150" s="221" t="str">
        <f t="shared" si="11"/>
        <v>O23011745992024020713019</v>
      </c>
      <c r="AA150" s="221" t="str">
        <f>IFERROR(VLOOKUP(Y150,TD!$K$47:$L$65,2,0)," ")</f>
        <v>PM/0131/0113/45990190207</v>
      </c>
      <c r="AB150" s="53" t="s">
        <v>138</v>
      </c>
      <c r="AC150" s="223" t="s">
        <v>204</v>
      </c>
    </row>
    <row r="151" spans="2:29" s="28" customFormat="1" ht="99" customHeight="1" x14ac:dyDescent="0.35">
      <c r="B151" s="77">
        <v>20250090</v>
      </c>
      <c r="C151" s="50" t="s">
        <v>208</v>
      </c>
      <c r="D151" s="218" t="s">
        <v>161</v>
      </c>
      <c r="E151" s="219" t="s">
        <v>355</v>
      </c>
      <c r="F151" s="218" t="s">
        <v>439</v>
      </c>
      <c r="G151" s="218" t="s">
        <v>156</v>
      </c>
      <c r="H151" s="93">
        <v>80111600</v>
      </c>
      <c r="I151" s="220">
        <v>2</v>
      </c>
      <c r="J151" s="220">
        <v>11</v>
      </c>
      <c r="K151" s="52">
        <v>0</v>
      </c>
      <c r="L151" s="53">
        <v>38500000</v>
      </c>
      <c r="M151" s="218" t="s">
        <v>465</v>
      </c>
      <c r="N151" s="53" t="s">
        <v>113</v>
      </c>
      <c r="O151" s="219" t="s">
        <v>220</v>
      </c>
      <c r="P151" s="221" t="str">
        <f>IFERROR(VLOOKUP(C151,TD!$B$33:$F$37,2,0)," ")</f>
        <v>O230117</v>
      </c>
      <c r="Q151" s="221" t="str">
        <f>IFERROR(VLOOKUP(C151,TD!$B$33:$F$37,3,0)," ")</f>
        <v>4599</v>
      </c>
      <c r="R151" s="221">
        <f>IFERROR(VLOOKUP(C151,TD!$B$33:$F$37,4,0)," ")</f>
        <v>20240207</v>
      </c>
      <c r="S151" s="219" t="s">
        <v>193</v>
      </c>
      <c r="T151" s="221" t="str">
        <f>IFERROR(VLOOKUP(S151,TD!$J$34:$K$44,2,0)," ")</f>
        <v>Servicios para la planeación y sistemas de gestión y comunicación estratégica</v>
      </c>
      <c r="U151" s="222" t="str">
        <f t="shared" si="8"/>
        <v>13-Servicios para la planeación y sistemas de gestión y comunicación estratégica</v>
      </c>
      <c r="V151" s="219" t="s">
        <v>242</v>
      </c>
      <c r="W151" s="221" t="str">
        <f>IFERROR(VLOOKUP(V151,TD!$N$34:$O$46,2,0)," ")</f>
        <v>Documentos de planeación</v>
      </c>
      <c r="X151" s="222" t="str">
        <f t="shared" si="9"/>
        <v>019_Documentos de planeación</v>
      </c>
      <c r="Y151" s="222" t="str">
        <f t="shared" si="10"/>
        <v>13-Servicios para la planeación y sistemas de gestión y comunicación estratégica 019_Documentos de planeación</v>
      </c>
      <c r="Z151" s="221" t="str">
        <f t="shared" si="11"/>
        <v>O23011745992024020713019</v>
      </c>
      <c r="AA151" s="221" t="str">
        <f>IFERROR(VLOOKUP(Y151,TD!$K$47:$L$65,2,0)," ")</f>
        <v>PM/0131/0113/45990190207</v>
      </c>
      <c r="AB151" s="53" t="s">
        <v>138</v>
      </c>
      <c r="AC151" s="223" t="s">
        <v>204</v>
      </c>
    </row>
    <row r="152" spans="2:29" s="28" customFormat="1" ht="99" customHeight="1" x14ac:dyDescent="0.35">
      <c r="B152" s="77">
        <v>20250091</v>
      </c>
      <c r="C152" s="50" t="s">
        <v>208</v>
      </c>
      <c r="D152" s="218" t="s">
        <v>161</v>
      </c>
      <c r="E152" s="219" t="s">
        <v>355</v>
      </c>
      <c r="F152" s="218" t="s">
        <v>437</v>
      </c>
      <c r="G152" s="218" t="s">
        <v>155</v>
      </c>
      <c r="H152" s="93">
        <v>80111600</v>
      </c>
      <c r="I152" s="220">
        <v>2</v>
      </c>
      <c r="J152" s="220">
        <v>6</v>
      </c>
      <c r="K152" s="52">
        <v>0</v>
      </c>
      <c r="L152" s="53">
        <f>57200000-26000000</f>
        <v>31200000</v>
      </c>
      <c r="M152" s="218" t="s">
        <v>465</v>
      </c>
      <c r="N152" s="53" t="s">
        <v>113</v>
      </c>
      <c r="O152" s="219" t="s">
        <v>220</v>
      </c>
      <c r="P152" s="221" t="str">
        <f>IFERROR(VLOOKUP(C152,TD!$B$33:$F$37,2,0)," ")</f>
        <v>O230117</v>
      </c>
      <c r="Q152" s="221" t="str">
        <f>IFERROR(VLOOKUP(C152,TD!$B$33:$F$37,3,0)," ")</f>
        <v>4599</v>
      </c>
      <c r="R152" s="221">
        <f>IFERROR(VLOOKUP(C152,TD!$B$33:$F$37,4,0)," ")</f>
        <v>20240207</v>
      </c>
      <c r="S152" s="219" t="s">
        <v>193</v>
      </c>
      <c r="T152" s="221" t="str">
        <f>IFERROR(VLOOKUP(S152,TD!$J$34:$K$44,2,0)," ")</f>
        <v>Servicios para la planeación y sistemas de gestión y comunicación estratégica</v>
      </c>
      <c r="U152" s="222" t="str">
        <f t="shared" si="8"/>
        <v>13-Servicios para la planeación y sistemas de gestión y comunicación estratégica</v>
      </c>
      <c r="V152" s="219" t="s">
        <v>242</v>
      </c>
      <c r="W152" s="221" t="str">
        <f>IFERROR(VLOOKUP(V152,TD!$N$34:$O$46,2,0)," ")</f>
        <v>Documentos de planeación</v>
      </c>
      <c r="X152" s="222" t="str">
        <f t="shared" si="9"/>
        <v>019_Documentos de planeación</v>
      </c>
      <c r="Y152" s="222" t="str">
        <f t="shared" si="10"/>
        <v>13-Servicios para la planeación y sistemas de gestión y comunicación estratégica 019_Documentos de planeación</v>
      </c>
      <c r="Z152" s="221" t="str">
        <f t="shared" si="11"/>
        <v>O23011745992024020713019</v>
      </c>
      <c r="AA152" s="221" t="str">
        <f>IFERROR(VLOOKUP(Y152,TD!$K$47:$L$65,2,0)," ")</f>
        <v>PM/0131/0113/45990190207</v>
      </c>
      <c r="AB152" s="53" t="s">
        <v>138</v>
      </c>
      <c r="AC152" s="223" t="s">
        <v>204</v>
      </c>
    </row>
    <row r="153" spans="2:29" s="28" customFormat="1" ht="99" customHeight="1" x14ac:dyDescent="0.35">
      <c r="B153" s="77">
        <v>20250092</v>
      </c>
      <c r="C153" s="50" t="s">
        <v>208</v>
      </c>
      <c r="D153" s="218" t="s">
        <v>161</v>
      </c>
      <c r="E153" s="219" t="s">
        <v>355</v>
      </c>
      <c r="F153" s="218" t="s">
        <v>440</v>
      </c>
      <c r="G153" s="218" t="s">
        <v>155</v>
      </c>
      <c r="H153" s="93">
        <v>80111600</v>
      </c>
      <c r="I153" s="220">
        <v>3</v>
      </c>
      <c r="J153" s="220">
        <v>6</v>
      </c>
      <c r="K153" s="52">
        <v>0</v>
      </c>
      <c r="L153" s="53">
        <v>55200000</v>
      </c>
      <c r="M153" s="218" t="s">
        <v>465</v>
      </c>
      <c r="N153" s="53" t="s">
        <v>113</v>
      </c>
      <c r="O153" s="219" t="s">
        <v>220</v>
      </c>
      <c r="P153" s="221" t="str">
        <f>IFERROR(VLOOKUP(C153,TD!$B$33:$F$37,2,0)," ")</f>
        <v>O230117</v>
      </c>
      <c r="Q153" s="221" t="str">
        <f>IFERROR(VLOOKUP(C153,TD!$B$33:$F$37,3,0)," ")</f>
        <v>4599</v>
      </c>
      <c r="R153" s="221">
        <f>IFERROR(VLOOKUP(C153,TD!$B$33:$F$37,4,0)," ")</f>
        <v>20240207</v>
      </c>
      <c r="S153" s="219" t="s">
        <v>193</v>
      </c>
      <c r="T153" s="221" t="str">
        <f>IFERROR(VLOOKUP(S153,TD!$J$34:$K$44,2,0)," ")</f>
        <v>Servicios para la planeación y sistemas de gestión y comunicación estratégica</v>
      </c>
      <c r="U153" s="222" t="str">
        <f t="shared" si="8"/>
        <v>13-Servicios para la planeación y sistemas de gestión y comunicación estratégica</v>
      </c>
      <c r="V153" s="219" t="s">
        <v>242</v>
      </c>
      <c r="W153" s="221" t="str">
        <f>IFERROR(VLOOKUP(V153,TD!$N$34:$O$46,2,0)," ")</f>
        <v>Documentos de planeación</v>
      </c>
      <c r="X153" s="222" t="str">
        <f t="shared" si="9"/>
        <v>019_Documentos de planeación</v>
      </c>
      <c r="Y153" s="222" t="str">
        <f t="shared" si="10"/>
        <v>13-Servicios para la planeación y sistemas de gestión y comunicación estratégica 019_Documentos de planeación</v>
      </c>
      <c r="Z153" s="221" t="str">
        <f t="shared" si="11"/>
        <v>O23011745992024020713019</v>
      </c>
      <c r="AA153" s="221" t="str">
        <f>IFERROR(VLOOKUP(Y153,TD!$K$47:$L$65,2,0)," ")</f>
        <v>PM/0131/0113/45990190207</v>
      </c>
      <c r="AB153" s="53" t="s">
        <v>138</v>
      </c>
      <c r="AC153" s="223" t="s">
        <v>204</v>
      </c>
    </row>
    <row r="154" spans="2:29" s="28" customFormat="1" ht="99" customHeight="1" x14ac:dyDescent="0.35">
      <c r="B154" s="77">
        <v>20250093</v>
      </c>
      <c r="C154" s="50" t="s">
        <v>208</v>
      </c>
      <c r="D154" s="218" t="s">
        <v>45</v>
      </c>
      <c r="E154" s="219" t="s">
        <v>355</v>
      </c>
      <c r="F154" s="218" t="s">
        <v>967</v>
      </c>
      <c r="G154" s="218" t="s">
        <v>156</v>
      </c>
      <c r="H154" s="93">
        <v>80111600</v>
      </c>
      <c r="I154" s="220">
        <v>5</v>
      </c>
      <c r="J154" s="220">
        <v>7</v>
      </c>
      <c r="K154" s="52">
        <v>0</v>
      </c>
      <c r="L154" s="53">
        <v>24500000</v>
      </c>
      <c r="M154" s="218" t="s">
        <v>465</v>
      </c>
      <c r="N154" s="53" t="s">
        <v>113</v>
      </c>
      <c r="O154" s="219" t="s">
        <v>219</v>
      </c>
      <c r="P154" s="221" t="str">
        <f>IFERROR(VLOOKUP(C154,TD!$B$33:$F$37,2,0)," ")</f>
        <v>O230117</v>
      </c>
      <c r="Q154" s="221" t="str">
        <f>IFERROR(VLOOKUP(C154,TD!$B$33:$F$37,3,0)," ")</f>
        <v>4599</v>
      </c>
      <c r="R154" s="221">
        <f>IFERROR(VLOOKUP(C154,TD!$B$33:$F$37,4,0)," ")</f>
        <v>20240207</v>
      </c>
      <c r="S154" s="219" t="s">
        <v>185</v>
      </c>
      <c r="T154" s="221" t="str">
        <f>IFERROR(VLOOKUP(S154,TD!$J$34:$K$44,2,0)," ")</f>
        <v>Infraestructura física, mantenimiento y dotación (Sedes construidas, mantenidas reforzadas)</v>
      </c>
      <c r="U154" s="222" t="str">
        <f t="shared" si="8"/>
        <v>08-Infraestructura física, mantenimiento y dotación (Sedes construidas, mantenidas reforzadas)</v>
      </c>
      <c r="V154" s="219" t="s">
        <v>238</v>
      </c>
      <c r="W154" s="221" t="str">
        <f>IFERROR(VLOOKUP(V154,TD!$N$34:$O$46,2,0)," ")</f>
        <v>Sedes mantenidas</v>
      </c>
      <c r="X154" s="222" t="str">
        <f t="shared" si="9"/>
        <v>016_Sedes mantenidas</v>
      </c>
      <c r="Y154" s="222" t="str">
        <f t="shared" si="10"/>
        <v>08-Infraestructura física, mantenimiento y dotación (Sedes construidas, mantenidas reforzadas) 016_Sedes mantenidas</v>
      </c>
      <c r="Z154" s="221" t="str">
        <f t="shared" si="11"/>
        <v>O23011745992024020708016</v>
      </c>
      <c r="AA154" s="221" t="str">
        <f>IFERROR(VLOOKUP(Y154,TD!$K$47:$L$65,2,0)," ")</f>
        <v>PM/0131/0108/45990160207</v>
      </c>
      <c r="AB154" s="53" t="s">
        <v>138</v>
      </c>
      <c r="AC154" s="223" t="s">
        <v>204</v>
      </c>
    </row>
    <row r="155" spans="2:29" s="28" customFormat="1" ht="99" customHeight="1" x14ac:dyDescent="0.35">
      <c r="B155" s="77">
        <v>20250094</v>
      </c>
      <c r="C155" s="50" t="s">
        <v>208</v>
      </c>
      <c r="D155" s="218" t="s">
        <v>161</v>
      </c>
      <c r="E155" s="219" t="s">
        <v>355</v>
      </c>
      <c r="F155" s="218" t="s">
        <v>687</v>
      </c>
      <c r="G155" s="218" t="s">
        <v>155</v>
      </c>
      <c r="H155" s="93">
        <v>80111600</v>
      </c>
      <c r="I155" s="220">
        <v>2</v>
      </c>
      <c r="J155" s="220">
        <v>6</v>
      </c>
      <c r="K155" s="52">
        <v>0</v>
      </c>
      <c r="L155" s="53">
        <f>29700000+300000</f>
        <v>30000000</v>
      </c>
      <c r="M155" s="218" t="s">
        <v>465</v>
      </c>
      <c r="N155" s="53" t="s">
        <v>113</v>
      </c>
      <c r="O155" s="219" t="s">
        <v>220</v>
      </c>
      <c r="P155" s="221" t="str">
        <f>IFERROR(VLOOKUP(C155,TD!$B$33:$F$37,2,0)," ")</f>
        <v>O230117</v>
      </c>
      <c r="Q155" s="221" t="str">
        <f>IFERROR(VLOOKUP(C155,TD!$B$33:$F$37,3,0)," ")</f>
        <v>4599</v>
      </c>
      <c r="R155" s="221">
        <f>IFERROR(VLOOKUP(C155,TD!$B$33:$F$37,4,0)," ")</f>
        <v>20240207</v>
      </c>
      <c r="S155" s="219" t="s">
        <v>193</v>
      </c>
      <c r="T155" s="221" t="str">
        <f>IFERROR(VLOOKUP(S155,TD!$J$34:$K$44,2,0)," ")</f>
        <v>Servicios para la planeación y sistemas de gestión y comunicación estratégica</v>
      </c>
      <c r="U155" s="222" t="str">
        <f t="shared" si="8"/>
        <v>13-Servicios para la planeación y sistemas de gestión y comunicación estratégica</v>
      </c>
      <c r="V155" s="219" t="s">
        <v>242</v>
      </c>
      <c r="W155" s="221" t="str">
        <f>IFERROR(VLOOKUP(V155,TD!$N$34:$O$46,2,0)," ")</f>
        <v>Documentos de planeación</v>
      </c>
      <c r="X155" s="222" t="str">
        <f t="shared" si="9"/>
        <v>019_Documentos de planeación</v>
      </c>
      <c r="Y155" s="222" t="str">
        <f t="shared" si="10"/>
        <v>13-Servicios para la planeación y sistemas de gestión y comunicación estratégica 019_Documentos de planeación</v>
      </c>
      <c r="Z155" s="221" t="str">
        <f t="shared" si="11"/>
        <v>O23011745992024020713019</v>
      </c>
      <c r="AA155" s="221" t="str">
        <f>IFERROR(VLOOKUP(Y155,TD!$K$47:$L$65,2,0)," ")</f>
        <v>PM/0131/0113/45990190207</v>
      </c>
      <c r="AB155" s="53" t="s">
        <v>138</v>
      </c>
      <c r="AC155" s="223" t="s">
        <v>204</v>
      </c>
    </row>
    <row r="156" spans="2:29" s="28" customFormat="1" ht="99" customHeight="1" x14ac:dyDescent="0.35">
      <c r="B156" s="77">
        <v>20250095</v>
      </c>
      <c r="C156" s="50" t="s">
        <v>208</v>
      </c>
      <c r="D156" s="218" t="s">
        <v>45</v>
      </c>
      <c r="E156" s="219" t="s">
        <v>355</v>
      </c>
      <c r="F156" s="218" t="s">
        <v>714</v>
      </c>
      <c r="G156" s="218" t="s">
        <v>155</v>
      </c>
      <c r="H156" s="93">
        <v>80111600</v>
      </c>
      <c r="I156" s="220">
        <v>2</v>
      </c>
      <c r="J156" s="220">
        <v>9</v>
      </c>
      <c r="K156" s="52">
        <v>0</v>
      </c>
      <c r="L156" s="53">
        <f>197876507-107876507</f>
        <v>90000000</v>
      </c>
      <c r="M156" s="218" t="s">
        <v>465</v>
      </c>
      <c r="N156" s="53" t="s">
        <v>113</v>
      </c>
      <c r="O156" s="219" t="s">
        <v>219</v>
      </c>
      <c r="P156" s="221" t="str">
        <f>IFERROR(VLOOKUP(C156,TD!$B$33:$F$37,2,0)," ")</f>
        <v>O230117</v>
      </c>
      <c r="Q156" s="221" t="str">
        <f>IFERROR(VLOOKUP(C156,TD!$B$33:$F$37,3,0)," ")</f>
        <v>4599</v>
      </c>
      <c r="R156" s="221">
        <f>IFERROR(VLOOKUP(C156,TD!$B$33:$F$37,4,0)," ")</f>
        <v>20240207</v>
      </c>
      <c r="S156" s="219" t="s">
        <v>185</v>
      </c>
      <c r="T156" s="221" t="str">
        <f>IFERROR(VLOOKUP(S156,TD!$J$34:$K$44,2,0)," ")</f>
        <v>Infraestructura física, mantenimiento y dotación (Sedes construidas, mantenidas reforzadas)</v>
      </c>
      <c r="U156" s="222" t="str">
        <f t="shared" si="8"/>
        <v>08-Infraestructura física, mantenimiento y dotación (Sedes construidas, mantenidas reforzadas)</v>
      </c>
      <c r="V156" s="219" t="s">
        <v>238</v>
      </c>
      <c r="W156" s="221" t="str">
        <f>IFERROR(VLOOKUP(V156,TD!$N$34:$O$46,2,0)," ")</f>
        <v>Sedes mantenidas</v>
      </c>
      <c r="X156" s="222" t="str">
        <f t="shared" si="9"/>
        <v>016_Sedes mantenidas</v>
      </c>
      <c r="Y156" s="222" t="str">
        <f t="shared" si="10"/>
        <v>08-Infraestructura física, mantenimiento y dotación (Sedes construidas, mantenidas reforzadas) 016_Sedes mantenidas</v>
      </c>
      <c r="Z156" s="221" t="str">
        <f t="shared" si="11"/>
        <v>O23011745992024020708016</v>
      </c>
      <c r="AA156" s="221" t="str">
        <f>IFERROR(VLOOKUP(Y156,TD!$K$47:$L$65,2,0)," ")</f>
        <v>PM/0131/0108/45990160207</v>
      </c>
      <c r="AB156" s="53" t="s">
        <v>138</v>
      </c>
      <c r="AC156" s="223" t="s">
        <v>204</v>
      </c>
    </row>
    <row r="157" spans="2:29" s="28" customFormat="1" ht="99" customHeight="1" x14ac:dyDescent="0.35">
      <c r="B157" s="77">
        <v>20250096</v>
      </c>
      <c r="C157" s="50" t="s">
        <v>208</v>
      </c>
      <c r="D157" s="218" t="s">
        <v>45</v>
      </c>
      <c r="E157" s="219" t="s">
        <v>355</v>
      </c>
      <c r="F157" s="218" t="s">
        <v>873</v>
      </c>
      <c r="G157" s="218" t="s">
        <v>155</v>
      </c>
      <c r="H157" s="93">
        <v>80111600</v>
      </c>
      <c r="I157" s="220">
        <v>2</v>
      </c>
      <c r="J157" s="220">
        <v>6</v>
      </c>
      <c r="K157" s="52">
        <v>0</v>
      </c>
      <c r="L157" s="53">
        <f>167500000-112300000</f>
        <v>55200000</v>
      </c>
      <c r="M157" s="218" t="s">
        <v>465</v>
      </c>
      <c r="N157" s="53" t="s">
        <v>113</v>
      </c>
      <c r="O157" s="219" t="s">
        <v>219</v>
      </c>
      <c r="P157" s="221" t="str">
        <f>IFERROR(VLOOKUP(C157,TD!$B$33:$F$37,2,0)," ")</f>
        <v>O230117</v>
      </c>
      <c r="Q157" s="221" t="str">
        <f>IFERROR(VLOOKUP(C157,TD!$B$33:$F$37,3,0)," ")</f>
        <v>4599</v>
      </c>
      <c r="R157" s="221">
        <f>IFERROR(VLOOKUP(C157,TD!$B$33:$F$37,4,0)," ")</f>
        <v>20240207</v>
      </c>
      <c r="S157" s="219" t="s">
        <v>185</v>
      </c>
      <c r="T157" s="221" t="str">
        <f>IFERROR(VLOOKUP(S157,TD!$J$34:$K$44,2,0)," ")</f>
        <v>Infraestructura física, mantenimiento y dotación (Sedes construidas, mantenidas reforzadas)</v>
      </c>
      <c r="U157" s="222" t="str">
        <f t="shared" si="8"/>
        <v>08-Infraestructura física, mantenimiento y dotación (Sedes construidas, mantenidas reforzadas)</v>
      </c>
      <c r="V157" s="219" t="s">
        <v>238</v>
      </c>
      <c r="W157" s="221" t="str">
        <f>IFERROR(VLOOKUP(V157,TD!$N$34:$O$46,2,0)," ")</f>
        <v>Sedes mantenidas</v>
      </c>
      <c r="X157" s="222" t="str">
        <f t="shared" si="9"/>
        <v>016_Sedes mantenidas</v>
      </c>
      <c r="Y157" s="222" t="str">
        <f t="shared" si="10"/>
        <v>08-Infraestructura física, mantenimiento y dotación (Sedes construidas, mantenidas reforzadas) 016_Sedes mantenidas</v>
      </c>
      <c r="Z157" s="221" t="str">
        <f t="shared" si="11"/>
        <v>O23011745992024020708016</v>
      </c>
      <c r="AA157" s="221" t="str">
        <f>IFERROR(VLOOKUP(Y157,TD!$K$47:$L$65,2,0)," ")</f>
        <v>PM/0131/0108/45990160207</v>
      </c>
      <c r="AB157" s="53" t="s">
        <v>120</v>
      </c>
      <c r="AC157" s="223" t="s">
        <v>204</v>
      </c>
    </row>
    <row r="158" spans="2:29" s="28" customFormat="1" ht="99" customHeight="1" x14ac:dyDescent="0.35">
      <c r="B158" s="77">
        <v>20250097</v>
      </c>
      <c r="C158" s="50" t="s">
        <v>209</v>
      </c>
      <c r="D158" s="218" t="s">
        <v>165</v>
      </c>
      <c r="E158" s="219" t="s">
        <v>486</v>
      </c>
      <c r="F158" s="218" t="s">
        <v>722</v>
      </c>
      <c r="G158" s="218" t="s">
        <v>155</v>
      </c>
      <c r="H158" s="93">
        <v>80111600</v>
      </c>
      <c r="I158" s="220">
        <v>1</v>
      </c>
      <c r="J158" s="220">
        <v>11</v>
      </c>
      <c r="K158" s="52">
        <v>0</v>
      </c>
      <c r="L158" s="53">
        <f>87004500-20067000-212500</f>
        <v>66725000</v>
      </c>
      <c r="M158" s="218" t="s">
        <v>465</v>
      </c>
      <c r="N158" s="53" t="s">
        <v>113</v>
      </c>
      <c r="O158" s="219" t="s">
        <v>229</v>
      </c>
      <c r="P158" s="221" t="str">
        <f>IFERROR(VLOOKUP(C158,TD!$B$33:$F$37,2,0)," ")</f>
        <v>O230117</v>
      </c>
      <c r="Q158" s="221" t="str">
        <f>IFERROR(VLOOKUP(C158,TD!$B$33:$F$37,3,0)," ")</f>
        <v>4503</v>
      </c>
      <c r="R158" s="221">
        <f>IFERROR(VLOOKUP(C158,TD!$B$33:$F$37,4,0)," ")</f>
        <v>20240255</v>
      </c>
      <c r="S158" s="219" t="s">
        <v>183</v>
      </c>
      <c r="T158" s="221" t="str">
        <f>IFERROR(VLOOKUP(S158,TD!$J$34:$K$44,2,0)," ")</f>
        <v>Servicio de formación en gestión del riesgo de incendios para el personal UAECOB</v>
      </c>
      <c r="U158" s="222" t="str">
        <f t="shared" si="8"/>
        <v>07-Servicio de formación en gestión del riesgo de incendios para el personal UAECOB</v>
      </c>
      <c r="V158" s="219" t="s">
        <v>233</v>
      </c>
      <c r="W158" s="221" t="str">
        <f>IFERROR(VLOOKUP(V158,TD!$N$34:$O$46,2,0)," ")</f>
        <v>Servicio de educación informal</v>
      </c>
      <c r="X158" s="222" t="str">
        <f t="shared" si="9"/>
        <v>002_Servicio de educación informal</v>
      </c>
      <c r="Y158" s="222" t="str">
        <f t="shared" si="10"/>
        <v>07-Servicio de formación en gestión del riesgo de incendios para el personal UAECOB 002_Servicio de educación informal</v>
      </c>
      <c r="Z158" s="221" t="str">
        <f t="shared" si="11"/>
        <v>O23011745032024025507002</v>
      </c>
      <c r="AA158" s="221" t="str">
        <f>IFERROR(VLOOKUP(Y158,TD!$K$47:$L$65,2,0)," ")</f>
        <v>PM/0131/0107/45030020255</v>
      </c>
      <c r="AB158" s="53" t="s">
        <v>138</v>
      </c>
      <c r="AC158" s="223" t="s">
        <v>204</v>
      </c>
    </row>
    <row r="159" spans="2:29" s="28" customFormat="1" ht="99" customHeight="1" x14ac:dyDescent="0.35">
      <c r="B159" s="77">
        <v>20250098</v>
      </c>
      <c r="C159" s="50" t="s">
        <v>209</v>
      </c>
      <c r="D159" s="218" t="s">
        <v>165</v>
      </c>
      <c r="E159" s="219" t="s">
        <v>486</v>
      </c>
      <c r="F159" s="218" t="s">
        <v>707</v>
      </c>
      <c r="G159" s="218" t="s">
        <v>155</v>
      </c>
      <c r="H159" s="93">
        <v>80111600</v>
      </c>
      <c r="I159" s="220">
        <v>1</v>
      </c>
      <c r="J159" s="220">
        <v>11</v>
      </c>
      <c r="K159" s="52">
        <v>0</v>
      </c>
      <c r="L159" s="53">
        <f>87004500-20067000-212500</f>
        <v>66725000</v>
      </c>
      <c r="M159" s="218" t="s">
        <v>465</v>
      </c>
      <c r="N159" s="53" t="s">
        <v>113</v>
      </c>
      <c r="O159" s="219" t="s">
        <v>229</v>
      </c>
      <c r="P159" s="221" t="str">
        <f>IFERROR(VLOOKUP(C159,TD!$B$33:$F$37,2,0)," ")</f>
        <v>O230117</v>
      </c>
      <c r="Q159" s="221" t="str">
        <f>IFERROR(VLOOKUP(C159,TD!$B$33:$F$37,3,0)," ")</f>
        <v>4503</v>
      </c>
      <c r="R159" s="221">
        <f>IFERROR(VLOOKUP(C159,TD!$B$33:$F$37,4,0)," ")</f>
        <v>20240255</v>
      </c>
      <c r="S159" s="219" t="s">
        <v>183</v>
      </c>
      <c r="T159" s="221" t="str">
        <f>IFERROR(VLOOKUP(S159,TD!$J$34:$K$44,2,0)," ")</f>
        <v>Servicio de formación en gestión del riesgo de incendios para el personal UAECOB</v>
      </c>
      <c r="U159" s="222" t="str">
        <f t="shared" si="8"/>
        <v>07-Servicio de formación en gestión del riesgo de incendios para el personal UAECOB</v>
      </c>
      <c r="V159" s="219" t="s">
        <v>233</v>
      </c>
      <c r="W159" s="221" t="str">
        <f>IFERROR(VLOOKUP(V159,TD!$N$34:$O$46,2,0)," ")</f>
        <v>Servicio de educación informal</v>
      </c>
      <c r="X159" s="222" t="str">
        <f t="shared" si="9"/>
        <v>002_Servicio de educación informal</v>
      </c>
      <c r="Y159" s="222" t="str">
        <f t="shared" si="10"/>
        <v>07-Servicio de formación en gestión del riesgo de incendios para el personal UAECOB 002_Servicio de educación informal</v>
      </c>
      <c r="Z159" s="221" t="str">
        <f t="shared" si="11"/>
        <v>O23011745032024025507002</v>
      </c>
      <c r="AA159" s="221" t="str">
        <f>IFERROR(VLOOKUP(Y159,TD!$K$47:$L$65,2,0)," ")</f>
        <v>PM/0131/0107/45030020255</v>
      </c>
      <c r="AB159" s="128" t="s">
        <v>120</v>
      </c>
      <c r="AC159" s="223" t="s">
        <v>204</v>
      </c>
    </row>
    <row r="160" spans="2:29" s="28" customFormat="1" ht="99" customHeight="1" x14ac:dyDescent="0.35">
      <c r="B160" s="77">
        <v>20250099</v>
      </c>
      <c r="C160" s="50" t="s">
        <v>209</v>
      </c>
      <c r="D160" s="218" t="s">
        <v>165</v>
      </c>
      <c r="E160" s="219" t="s">
        <v>486</v>
      </c>
      <c r="F160" s="218" t="s">
        <v>708</v>
      </c>
      <c r="G160" s="218" t="s">
        <v>155</v>
      </c>
      <c r="H160" s="93">
        <v>80111600</v>
      </c>
      <c r="I160" s="220">
        <v>2</v>
      </c>
      <c r="J160" s="220">
        <v>10</v>
      </c>
      <c r="K160" s="52">
        <v>0</v>
      </c>
      <c r="L160" s="53">
        <f>69603600-11138000-8065600</f>
        <v>50400000</v>
      </c>
      <c r="M160" s="218" t="s">
        <v>465</v>
      </c>
      <c r="N160" s="53" t="s">
        <v>113</v>
      </c>
      <c r="O160" s="219" t="s">
        <v>229</v>
      </c>
      <c r="P160" s="221" t="str">
        <f>IFERROR(VLOOKUP(C160,TD!$B$33:$F$37,2,0)," ")</f>
        <v>O230117</v>
      </c>
      <c r="Q160" s="221" t="str">
        <f>IFERROR(VLOOKUP(C160,TD!$B$33:$F$37,3,0)," ")</f>
        <v>4503</v>
      </c>
      <c r="R160" s="221">
        <f>IFERROR(VLOOKUP(C160,TD!$B$33:$F$37,4,0)," ")</f>
        <v>20240255</v>
      </c>
      <c r="S160" s="219" t="s">
        <v>183</v>
      </c>
      <c r="T160" s="221" t="str">
        <f>IFERROR(VLOOKUP(S160,TD!$J$34:$K$44,2,0)," ")</f>
        <v>Servicio de formación en gestión del riesgo de incendios para el personal UAECOB</v>
      </c>
      <c r="U160" s="222" t="str">
        <f t="shared" si="8"/>
        <v>07-Servicio de formación en gestión del riesgo de incendios para el personal UAECOB</v>
      </c>
      <c r="V160" s="219" t="s">
        <v>233</v>
      </c>
      <c r="W160" s="221" t="str">
        <f>IFERROR(VLOOKUP(V160,TD!$N$34:$O$46,2,0)," ")</f>
        <v>Servicio de educación informal</v>
      </c>
      <c r="X160" s="222" t="str">
        <f t="shared" si="9"/>
        <v>002_Servicio de educación informal</v>
      </c>
      <c r="Y160" s="222" t="str">
        <f t="shared" si="10"/>
        <v>07-Servicio de formación en gestión del riesgo de incendios para el personal UAECOB 002_Servicio de educación informal</v>
      </c>
      <c r="Z160" s="221" t="str">
        <f t="shared" si="11"/>
        <v>O23011745032024025507002</v>
      </c>
      <c r="AA160" s="221" t="str">
        <f>IFERROR(VLOOKUP(Y160,TD!$K$47:$L$65,2,0)," ")</f>
        <v>PM/0131/0107/45030020255</v>
      </c>
      <c r="AB160" s="128" t="s">
        <v>120</v>
      </c>
      <c r="AC160" s="223" t="s">
        <v>204</v>
      </c>
    </row>
    <row r="161" spans="2:29" s="28" customFormat="1" ht="99" customHeight="1" x14ac:dyDescent="0.35">
      <c r="B161" s="77">
        <v>20250100</v>
      </c>
      <c r="C161" s="50" t="s">
        <v>209</v>
      </c>
      <c r="D161" s="218" t="s">
        <v>165</v>
      </c>
      <c r="E161" s="219" t="s">
        <v>486</v>
      </c>
      <c r="F161" s="218" t="s">
        <v>709</v>
      </c>
      <c r="G161" s="218" t="s">
        <v>155</v>
      </c>
      <c r="H161" s="93">
        <v>80111600</v>
      </c>
      <c r="I161" s="220">
        <v>2</v>
      </c>
      <c r="J161" s="220">
        <v>11</v>
      </c>
      <c r="K161" s="52">
        <v>0</v>
      </c>
      <c r="L161" s="53">
        <f>63466883-13066883</f>
        <v>50400000</v>
      </c>
      <c r="M161" s="218" t="s">
        <v>465</v>
      </c>
      <c r="N161" s="53" t="s">
        <v>113</v>
      </c>
      <c r="O161" s="219" t="s">
        <v>229</v>
      </c>
      <c r="P161" s="221" t="str">
        <f>IFERROR(VLOOKUP(C161,TD!$B$33:$F$37,2,0)," ")</f>
        <v>O230117</v>
      </c>
      <c r="Q161" s="221" t="str">
        <f>IFERROR(VLOOKUP(C161,TD!$B$33:$F$37,3,0)," ")</f>
        <v>4503</v>
      </c>
      <c r="R161" s="221">
        <f>IFERROR(VLOOKUP(C161,TD!$B$33:$F$37,4,0)," ")</f>
        <v>20240255</v>
      </c>
      <c r="S161" s="219" t="s">
        <v>183</v>
      </c>
      <c r="T161" s="221" t="str">
        <f>IFERROR(VLOOKUP(S161,TD!$J$34:$K$44,2,0)," ")</f>
        <v>Servicio de formación en gestión del riesgo de incendios para el personal UAECOB</v>
      </c>
      <c r="U161" s="222" t="str">
        <f t="shared" si="8"/>
        <v>07-Servicio de formación en gestión del riesgo de incendios para el personal UAECOB</v>
      </c>
      <c r="V161" s="219" t="s">
        <v>233</v>
      </c>
      <c r="W161" s="221" t="str">
        <f>IFERROR(VLOOKUP(V161,TD!$N$34:$O$46,2,0)," ")</f>
        <v>Servicio de educación informal</v>
      </c>
      <c r="X161" s="222" t="str">
        <f t="shared" si="9"/>
        <v>002_Servicio de educación informal</v>
      </c>
      <c r="Y161" s="222" t="str">
        <f t="shared" si="10"/>
        <v>07-Servicio de formación en gestión del riesgo de incendios para el personal UAECOB 002_Servicio de educación informal</v>
      </c>
      <c r="Z161" s="221" t="str">
        <f t="shared" si="11"/>
        <v>O23011745032024025507002</v>
      </c>
      <c r="AA161" s="221" t="str">
        <f>IFERROR(VLOOKUP(Y161,TD!$K$47:$L$65,2,0)," ")</f>
        <v>PM/0131/0107/45030020255</v>
      </c>
      <c r="AB161" s="128" t="s">
        <v>120</v>
      </c>
      <c r="AC161" s="223" t="s">
        <v>204</v>
      </c>
    </row>
    <row r="162" spans="2:29" s="28" customFormat="1" ht="99" customHeight="1" x14ac:dyDescent="0.35">
      <c r="B162" s="77">
        <v>20250101</v>
      </c>
      <c r="C162" s="50" t="s">
        <v>209</v>
      </c>
      <c r="D162" s="218" t="s">
        <v>165</v>
      </c>
      <c r="E162" s="219" t="s">
        <v>486</v>
      </c>
      <c r="F162" s="218" t="s">
        <v>710</v>
      </c>
      <c r="G162" s="218" t="s">
        <v>155</v>
      </c>
      <c r="H162" s="93">
        <v>80111600</v>
      </c>
      <c r="I162" s="220">
        <v>2</v>
      </c>
      <c r="J162" s="220">
        <v>11</v>
      </c>
      <c r="K162" s="52">
        <v>0</v>
      </c>
      <c r="L162" s="53">
        <f>53316357-986463-11310595-2619299</f>
        <v>38400000</v>
      </c>
      <c r="M162" s="218" t="s">
        <v>465</v>
      </c>
      <c r="N162" s="53" t="s">
        <v>113</v>
      </c>
      <c r="O162" s="219" t="s">
        <v>229</v>
      </c>
      <c r="P162" s="221" t="str">
        <f>IFERROR(VLOOKUP(C162,TD!$B$33:$F$37,2,0)," ")</f>
        <v>O230117</v>
      </c>
      <c r="Q162" s="221" t="str">
        <f>IFERROR(VLOOKUP(C162,TD!$B$33:$F$37,3,0)," ")</f>
        <v>4503</v>
      </c>
      <c r="R162" s="221">
        <f>IFERROR(VLOOKUP(C162,TD!$B$33:$F$37,4,0)," ")</f>
        <v>20240255</v>
      </c>
      <c r="S162" s="219" t="s">
        <v>183</v>
      </c>
      <c r="T162" s="221" t="str">
        <f>IFERROR(VLOOKUP(S162,TD!$J$34:$K$44,2,0)," ")</f>
        <v>Servicio de formación en gestión del riesgo de incendios para el personal UAECOB</v>
      </c>
      <c r="U162" s="222" t="str">
        <f t="shared" si="8"/>
        <v>07-Servicio de formación en gestión del riesgo de incendios para el personal UAECOB</v>
      </c>
      <c r="V162" s="219" t="s">
        <v>233</v>
      </c>
      <c r="W162" s="221" t="str">
        <f>IFERROR(VLOOKUP(V162,TD!$N$34:$O$46,2,0)," ")</f>
        <v>Servicio de educación informal</v>
      </c>
      <c r="X162" s="222" t="str">
        <f t="shared" si="9"/>
        <v>002_Servicio de educación informal</v>
      </c>
      <c r="Y162" s="222" t="str">
        <f t="shared" si="10"/>
        <v>07-Servicio de formación en gestión del riesgo de incendios para el personal UAECOB 002_Servicio de educación informal</v>
      </c>
      <c r="Z162" s="221" t="str">
        <f t="shared" si="11"/>
        <v>O23011745032024025507002</v>
      </c>
      <c r="AA162" s="221" t="str">
        <f>IFERROR(VLOOKUP(Y162,TD!$K$47:$L$65,2,0)," ")</f>
        <v>PM/0131/0107/45030020255</v>
      </c>
      <c r="AB162" s="53" t="s">
        <v>138</v>
      </c>
      <c r="AC162" s="223" t="s">
        <v>204</v>
      </c>
    </row>
    <row r="163" spans="2:29" s="28" customFormat="1" ht="99" customHeight="1" x14ac:dyDescent="0.35">
      <c r="B163" s="77">
        <v>20250102</v>
      </c>
      <c r="C163" s="50" t="s">
        <v>209</v>
      </c>
      <c r="D163" s="218" t="s">
        <v>165</v>
      </c>
      <c r="E163" s="219" t="s">
        <v>486</v>
      </c>
      <c r="F163" s="218" t="s">
        <v>393</v>
      </c>
      <c r="G163" s="218" t="s">
        <v>155</v>
      </c>
      <c r="H163" s="93">
        <v>80111600</v>
      </c>
      <c r="I163" s="220">
        <v>3</v>
      </c>
      <c r="J163" s="220">
        <v>10</v>
      </c>
      <c r="K163" s="52">
        <v>0</v>
      </c>
      <c r="L163" s="53">
        <f>57697166-8868491-2828675</f>
        <v>46000000</v>
      </c>
      <c r="M163" s="218" t="s">
        <v>465</v>
      </c>
      <c r="N163" s="53" t="s">
        <v>113</v>
      </c>
      <c r="O163" s="219" t="s">
        <v>229</v>
      </c>
      <c r="P163" s="221" t="str">
        <f>IFERROR(VLOOKUP(C163,TD!$B$33:$F$37,2,0)," ")</f>
        <v>O230117</v>
      </c>
      <c r="Q163" s="221" t="str">
        <f>IFERROR(VLOOKUP(C163,TD!$B$33:$F$37,3,0)," ")</f>
        <v>4503</v>
      </c>
      <c r="R163" s="221">
        <f>IFERROR(VLOOKUP(C163,TD!$B$33:$F$37,4,0)," ")</f>
        <v>20240255</v>
      </c>
      <c r="S163" s="219" t="s">
        <v>183</v>
      </c>
      <c r="T163" s="221" t="str">
        <f>IFERROR(VLOOKUP(S163,TD!$J$34:$K$44,2,0)," ")</f>
        <v>Servicio de formación en gestión del riesgo de incendios para el personal UAECOB</v>
      </c>
      <c r="U163" s="222" t="str">
        <f t="shared" si="8"/>
        <v>07-Servicio de formación en gestión del riesgo de incendios para el personal UAECOB</v>
      </c>
      <c r="V163" s="219" t="s">
        <v>233</v>
      </c>
      <c r="W163" s="221" t="str">
        <f>IFERROR(VLOOKUP(V163,TD!$N$34:$O$46,2,0)," ")</f>
        <v>Servicio de educación informal</v>
      </c>
      <c r="X163" s="222" t="str">
        <f t="shared" si="9"/>
        <v>002_Servicio de educación informal</v>
      </c>
      <c r="Y163" s="222" t="str">
        <f t="shared" si="10"/>
        <v>07-Servicio de formación en gestión del riesgo de incendios para el personal UAECOB 002_Servicio de educación informal</v>
      </c>
      <c r="Z163" s="221" t="str">
        <f t="shared" si="11"/>
        <v>O23011745032024025507002</v>
      </c>
      <c r="AA163" s="221" t="str">
        <f>IFERROR(VLOOKUP(Y163,TD!$K$47:$L$65,2,0)," ")</f>
        <v>PM/0131/0107/45030020255</v>
      </c>
      <c r="AB163" s="53" t="s">
        <v>138</v>
      </c>
      <c r="AC163" s="223" t="s">
        <v>204</v>
      </c>
    </row>
    <row r="164" spans="2:29" s="28" customFormat="1" ht="99" customHeight="1" x14ac:dyDescent="0.35">
      <c r="B164" s="77">
        <v>20250103</v>
      </c>
      <c r="C164" s="50" t="s">
        <v>209</v>
      </c>
      <c r="D164" s="218" t="s">
        <v>165</v>
      </c>
      <c r="E164" s="219" t="s">
        <v>486</v>
      </c>
      <c r="F164" s="218" t="s">
        <v>394</v>
      </c>
      <c r="G164" s="218" t="s">
        <v>155</v>
      </c>
      <c r="H164" s="93">
        <v>80111600</v>
      </c>
      <c r="I164" s="220">
        <v>2</v>
      </c>
      <c r="J164" s="220">
        <v>8</v>
      </c>
      <c r="K164" s="52">
        <v>0</v>
      </c>
      <c r="L164" s="53">
        <v>31500000</v>
      </c>
      <c r="M164" s="218" t="s">
        <v>465</v>
      </c>
      <c r="N164" s="53" t="s">
        <v>113</v>
      </c>
      <c r="O164" s="219" t="s">
        <v>229</v>
      </c>
      <c r="P164" s="221" t="str">
        <f>IFERROR(VLOOKUP(C164,TD!$B$33:$F$37,2,0)," ")</f>
        <v>O230117</v>
      </c>
      <c r="Q164" s="221" t="str">
        <f>IFERROR(VLOOKUP(C164,TD!$B$33:$F$37,3,0)," ")</f>
        <v>4503</v>
      </c>
      <c r="R164" s="221">
        <f>IFERROR(VLOOKUP(C164,TD!$B$33:$F$37,4,0)," ")</f>
        <v>20240255</v>
      </c>
      <c r="S164" s="219" t="s">
        <v>183</v>
      </c>
      <c r="T164" s="221" t="str">
        <f>IFERROR(VLOOKUP(S164,TD!$J$34:$K$44,2,0)," ")</f>
        <v>Servicio de formación en gestión del riesgo de incendios para el personal UAECOB</v>
      </c>
      <c r="U164" s="222" t="str">
        <f t="shared" si="8"/>
        <v>07-Servicio de formación en gestión del riesgo de incendios para el personal UAECOB</v>
      </c>
      <c r="V164" s="219" t="s">
        <v>233</v>
      </c>
      <c r="W164" s="221" t="str">
        <f>IFERROR(VLOOKUP(V164,TD!$N$34:$O$46,2,0)," ")</f>
        <v>Servicio de educación informal</v>
      </c>
      <c r="X164" s="222" t="str">
        <f t="shared" si="9"/>
        <v>002_Servicio de educación informal</v>
      </c>
      <c r="Y164" s="222" t="str">
        <f t="shared" si="10"/>
        <v>07-Servicio de formación en gestión del riesgo de incendios para el personal UAECOB 002_Servicio de educación informal</v>
      </c>
      <c r="Z164" s="221" t="str">
        <f t="shared" si="11"/>
        <v>O23011745032024025507002</v>
      </c>
      <c r="AA164" s="221" t="str">
        <f>IFERROR(VLOOKUP(Y164,TD!$K$47:$L$65,2,0)," ")</f>
        <v>PM/0131/0107/45030020255</v>
      </c>
      <c r="AB164" s="53" t="s">
        <v>138</v>
      </c>
      <c r="AC164" s="223" t="s">
        <v>204</v>
      </c>
    </row>
    <row r="165" spans="2:29" s="28" customFormat="1" ht="99" customHeight="1" x14ac:dyDescent="0.35">
      <c r="B165" s="77">
        <v>20250104</v>
      </c>
      <c r="C165" s="50" t="s">
        <v>209</v>
      </c>
      <c r="D165" s="218" t="s">
        <v>165</v>
      </c>
      <c r="E165" s="219" t="s">
        <v>486</v>
      </c>
      <c r="F165" s="218" t="s">
        <v>395</v>
      </c>
      <c r="G165" s="218" t="s">
        <v>156</v>
      </c>
      <c r="H165" s="93">
        <v>80111600</v>
      </c>
      <c r="I165" s="220">
        <v>2</v>
      </c>
      <c r="J165" s="220">
        <v>8</v>
      </c>
      <c r="K165" s="52">
        <v>0</v>
      </c>
      <c r="L165" s="53">
        <f>32481207-481207</f>
        <v>32000000</v>
      </c>
      <c r="M165" s="218" t="s">
        <v>465</v>
      </c>
      <c r="N165" s="53" t="s">
        <v>113</v>
      </c>
      <c r="O165" s="219" t="s">
        <v>229</v>
      </c>
      <c r="P165" s="221" t="str">
        <f>IFERROR(VLOOKUP(C165,TD!$B$33:$F$37,2,0)," ")</f>
        <v>O230117</v>
      </c>
      <c r="Q165" s="221" t="str">
        <f>IFERROR(VLOOKUP(C165,TD!$B$33:$F$37,3,0)," ")</f>
        <v>4503</v>
      </c>
      <c r="R165" s="221">
        <f>IFERROR(VLOOKUP(C165,TD!$B$33:$F$37,4,0)," ")</f>
        <v>20240255</v>
      </c>
      <c r="S165" s="219" t="s">
        <v>183</v>
      </c>
      <c r="T165" s="221" t="str">
        <f>IFERROR(VLOOKUP(S165,TD!$J$34:$K$44,2,0)," ")</f>
        <v>Servicio de formación en gestión del riesgo de incendios para el personal UAECOB</v>
      </c>
      <c r="U165" s="222" t="str">
        <f t="shared" si="8"/>
        <v>07-Servicio de formación en gestión del riesgo de incendios para el personal UAECOB</v>
      </c>
      <c r="V165" s="219" t="s">
        <v>233</v>
      </c>
      <c r="W165" s="221" t="str">
        <f>IFERROR(VLOOKUP(V165,TD!$N$34:$O$46,2,0)," ")</f>
        <v>Servicio de educación informal</v>
      </c>
      <c r="X165" s="222" t="str">
        <f t="shared" si="9"/>
        <v>002_Servicio de educación informal</v>
      </c>
      <c r="Y165" s="222" t="str">
        <f t="shared" si="10"/>
        <v>07-Servicio de formación en gestión del riesgo de incendios para el personal UAECOB 002_Servicio de educación informal</v>
      </c>
      <c r="Z165" s="221" t="str">
        <f t="shared" si="11"/>
        <v>O23011745032024025507002</v>
      </c>
      <c r="AA165" s="221" t="str">
        <f>IFERROR(VLOOKUP(Y165,TD!$K$47:$L$65,2,0)," ")</f>
        <v>PM/0131/0107/45030020255</v>
      </c>
      <c r="AB165" s="53" t="s">
        <v>138</v>
      </c>
      <c r="AC165" s="223" t="s">
        <v>204</v>
      </c>
    </row>
    <row r="166" spans="2:29" s="28" customFormat="1" ht="99" customHeight="1" x14ac:dyDescent="0.35">
      <c r="B166" s="77">
        <v>20250105</v>
      </c>
      <c r="C166" s="50" t="s">
        <v>209</v>
      </c>
      <c r="D166" s="218" t="s">
        <v>165</v>
      </c>
      <c r="E166" s="219" t="s">
        <v>486</v>
      </c>
      <c r="F166" s="218" t="s">
        <v>396</v>
      </c>
      <c r="G166" s="218" t="s">
        <v>155</v>
      </c>
      <c r="H166" s="93">
        <v>80111600</v>
      </c>
      <c r="I166" s="220">
        <v>2</v>
      </c>
      <c r="J166" s="220">
        <v>11</v>
      </c>
      <c r="K166" s="52">
        <v>0</v>
      </c>
      <c r="L166" s="53">
        <f>69603600-12903600</f>
        <v>56700000</v>
      </c>
      <c r="M166" s="218" t="s">
        <v>465</v>
      </c>
      <c r="N166" s="53" t="s">
        <v>113</v>
      </c>
      <c r="O166" s="219" t="s">
        <v>229</v>
      </c>
      <c r="P166" s="221" t="str">
        <f>IFERROR(VLOOKUP(C166,TD!$B$33:$F$37,2,0)," ")</f>
        <v>O230117</v>
      </c>
      <c r="Q166" s="221" t="str">
        <f>IFERROR(VLOOKUP(C166,TD!$B$33:$F$37,3,0)," ")</f>
        <v>4503</v>
      </c>
      <c r="R166" s="221">
        <f>IFERROR(VLOOKUP(C166,TD!$B$33:$F$37,4,0)," ")</f>
        <v>20240255</v>
      </c>
      <c r="S166" s="219" t="s">
        <v>183</v>
      </c>
      <c r="T166" s="221" t="str">
        <f>IFERROR(VLOOKUP(S166,TD!$J$34:$K$44,2,0)," ")</f>
        <v>Servicio de formación en gestión del riesgo de incendios para el personal UAECOB</v>
      </c>
      <c r="U166" s="222" t="str">
        <f t="shared" si="8"/>
        <v>07-Servicio de formación en gestión del riesgo de incendios para el personal UAECOB</v>
      </c>
      <c r="V166" s="219" t="s">
        <v>233</v>
      </c>
      <c r="W166" s="221" t="str">
        <f>IFERROR(VLOOKUP(V166,TD!$N$34:$O$46,2,0)," ")</f>
        <v>Servicio de educación informal</v>
      </c>
      <c r="X166" s="222" t="str">
        <f t="shared" si="9"/>
        <v>002_Servicio de educación informal</v>
      </c>
      <c r="Y166" s="222" t="str">
        <f t="shared" si="10"/>
        <v>07-Servicio de formación en gestión del riesgo de incendios para el personal UAECOB 002_Servicio de educación informal</v>
      </c>
      <c r="Z166" s="221" t="str">
        <f t="shared" si="11"/>
        <v>O23011745032024025507002</v>
      </c>
      <c r="AA166" s="221" t="str">
        <f>IFERROR(VLOOKUP(Y166,TD!$K$47:$L$65,2,0)," ")</f>
        <v>PM/0131/0107/45030020255</v>
      </c>
      <c r="AB166" s="53" t="s">
        <v>138</v>
      </c>
      <c r="AC166" s="223" t="s">
        <v>204</v>
      </c>
    </row>
    <row r="167" spans="2:29" s="28" customFormat="1" ht="99" customHeight="1" x14ac:dyDescent="0.35">
      <c r="B167" s="77">
        <v>20250106</v>
      </c>
      <c r="C167" s="50" t="s">
        <v>209</v>
      </c>
      <c r="D167" s="218" t="s">
        <v>165</v>
      </c>
      <c r="E167" s="219" t="s">
        <v>486</v>
      </c>
      <c r="F167" s="218" t="s">
        <v>397</v>
      </c>
      <c r="G167" s="218" t="s">
        <v>155</v>
      </c>
      <c r="H167" s="93">
        <v>80111600</v>
      </c>
      <c r="I167" s="220">
        <v>2</v>
      </c>
      <c r="J167" s="220">
        <v>11</v>
      </c>
      <c r="K167" s="52">
        <v>0</v>
      </c>
      <c r="L167" s="53">
        <f>50520613-1175643-10476595-75042</f>
        <v>38793333</v>
      </c>
      <c r="M167" s="218" t="s">
        <v>465</v>
      </c>
      <c r="N167" s="53" t="s">
        <v>113</v>
      </c>
      <c r="O167" s="219" t="s">
        <v>229</v>
      </c>
      <c r="P167" s="221" t="str">
        <f>IFERROR(VLOOKUP(C167,TD!$B$33:$F$37,2,0)," ")</f>
        <v>O230117</v>
      </c>
      <c r="Q167" s="221" t="str">
        <f>IFERROR(VLOOKUP(C167,TD!$B$33:$F$37,3,0)," ")</f>
        <v>4503</v>
      </c>
      <c r="R167" s="221">
        <f>IFERROR(VLOOKUP(C167,TD!$B$33:$F$37,4,0)," ")</f>
        <v>20240255</v>
      </c>
      <c r="S167" s="219" t="s">
        <v>183</v>
      </c>
      <c r="T167" s="221" t="str">
        <f>IFERROR(VLOOKUP(S167,TD!$J$34:$K$44,2,0)," ")</f>
        <v>Servicio de formación en gestión del riesgo de incendios para el personal UAECOB</v>
      </c>
      <c r="U167" s="222" t="str">
        <f t="shared" si="8"/>
        <v>07-Servicio de formación en gestión del riesgo de incendios para el personal UAECOB</v>
      </c>
      <c r="V167" s="219" t="s">
        <v>233</v>
      </c>
      <c r="W167" s="221" t="str">
        <f>IFERROR(VLOOKUP(V167,TD!$N$34:$O$46,2,0)," ")</f>
        <v>Servicio de educación informal</v>
      </c>
      <c r="X167" s="222" t="str">
        <f t="shared" si="9"/>
        <v>002_Servicio de educación informal</v>
      </c>
      <c r="Y167" s="222" t="str">
        <f t="shared" si="10"/>
        <v>07-Servicio de formación en gestión del riesgo de incendios para el personal UAECOB 002_Servicio de educación informal</v>
      </c>
      <c r="Z167" s="221" t="str">
        <f t="shared" si="11"/>
        <v>O23011745032024025507002</v>
      </c>
      <c r="AA167" s="221" t="str">
        <f>IFERROR(VLOOKUP(Y167,TD!$K$47:$L$65,2,0)," ")</f>
        <v>PM/0131/0107/45030020255</v>
      </c>
      <c r="AB167" s="53" t="s">
        <v>138</v>
      </c>
      <c r="AC167" s="223" t="s">
        <v>204</v>
      </c>
    </row>
    <row r="168" spans="2:29" s="28" customFormat="1" ht="99" customHeight="1" x14ac:dyDescent="0.35">
      <c r="B168" s="77">
        <v>20250107</v>
      </c>
      <c r="C168" s="50" t="s">
        <v>209</v>
      </c>
      <c r="D168" s="218" t="s">
        <v>165</v>
      </c>
      <c r="E168" s="219" t="s">
        <v>486</v>
      </c>
      <c r="F168" s="218" t="s">
        <v>724</v>
      </c>
      <c r="G168" s="218" t="s">
        <v>155</v>
      </c>
      <c r="H168" s="93">
        <v>80111600</v>
      </c>
      <c r="I168" s="220">
        <v>2</v>
      </c>
      <c r="J168" s="220">
        <v>11</v>
      </c>
      <c r="K168" s="52">
        <v>0</v>
      </c>
      <c r="L168" s="53">
        <f>69603600-16053600-2450000</f>
        <v>51100000</v>
      </c>
      <c r="M168" s="218" t="s">
        <v>465</v>
      </c>
      <c r="N168" s="53" t="s">
        <v>113</v>
      </c>
      <c r="O168" s="219" t="s">
        <v>229</v>
      </c>
      <c r="P168" s="221" t="str">
        <f>IFERROR(VLOOKUP(C168,TD!$B$33:$F$37,2,0)," ")</f>
        <v>O230117</v>
      </c>
      <c r="Q168" s="221" t="str">
        <f>IFERROR(VLOOKUP(C168,TD!$B$33:$F$37,3,0)," ")</f>
        <v>4503</v>
      </c>
      <c r="R168" s="221">
        <f>IFERROR(VLOOKUP(C168,TD!$B$33:$F$37,4,0)," ")</f>
        <v>20240255</v>
      </c>
      <c r="S168" s="219" t="s">
        <v>183</v>
      </c>
      <c r="T168" s="221" t="str">
        <f>IFERROR(VLOOKUP(S168,TD!$J$34:$K$44,2,0)," ")</f>
        <v>Servicio de formación en gestión del riesgo de incendios para el personal UAECOB</v>
      </c>
      <c r="U168" s="222" t="str">
        <f t="shared" si="8"/>
        <v>07-Servicio de formación en gestión del riesgo de incendios para el personal UAECOB</v>
      </c>
      <c r="V168" s="219" t="s">
        <v>233</v>
      </c>
      <c r="W168" s="221" t="str">
        <f>IFERROR(VLOOKUP(V168,TD!$N$34:$O$46,2,0)," ")</f>
        <v>Servicio de educación informal</v>
      </c>
      <c r="X168" s="222" t="str">
        <f t="shared" si="9"/>
        <v>002_Servicio de educación informal</v>
      </c>
      <c r="Y168" s="222" t="str">
        <f t="shared" si="10"/>
        <v>07-Servicio de formación en gestión del riesgo de incendios para el personal UAECOB 002_Servicio de educación informal</v>
      </c>
      <c r="Z168" s="221" t="str">
        <f t="shared" si="11"/>
        <v>O23011745032024025507002</v>
      </c>
      <c r="AA168" s="221" t="str">
        <f>IFERROR(VLOOKUP(Y168,TD!$K$47:$L$65,2,0)," ")</f>
        <v>PM/0131/0107/45030020255</v>
      </c>
      <c r="AB168" s="53" t="s">
        <v>138</v>
      </c>
      <c r="AC168" s="223" t="s">
        <v>204</v>
      </c>
    </row>
    <row r="169" spans="2:29" s="28" customFormat="1" ht="99" customHeight="1" x14ac:dyDescent="0.35">
      <c r="B169" s="77">
        <v>20250108</v>
      </c>
      <c r="C169" s="50" t="s">
        <v>209</v>
      </c>
      <c r="D169" s="218" t="s">
        <v>165</v>
      </c>
      <c r="E169" s="219" t="s">
        <v>486</v>
      </c>
      <c r="F169" s="218" t="s">
        <v>398</v>
      </c>
      <c r="G169" s="218" t="s">
        <v>155</v>
      </c>
      <c r="H169" s="93">
        <v>80111600</v>
      </c>
      <c r="I169" s="220">
        <v>2</v>
      </c>
      <c r="J169" s="220">
        <v>11</v>
      </c>
      <c r="K169" s="52">
        <v>0</v>
      </c>
      <c r="L169" s="53">
        <f>48873328-8302138-71190</f>
        <v>40500000</v>
      </c>
      <c r="M169" s="218" t="s">
        <v>465</v>
      </c>
      <c r="N169" s="53" t="s">
        <v>113</v>
      </c>
      <c r="O169" s="219" t="s">
        <v>229</v>
      </c>
      <c r="P169" s="221" t="str">
        <f>IFERROR(VLOOKUP(C169,TD!$B$33:$F$37,2,0)," ")</f>
        <v>O230117</v>
      </c>
      <c r="Q169" s="221" t="str">
        <f>IFERROR(VLOOKUP(C169,TD!$B$33:$F$37,3,0)," ")</f>
        <v>4503</v>
      </c>
      <c r="R169" s="221">
        <f>IFERROR(VLOOKUP(C169,TD!$B$33:$F$37,4,0)," ")</f>
        <v>20240255</v>
      </c>
      <c r="S169" s="219" t="s">
        <v>183</v>
      </c>
      <c r="T169" s="221" t="str">
        <f>IFERROR(VLOOKUP(S169,TD!$J$34:$K$44,2,0)," ")</f>
        <v>Servicio de formación en gestión del riesgo de incendios para el personal UAECOB</v>
      </c>
      <c r="U169" s="222" t="str">
        <f t="shared" si="8"/>
        <v>07-Servicio de formación en gestión del riesgo de incendios para el personal UAECOB</v>
      </c>
      <c r="V169" s="219" t="s">
        <v>233</v>
      </c>
      <c r="W169" s="221" t="str">
        <f>IFERROR(VLOOKUP(V169,TD!$N$34:$O$46,2,0)," ")</f>
        <v>Servicio de educación informal</v>
      </c>
      <c r="X169" s="222" t="str">
        <f t="shared" si="9"/>
        <v>002_Servicio de educación informal</v>
      </c>
      <c r="Y169" s="222" t="str">
        <f t="shared" si="10"/>
        <v>07-Servicio de formación en gestión del riesgo de incendios para el personal UAECOB 002_Servicio de educación informal</v>
      </c>
      <c r="Z169" s="221" t="str">
        <f t="shared" si="11"/>
        <v>O23011745032024025507002</v>
      </c>
      <c r="AA169" s="221" t="str">
        <f>IFERROR(VLOOKUP(Y169,TD!$K$47:$L$65,2,0)," ")</f>
        <v>PM/0131/0107/45030020255</v>
      </c>
      <c r="AB169" s="53" t="s">
        <v>138</v>
      </c>
      <c r="AC169" s="223" t="s">
        <v>204</v>
      </c>
    </row>
    <row r="170" spans="2:29" s="28" customFormat="1" ht="99" customHeight="1" x14ac:dyDescent="0.35">
      <c r="B170" s="77">
        <v>20250109</v>
      </c>
      <c r="C170" s="50" t="s">
        <v>209</v>
      </c>
      <c r="D170" s="218" t="s">
        <v>165</v>
      </c>
      <c r="E170" s="219" t="s">
        <v>486</v>
      </c>
      <c r="F170" s="218" t="s">
        <v>392</v>
      </c>
      <c r="G170" s="218" t="s">
        <v>155</v>
      </c>
      <c r="H170" s="93">
        <v>80111600</v>
      </c>
      <c r="I170" s="220">
        <v>3</v>
      </c>
      <c r="J170" s="220">
        <v>10</v>
      </c>
      <c r="K170" s="52">
        <v>0</v>
      </c>
      <c r="L170" s="53">
        <f>57697166-11740766-8581400</f>
        <v>37375000</v>
      </c>
      <c r="M170" s="218" t="s">
        <v>465</v>
      </c>
      <c r="N170" s="53" t="s">
        <v>113</v>
      </c>
      <c r="O170" s="219" t="s">
        <v>229</v>
      </c>
      <c r="P170" s="221" t="str">
        <f>IFERROR(VLOOKUP(C170,TD!$B$33:$F$37,2,0)," ")</f>
        <v>O230117</v>
      </c>
      <c r="Q170" s="221" t="str">
        <f>IFERROR(VLOOKUP(C170,TD!$B$33:$F$37,3,0)," ")</f>
        <v>4503</v>
      </c>
      <c r="R170" s="221">
        <f>IFERROR(VLOOKUP(C170,TD!$B$33:$F$37,4,0)," ")</f>
        <v>20240255</v>
      </c>
      <c r="S170" s="219" t="s">
        <v>183</v>
      </c>
      <c r="T170" s="221" t="str">
        <f>IFERROR(VLOOKUP(S170,TD!$J$34:$K$44,2,0)," ")</f>
        <v>Servicio de formación en gestión del riesgo de incendios para el personal UAECOB</v>
      </c>
      <c r="U170" s="222" t="str">
        <f t="shared" si="8"/>
        <v>07-Servicio de formación en gestión del riesgo de incendios para el personal UAECOB</v>
      </c>
      <c r="V170" s="219" t="s">
        <v>233</v>
      </c>
      <c r="W170" s="221" t="str">
        <f>IFERROR(VLOOKUP(V170,TD!$N$34:$O$46,2,0)," ")</f>
        <v>Servicio de educación informal</v>
      </c>
      <c r="X170" s="222" t="str">
        <f t="shared" si="9"/>
        <v>002_Servicio de educación informal</v>
      </c>
      <c r="Y170" s="222" t="str">
        <f t="shared" si="10"/>
        <v>07-Servicio de formación en gestión del riesgo de incendios para el personal UAECOB 002_Servicio de educación informal</v>
      </c>
      <c r="Z170" s="221" t="str">
        <f t="shared" si="11"/>
        <v>O23011745032024025507002</v>
      </c>
      <c r="AA170" s="221" t="str">
        <f>IFERROR(VLOOKUP(Y170,TD!$K$47:$L$65,2,0)," ")</f>
        <v>PM/0131/0107/45030020255</v>
      </c>
      <c r="AB170" s="53" t="s">
        <v>138</v>
      </c>
      <c r="AC170" s="223" t="s">
        <v>204</v>
      </c>
    </row>
    <row r="171" spans="2:29" s="28" customFormat="1" ht="99" customHeight="1" x14ac:dyDescent="0.35">
      <c r="B171" s="77">
        <v>20250110</v>
      </c>
      <c r="C171" s="50" t="s">
        <v>209</v>
      </c>
      <c r="D171" s="218" t="s">
        <v>165</v>
      </c>
      <c r="E171" s="219" t="s">
        <v>486</v>
      </c>
      <c r="F171" s="218" t="s">
        <v>399</v>
      </c>
      <c r="G171" s="218" t="s">
        <v>155</v>
      </c>
      <c r="H171" s="93">
        <v>80111600</v>
      </c>
      <c r="I171" s="220">
        <v>2</v>
      </c>
      <c r="J171" s="220">
        <v>11</v>
      </c>
      <c r="K171" s="52">
        <v>0</v>
      </c>
      <c r="L171" s="53">
        <f>52202700-2255576-9784624-1762500</f>
        <v>38400000</v>
      </c>
      <c r="M171" s="218" t="s">
        <v>465</v>
      </c>
      <c r="N171" s="53" t="s">
        <v>113</v>
      </c>
      <c r="O171" s="219" t="s">
        <v>229</v>
      </c>
      <c r="P171" s="221" t="str">
        <f>IFERROR(VLOOKUP(C171,TD!$B$33:$F$37,2,0)," ")</f>
        <v>O230117</v>
      </c>
      <c r="Q171" s="221" t="str">
        <f>IFERROR(VLOOKUP(C171,TD!$B$33:$F$37,3,0)," ")</f>
        <v>4503</v>
      </c>
      <c r="R171" s="221">
        <f>IFERROR(VLOOKUP(C171,TD!$B$33:$F$37,4,0)," ")</f>
        <v>20240255</v>
      </c>
      <c r="S171" s="219" t="s">
        <v>183</v>
      </c>
      <c r="T171" s="221" t="str">
        <f>IFERROR(VLOOKUP(S171,TD!$J$34:$K$44,2,0)," ")</f>
        <v>Servicio de formación en gestión del riesgo de incendios para el personal UAECOB</v>
      </c>
      <c r="U171" s="222" t="str">
        <f t="shared" si="8"/>
        <v>07-Servicio de formación en gestión del riesgo de incendios para el personal UAECOB</v>
      </c>
      <c r="V171" s="219" t="s">
        <v>233</v>
      </c>
      <c r="W171" s="221" t="str">
        <f>IFERROR(VLOOKUP(V171,TD!$N$34:$O$46,2,0)," ")</f>
        <v>Servicio de educación informal</v>
      </c>
      <c r="X171" s="222" t="str">
        <f t="shared" si="9"/>
        <v>002_Servicio de educación informal</v>
      </c>
      <c r="Y171" s="222" t="str">
        <f t="shared" si="10"/>
        <v>07-Servicio de formación en gestión del riesgo de incendios para el personal UAECOB 002_Servicio de educación informal</v>
      </c>
      <c r="Z171" s="221" t="str">
        <f t="shared" si="11"/>
        <v>O23011745032024025507002</v>
      </c>
      <c r="AA171" s="221" t="str">
        <f>IFERROR(VLOOKUP(Y171,TD!$K$47:$L$65,2,0)," ")</f>
        <v>PM/0131/0107/45030020255</v>
      </c>
      <c r="AB171" s="53" t="s">
        <v>138</v>
      </c>
      <c r="AC171" s="223" t="s">
        <v>204</v>
      </c>
    </row>
    <row r="172" spans="2:29" s="28" customFormat="1" ht="99" customHeight="1" x14ac:dyDescent="0.35">
      <c r="B172" s="77">
        <v>20250111</v>
      </c>
      <c r="C172" s="50" t="s">
        <v>209</v>
      </c>
      <c r="D172" s="218" t="s">
        <v>165</v>
      </c>
      <c r="E172" s="219" t="s">
        <v>486</v>
      </c>
      <c r="F172" s="218" t="s">
        <v>400</v>
      </c>
      <c r="G172" s="218" t="s">
        <v>156</v>
      </c>
      <c r="H172" s="93">
        <v>80111600</v>
      </c>
      <c r="I172" s="220">
        <v>2</v>
      </c>
      <c r="J172" s="220">
        <v>11</v>
      </c>
      <c r="K172" s="52">
        <v>0</v>
      </c>
      <c r="L172" s="53">
        <f>38073169-7058269-499900</f>
        <v>30515000</v>
      </c>
      <c r="M172" s="218" t="s">
        <v>465</v>
      </c>
      <c r="N172" s="53" t="s">
        <v>113</v>
      </c>
      <c r="O172" s="219" t="s">
        <v>229</v>
      </c>
      <c r="P172" s="221" t="str">
        <f>IFERROR(VLOOKUP(C172,TD!$B$33:$F$37,2,0)," ")</f>
        <v>O230117</v>
      </c>
      <c r="Q172" s="221" t="str">
        <f>IFERROR(VLOOKUP(C172,TD!$B$33:$F$37,3,0)," ")</f>
        <v>4503</v>
      </c>
      <c r="R172" s="221">
        <f>IFERROR(VLOOKUP(C172,TD!$B$33:$F$37,4,0)," ")</f>
        <v>20240255</v>
      </c>
      <c r="S172" s="219" t="s">
        <v>183</v>
      </c>
      <c r="T172" s="221" t="str">
        <f>IFERROR(VLOOKUP(S172,TD!$J$34:$K$44,2,0)," ")</f>
        <v>Servicio de formación en gestión del riesgo de incendios para el personal UAECOB</v>
      </c>
      <c r="U172" s="222" t="str">
        <f t="shared" si="8"/>
        <v>07-Servicio de formación en gestión del riesgo de incendios para el personal UAECOB</v>
      </c>
      <c r="V172" s="219" t="s">
        <v>233</v>
      </c>
      <c r="W172" s="221" t="str">
        <f>IFERROR(VLOOKUP(V172,TD!$N$34:$O$46,2,0)," ")</f>
        <v>Servicio de educación informal</v>
      </c>
      <c r="X172" s="222" t="str">
        <f t="shared" si="9"/>
        <v>002_Servicio de educación informal</v>
      </c>
      <c r="Y172" s="222" t="str">
        <f t="shared" si="10"/>
        <v>07-Servicio de formación en gestión del riesgo de incendios para el personal UAECOB 002_Servicio de educación informal</v>
      </c>
      <c r="Z172" s="221" t="str">
        <f t="shared" si="11"/>
        <v>O23011745032024025507002</v>
      </c>
      <c r="AA172" s="221" t="str">
        <f>IFERROR(VLOOKUP(Y172,TD!$K$47:$L$65,2,0)," ")</f>
        <v>PM/0131/0107/45030020255</v>
      </c>
      <c r="AB172" s="53" t="s">
        <v>138</v>
      </c>
      <c r="AC172" s="223" t="s">
        <v>204</v>
      </c>
    </row>
    <row r="173" spans="2:29" s="28" customFormat="1" ht="99" customHeight="1" x14ac:dyDescent="0.35">
      <c r="B173" s="77">
        <v>20250112</v>
      </c>
      <c r="C173" s="50" t="s">
        <v>209</v>
      </c>
      <c r="D173" s="218" t="s">
        <v>165</v>
      </c>
      <c r="E173" s="219" t="s">
        <v>486</v>
      </c>
      <c r="F173" s="218" t="s">
        <v>401</v>
      </c>
      <c r="G173" s="218" t="s">
        <v>156</v>
      </c>
      <c r="H173" s="93">
        <v>80111600</v>
      </c>
      <c r="I173" s="220">
        <v>3</v>
      </c>
      <c r="J173" s="220">
        <v>10</v>
      </c>
      <c r="K173" s="52">
        <v>0</v>
      </c>
      <c r="L173" s="53">
        <f>31638000-9588000</f>
        <v>22050000</v>
      </c>
      <c r="M173" s="218" t="s">
        <v>465</v>
      </c>
      <c r="N173" s="53" t="s">
        <v>113</v>
      </c>
      <c r="O173" s="219" t="s">
        <v>229</v>
      </c>
      <c r="P173" s="221" t="str">
        <f>IFERROR(VLOOKUP(C173,TD!$B$33:$F$37,2,0)," ")</f>
        <v>O230117</v>
      </c>
      <c r="Q173" s="221" t="str">
        <f>IFERROR(VLOOKUP(C173,TD!$B$33:$F$37,3,0)," ")</f>
        <v>4503</v>
      </c>
      <c r="R173" s="221">
        <f>IFERROR(VLOOKUP(C173,TD!$B$33:$F$37,4,0)," ")</f>
        <v>20240255</v>
      </c>
      <c r="S173" s="219" t="s">
        <v>183</v>
      </c>
      <c r="T173" s="221" t="str">
        <f>IFERROR(VLOOKUP(S173,TD!$J$34:$K$44,2,0)," ")</f>
        <v>Servicio de formación en gestión del riesgo de incendios para el personal UAECOB</v>
      </c>
      <c r="U173" s="222" t="str">
        <f t="shared" si="8"/>
        <v>07-Servicio de formación en gestión del riesgo de incendios para el personal UAECOB</v>
      </c>
      <c r="V173" s="219" t="s">
        <v>233</v>
      </c>
      <c r="W173" s="221" t="str">
        <f>IFERROR(VLOOKUP(V173,TD!$N$34:$O$46,2,0)," ")</f>
        <v>Servicio de educación informal</v>
      </c>
      <c r="X173" s="222" t="str">
        <f t="shared" si="9"/>
        <v>002_Servicio de educación informal</v>
      </c>
      <c r="Y173" s="222" t="str">
        <f t="shared" si="10"/>
        <v>07-Servicio de formación en gestión del riesgo de incendios para el personal UAECOB 002_Servicio de educación informal</v>
      </c>
      <c r="Z173" s="221" t="str">
        <f t="shared" si="11"/>
        <v>O23011745032024025507002</v>
      </c>
      <c r="AA173" s="221" t="str">
        <f>IFERROR(VLOOKUP(Y173,TD!$K$47:$L$65,2,0)," ")</f>
        <v>PM/0131/0107/45030020255</v>
      </c>
      <c r="AB173" s="53" t="s">
        <v>138</v>
      </c>
      <c r="AC173" s="223" t="s">
        <v>204</v>
      </c>
    </row>
    <row r="174" spans="2:29" s="28" customFormat="1" ht="99" customHeight="1" x14ac:dyDescent="0.35">
      <c r="B174" s="77">
        <v>20250113</v>
      </c>
      <c r="C174" s="50" t="s">
        <v>209</v>
      </c>
      <c r="D174" s="218" t="s">
        <v>165</v>
      </c>
      <c r="E174" s="219" t="s">
        <v>486</v>
      </c>
      <c r="F174" s="218" t="s">
        <v>402</v>
      </c>
      <c r="G174" s="218" t="s">
        <v>155</v>
      </c>
      <c r="H174" s="93">
        <v>80111600</v>
      </c>
      <c r="I174" s="220">
        <v>2</v>
      </c>
      <c r="J174" s="220">
        <v>11</v>
      </c>
      <c r="K174" s="52">
        <v>0</v>
      </c>
      <c r="L174" s="53">
        <f>62550435-11596035-34400</f>
        <v>50920000</v>
      </c>
      <c r="M174" s="218" t="s">
        <v>465</v>
      </c>
      <c r="N174" s="53" t="s">
        <v>113</v>
      </c>
      <c r="O174" s="219" t="s">
        <v>229</v>
      </c>
      <c r="P174" s="221" t="str">
        <f>IFERROR(VLOOKUP(C174,TD!$B$33:$F$37,2,0)," ")</f>
        <v>O230117</v>
      </c>
      <c r="Q174" s="221" t="str">
        <f>IFERROR(VLOOKUP(C174,TD!$B$33:$F$37,3,0)," ")</f>
        <v>4503</v>
      </c>
      <c r="R174" s="221">
        <f>IFERROR(VLOOKUP(C174,TD!$B$33:$F$37,4,0)," ")</f>
        <v>20240255</v>
      </c>
      <c r="S174" s="219" t="s">
        <v>183</v>
      </c>
      <c r="T174" s="221" t="str">
        <f>IFERROR(VLOOKUP(S174,TD!$J$34:$K$44,2,0)," ")</f>
        <v>Servicio de formación en gestión del riesgo de incendios para el personal UAECOB</v>
      </c>
      <c r="U174" s="222" t="str">
        <f t="shared" si="8"/>
        <v>07-Servicio de formación en gestión del riesgo de incendios para el personal UAECOB</v>
      </c>
      <c r="V174" s="219" t="s">
        <v>233</v>
      </c>
      <c r="W174" s="221" t="str">
        <f>IFERROR(VLOOKUP(V174,TD!$N$34:$O$46,2,0)," ")</f>
        <v>Servicio de educación informal</v>
      </c>
      <c r="X174" s="222" t="str">
        <f t="shared" si="9"/>
        <v>002_Servicio de educación informal</v>
      </c>
      <c r="Y174" s="222" t="str">
        <f t="shared" si="10"/>
        <v>07-Servicio de formación en gestión del riesgo de incendios para el personal UAECOB 002_Servicio de educación informal</v>
      </c>
      <c r="Z174" s="221" t="str">
        <f t="shared" si="11"/>
        <v>O23011745032024025507002</v>
      </c>
      <c r="AA174" s="221" t="str">
        <f>IFERROR(VLOOKUP(Y174,TD!$K$47:$L$65,2,0)," ")</f>
        <v>PM/0131/0107/45030020255</v>
      </c>
      <c r="AB174" s="53" t="s">
        <v>138</v>
      </c>
      <c r="AC174" s="223" t="s">
        <v>204</v>
      </c>
    </row>
    <row r="175" spans="2:29" s="28" customFormat="1" ht="99" customHeight="1" x14ac:dyDescent="0.35">
      <c r="B175" s="77">
        <v>20250115</v>
      </c>
      <c r="C175" s="50" t="s">
        <v>209</v>
      </c>
      <c r="D175" s="218" t="s">
        <v>165</v>
      </c>
      <c r="E175" s="219" t="s">
        <v>486</v>
      </c>
      <c r="F175" s="218" t="s">
        <v>398</v>
      </c>
      <c r="G175" s="218" t="s">
        <v>155</v>
      </c>
      <c r="H175" s="93">
        <v>80111600</v>
      </c>
      <c r="I175" s="220">
        <v>2</v>
      </c>
      <c r="J175" s="220">
        <v>11</v>
      </c>
      <c r="K175" s="52">
        <v>0</v>
      </c>
      <c r="L175" s="53">
        <f>46599610-8282375-67235</f>
        <v>38250000</v>
      </c>
      <c r="M175" s="218" t="s">
        <v>465</v>
      </c>
      <c r="N175" s="53" t="s">
        <v>113</v>
      </c>
      <c r="O175" s="219" t="s">
        <v>229</v>
      </c>
      <c r="P175" s="221" t="str">
        <f>IFERROR(VLOOKUP(C175,TD!$B$33:$F$37,2,0)," ")</f>
        <v>O230117</v>
      </c>
      <c r="Q175" s="221" t="str">
        <f>IFERROR(VLOOKUP(C175,TD!$B$33:$F$37,3,0)," ")</f>
        <v>4503</v>
      </c>
      <c r="R175" s="221">
        <f>IFERROR(VLOOKUP(C175,TD!$B$33:$F$37,4,0)," ")</f>
        <v>20240255</v>
      </c>
      <c r="S175" s="219" t="s">
        <v>183</v>
      </c>
      <c r="T175" s="221" t="str">
        <f>IFERROR(VLOOKUP(S175,TD!$J$34:$K$44,2,0)," ")</f>
        <v>Servicio de formación en gestión del riesgo de incendios para el personal UAECOB</v>
      </c>
      <c r="U175" s="222" t="str">
        <f t="shared" si="8"/>
        <v>07-Servicio de formación en gestión del riesgo de incendios para el personal UAECOB</v>
      </c>
      <c r="V175" s="219" t="s">
        <v>233</v>
      </c>
      <c r="W175" s="221" t="str">
        <f>IFERROR(VLOOKUP(V175,TD!$N$34:$O$46,2,0)," ")</f>
        <v>Servicio de educación informal</v>
      </c>
      <c r="X175" s="222" t="str">
        <f t="shared" si="9"/>
        <v>002_Servicio de educación informal</v>
      </c>
      <c r="Y175" s="222" t="str">
        <f t="shared" si="10"/>
        <v>07-Servicio de formación en gestión del riesgo de incendios para el personal UAECOB 002_Servicio de educación informal</v>
      </c>
      <c r="Z175" s="221" t="str">
        <f t="shared" si="11"/>
        <v>O23011745032024025507002</v>
      </c>
      <c r="AA175" s="221" t="str">
        <f>IFERROR(VLOOKUP(Y175,TD!$K$47:$L$65,2,0)," ")</f>
        <v>PM/0131/0107/45030020255</v>
      </c>
      <c r="AB175" s="53" t="s">
        <v>138</v>
      </c>
      <c r="AC175" s="223" t="s">
        <v>204</v>
      </c>
    </row>
    <row r="176" spans="2:29" s="28" customFormat="1" ht="99" customHeight="1" x14ac:dyDescent="0.35">
      <c r="B176" s="77">
        <v>20250116</v>
      </c>
      <c r="C176" s="50" t="s">
        <v>209</v>
      </c>
      <c r="D176" s="218" t="s">
        <v>165</v>
      </c>
      <c r="E176" s="219" t="s">
        <v>486</v>
      </c>
      <c r="F176" s="218" t="s">
        <v>403</v>
      </c>
      <c r="G176" s="218" t="s">
        <v>155</v>
      </c>
      <c r="H176" s="93">
        <v>80111600</v>
      </c>
      <c r="I176" s="220">
        <v>2</v>
      </c>
      <c r="J176" s="220">
        <v>11</v>
      </c>
      <c r="K176" s="52">
        <v>0</v>
      </c>
      <c r="L176" s="53">
        <f>75403900-12836139-4555261-3612500</f>
        <v>54400000</v>
      </c>
      <c r="M176" s="218" t="s">
        <v>465</v>
      </c>
      <c r="N176" s="53" t="s">
        <v>113</v>
      </c>
      <c r="O176" s="219" t="s">
        <v>229</v>
      </c>
      <c r="P176" s="221" t="str">
        <f>IFERROR(VLOOKUP(C176,TD!$B$33:$F$37,2,0)," ")</f>
        <v>O230117</v>
      </c>
      <c r="Q176" s="221" t="str">
        <f>IFERROR(VLOOKUP(C176,TD!$B$33:$F$37,3,0)," ")</f>
        <v>4503</v>
      </c>
      <c r="R176" s="221">
        <f>IFERROR(VLOOKUP(C176,TD!$B$33:$F$37,4,0)," ")</f>
        <v>20240255</v>
      </c>
      <c r="S176" s="219" t="s">
        <v>183</v>
      </c>
      <c r="T176" s="221" t="str">
        <f>IFERROR(VLOOKUP(S176,TD!$J$34:$K$44,2,0)," ")</f>
        <v>Servicio de formación en gestión del riesgo de incendios para el personal UAECOB</v>
      </c>
      <c r="U176" s="222" t="str">
        <f t="shared" si="8"/>
        <v>07-Servicio de formación en gestión del riesgo de incendios para el personal UAECOB</v>
      </c>
      <c r="V176" s="219" t="s">
        <v>233</v>
      </c>
      <c r="W176" s="221" t="str">
        <f>IFERROR(VLOOKUP(V176,TD!$N$34:$O$46,2,0)," ")</f>
        <v>Servicio de educación informal</v>
      </c>
      <c r="X176" s="222" t="str">
        <f t="shared" si="9"/>
        <v>002_Servicio de educación informal</v>
      </c>
      <c r="Y176" s="222" t="str">
        <f t="shared" si="10"/>
        <v>07-Servicio de formación en gestión del riesgo de incendios para el personal UAECOB 002_Servicio de educación informal</v>
      </c>
      <c r="Z176" s="221" t="str">
        <f t="shared" si="11"/>
        <v>O23011745032024025507002</v>
      </c>
      <c r="AA176" s="221" t="str">
        <f>IFERROR(VLOOKUP(Y176,TD!$K$47:$L$65,2,0)," ")</f>
        <v>PM/0131/0107/45030020255</v>
      </c>
      <c r="AB176" s="53" t="s">
        <v>138</v>
      </c>
      <c r="AC176" s="223" t="s">
        <v>204</v>
      </c>
    </row>
    <row r="177" spans="2:29" s="28" customFormat="1" ht="99" customHeight="1" x14ac:dyDescent="0.35">
      <c r="B177" s="77">
        <v>20250117</v>
      </c>
      <c r="C177" s="50" t="s">
        <v>209</v>
      </c>
      <c r="D177" s="218" t="s">
        <v>165</v>
      </c>
      <c r="E177" s="219" t="s">
        <v>486</v>
      </c>
      <c r="F177" s="218" t="s">
        <v>404</v>
      </c>
      <c r="G177" s="218" t="s">
        <v>156</v>
      </c>
      <c r="H177" s="93">
        <v>80111600</v>
      </c>
      <c r="I177" s="220">
        <v>2</v>
      </c>
      <c r="J177" s="220">
        <v>11</v>
      </c>
      <c r="K177" s="52">
        <v>0</v>
      </c>
      <c r="L177" s="53">
        <f>30045554-3045554</f>
        <v>27000000</v>
      </c>
      <c r="M177" s="218" t="s">
        <v>465</v>
      </c>
      <c r="N177" s="53" t="s">
        <v>113</v>
      </c>
      <c r="O177" s="219" t="s">
        <v>229</v>
      </c>
      <c r="P177" s="221" t="str">
        <f>IFERROR(VLOOKUP(C177,TD!$B$33:$F$37,2,0)," ")</f>
        <v>O230117</v>
      </c>
      <c r="Q177" s="221" t="str">
        <f>IFERROR(VLOOKUP(C177,TD!$B$33:$F$37,3,0)," ")</f>
        <v>4503</v>
      </c>
      <c r="R177" s="221">
        <f>IFERROR(VLOOKUP(C177,TD!$B$33:$F$37,4,0)," ")</f>
        <v>20240255</v>
      </c>
      <c r="S177" s="219" t="s">
        <v>183</v>
      </c>
      <c r="T177" s="221" t="str">
        <f>IFERROR(VLOOKUP(S177,TD!$J$34:$K$44,2,0)," ")</f>
        <v>Servicio de formación en gestión del riesgo de incendios para el personal UAECOB</v>
      </c>
      <c r="U177" s="222" t="str">
        <f t="shared" si="8"/>
        <v>07-Servicio de formación en gestión del riesgo de incendios para el personal UAECOB</v>
      </c>
      <c r="V177" s="219" t="s">
        <v>233</v>
      </c>
      <c r="W177" s="221" t="str">
        <f>IFERROR(VLOOKUP(V177,TD!$N$34:$O$46,2,0)," ")</f>
        <v>Servicio de educación informal</v>
      </c>
      <c r="X177" s="222" t="str">
        <f t="shared" si="9"/>
        <v>002_Servicio de educación informal</v>
      </c>
      <c r="Y177" s="222" t="str">
        <f t="shared" si="10"/>
        <v>07-Servicio de formación en gestión del riesgo de incendios para el personal UAECOB 002_Servicio de educación informal</v>
      </c>
      <c r="Z177" s="221" t="str">
        <f t="shared" si="11"/>
        <v>O23011745032024025507002</v>
      </c>
      <c r="AA177" s="221" t="str">
        <f>IFERROR(VLOOKUP(Y177,TD!$K$47:$L$65,2,0)," ")</f>
        <v>PM/0131/0107/45030020255</v>
      </c>
      <c r="AB177" s="53" t="s">
        <v>138</v>
      </c>
      <c r="AC177" s="223" t="s">
        <v>204</v>
      </c>
    </row>
    <row r="178" spans="2:29" s="28" customFormat="1" ht="99" customHeight="1" x14ac:dyDescent="0.35">
      <c r="B178" s="77">
        <v>20250118</v>
      </c>
      <c r="C178" s="50" t="s">
        <v>209</v>
      </c>
      <c r="D178" s="218" t="s">
        <v>165</v>
      </c>
      <c r="E178" s="219" t="s">
        <v>486</v>
      </c>
      <c r="F178" s="218" t="s">
        <v>405</v>
      </c>
      <c r="G178" s="218" t="s">
        <v>155</v>
      </c>
      <c r="H178" s="93">
        <v>80111600</v>
      </c>
      <c r="I178" s="220">
        <v>2</v>
      </c>
      <c r="J178" s="220">
        <v>11</v>
      </c>
      <c r="K178" s="52">
        <v>0</v>
      </c>
      <c r="L178" s="53">
        <f>46599610-6028510-71100</f>
        <v>40500000</v>
      </c>
      <c r="M178" s="218" t="s">
        <v>465</v>
      </c>
      <c r="N178" s="53" t="s">
        <v>113</v>
      </c>
      <c r="O178" s="219" t="s">
        <v>229</v>
      </c>
      <c r="P178" s="221" t="str">
        <f>IFERROR(VLOOKUP(C178,TD!$B$33:$F$37,2,0)," ")</f>
        <v>O230117</v>
      </c>
      <c r="Q178" s="221" t="str">
        <f>IFERROR(VLOOKUP(C178,TD!$B$33:$F$37,3,0)," ")</f>
        <v>4503</v>
      </c>
      <c r="R178" s="221">
        <f>IFERROR(VLOOKUP(C178,TD!$B$33:$F$37,4,0)," ")</f>
        <v>20240255</v>
      </c>
      <c r="S178" s="219" t="s">
        <v>183</v>
      </c>
      <c r="T178" s="221" t="str">
        <f>IFERROR(VLOOKUP(S178,TD!$J$34:$K$44,2,0)," ")</f>
        <v>Servicio de formación en gestión del riesgo de incendios para el personal UAECOB</v>
      </c>
      <c r="U178" s="222" t="str">
        <f t="shared" si="8"/>
        <v>07-Servicio de formación en gestión del riesgo de incendios para el personal UAECOB</v>
      </c>
      <c r="V178" s="219" t="s">
        <v>233</v>
      </c>
      <c r="W178" s="221" t="str">
        <f>IFERROR(VLOOKUP(V178,TD!$N$34:$O$46,2,0)," ")</f>
        <v>Servicio de educación informal</v>
      </c>
      <c r="X178" s="222" t="str">
        <f t="shared" si="9"/>
        <v>002_Servicio de educación informal</v>
      </c>
      <c r="Y178" s="222" t="str">
        <f t="shared" si="10"/>
        <v>07-Servicio de formación en gestión del riesgo de incendios para el personal UAECOB 002_Servicio de educación informal</v>
      </c>
      <c r="Z178" s="221" t="str">
        <f t="shared" si="11"/>
        <v>O23011745032024025507002</v>
      </c>
      <c r="AA178" s="221" t="str">
        <f>IFERROR(VLOOKUP(Y178,TD!$K$47:$L$65,2,0)," ")</f>
        <v>PM/0131/0107/45030020255</v>
      </c>
      <c r="AB178" s="53" t="s">
        <v>138</v>
      </c>
      <c r="AC178" s="223" t="s">
        <v>204</v>
      </c>
    </row>
    <row r="179" spans="2:29" s="28" customFormat="1" ht="99" customHeight="1" x14ac:dyDescent="0.35">
      <c r="B179" s="77">
        <v>20250119</v>
      </c>
      <c r="C179" s="50" t="s">
        <v>209</v>
      </c>
      <c r="D179" s="218" t="s">
        <v>165</v>
      </c>
      <c r="E179" s="219" t="s">
        <v>486</v>
      </c>
      <c r="F179" s="218" t="s">
        <v>430</v>
      </c>
      <c r="G179" s="218" t="s">
        <v>155</v>
      </c>
      <c r="H179" s="93">
        <v>80111600</v>
      </c>
      <c r="I179" s="220">
        <v>2</v>
      </c>
      <c r="J179" s="220">
        <v>11</v>
      </c>
      <c r="K179" s="52">
        <v>0</v>
      </c>
      <c r="L179" s="53">
        <f>59047054-10946554-40500</f>
        <v>48060000</v>
      </c>
      <c r="M179" s="218" t="s">
        <v>465</v>
      </c>
      <c r="N179" s="53" t="s">
        <v>113</v>
      </c>
      <c r="O179" s="219" t="s">
        <v>229</v>
      </c>
      <c r="P179" s="221" t="str">
        <f>IFERROR(VLOOKUP(C179,TD!$B$33:$F$37,2,0)," ")</f>
        <v>O230117</v>
      </c>
      <c r="Q179" s="221" t="str">
        <f>IFERROR(VLOOKUP(C179,TD!$B$33:$F$37,3,0)," ")</f>
        <v>4503</v>
      </c>
      <c r="R179" s="221">
        <f>IFERROR(VLOOKUP(C179,TD!$B$33:$F$37,4,0)," ")</f>
        <v>20240255</v>
      </c>
      <c r="S179" s="219" t="s">
        <v>183</v>
      </c>
      <c r="T179" s="221" t="str">
        <f>IFERROR(VLOOKUP(S179,TD!$J$34:$K$44,2,0)," ")</f>
        <v>Servicio de formación en gestión del riesgo de incendios para el personal UAECOB</v>
      </c>
      <c r="U179" s="222" t="str">
        <f t="shared" si="8"/>
        <v>07-Servicio de formación en gestión del riesgo de incendios para el personal UAECOB</v>
      </c>
      <c r="V179" s="219" t="s">
        <v>233</v>
      </c>
      <c r="W179" s="221" t="str">
        <f>IFERROR(VLOOKUP(V179,TD!$N$34:$O$46,2,0)," ")</f>
        <v>Servicio de educación informal</v>
      </c>
      <c r="X179" s="222" t="str">
        <f t="shared" si="9"/>
        <v>002_Servicio de educación informal</v>
      </c>
      <c r="Y179" s="222" t="str">
        <f t="shared" si="10"/>
        <v>07-Servicio de formación en gestión del riesgo de incendios para el personal UAECOB 002_Servicio de educación informal</v>
      </c>
      <c r="Z179" s="221" t="str">
        <f t="shared" si="11"/>
        <v>O23011745032024025507002</v>
      </c>
      <c r="AA179" s="221" t="str">
        <f>IFERROR(VLOOKUP(Y179,TD!$K$47:$L$65,2,0)," ")</f>
        <v>PM/0131/0107/45030020255</v>
      </c>
      <c r="AB179" s="53" t="s">
        <v>138</v>
      </c>
      <c r="AC179" s="223" t="s">
        <v>204</v>
      </c>
    </row>
    <row r="180" spans="2:29" s="28" customFormat="1" ht="99" customHeight="1" x14ac:dyDescent="0.35">
      <c r="B180" s="77">
        <v>20250121</v>
      </c>
      <c r="C180" s="50" t="s">
        <v>209</v>
      </c>
      <c r="D180" s="218" t="s">
        <v>165</v>
      </c>
      <c r="E180" s="219" t="s">
        <v>486</v>
      </c>
      <c r="F180" s="218" t="s">
        <v>428</v>
      </c>
      <c r="G180" s="218" t="s">
        <v>155</v>
      </c>
      <c r="H180" s="93">
        <v>80111600</v>
      </c>
      <c r="I180" s="220">
        <v>2</v>
      </c>
      <c r="J180" s="220">
        <v>11</v>
      </c>
      <c r="K180" s="52">
        <v>0</v>
      </c>
      <c r="L180" s="53">
        <f>81204200-8421871-6632329-1410000</f>
        <v>64740000</v>
      </c>
      <c r="M180" s="218" t="s">
        <v>465</v>
      </c>
      <c r="N180" s="53" t="s">
        <v>113</v>
      </c>
      <c r="O180" s="219" t="s">
        <v>229</v>
      </c>
      <c r="P180" s="221" t="str">
        <f>IFERROR(VLOOKUP(C180,TD!$B$33:$F$37,2,0)," ")</f>
        <v>O230117</v>
      </c>
      <c r="Q180" s="221" t="str">
        <f>IFERROR(VLOOKUP(C180,TD!$B$33:$F$37,3,0)," ")</f>
        <v>4503</v>
      </c>
      <c r="R180" s="221">
        <f>IFERROR(VLOOKUP(C180,TD!$B$33:$F$37,4,0)," ")</f>
        <v>20240255</v>
      </c>
      <c r="S180" s="219" t="s">
        <v>183</v>
      </c>
      <c r="T180" s="221" t="str">
        <f>IFERROR(VLOOKUP(S180,TD!$J$34:$K$44,2,0)," ")</f>
        <v>Servicio de formación en gestión del riesgo de incendios para el personal UAECOB</v>
      </c>
      <c r="U180" s="222" t="str">
        <f t="shared" si="8"/>
        <v>07-Servicio de formación en gestión del riesgo de incendios para el personal UAECOB</v>
      </c>
      <c r="V180" s="219" t="s">
        <v>233</v>
      </c>
      <c r="W180" s="221" t="str">
        <f>IFERROR(VLOOKUP(V180,TD!$N$34:$O$46,2,0)," ")</f>
        <v>Servicio de educación informal</v>
      </c>
      <c r="X180" s="222" t="str">
        <f t="shared" si="9"/>
        <v>002_Servicio de educación informal</v>
      </c>
      <c r="Y180" s="222" t="str">
        <f t="shared" si="10"/>
        <v>07-Servicio de formación en gestión del riesgo de incendios para el personal UAECOB 002_Servicio de educación informal</v>
      </c>
      <c r="Z180" s="221" t="str">
        <f t="shared" si="11"/>
        <v>O23011745032024025507002</v>
      </c>
      <c r="AA180" s="221" t="str">
        <f>IFERROR(VLOOKUP(Y180,TD!$K$47:$L$65,2,0)," ")</f>
        <v>PM/0131/0107/45030020255</v>
      </c>
      <c r="AB180" s="53" t="s">
        <v>138</v>
      </c>
      <c r="AC180" s="223" t="s">
        <v>204</v>
      </c>
    </row>
    <row r="181" spans="2:29" s="28" customFormat="1" ht="99" customHeight="1" x14ac:dyDescent="0.35">
      <c r="B181" s="77">
        <v>20250122</v>
      </c>
      <c r="C181" s="50" t="s">
        <v>209</v>
      </c>
      <c r="D181" s="218" t="s">
        <v>165</v>
      </c>
      <c r="E181" s="219" t="s">
        <v>486</v>
      </c>
      <c r="F181" s="218" t="s">
        <v>911</v>
      </c>
      <c r="G181" s="218" t="s">
        <v>155</v>
      </c>
      <c r="H181" s="93">
        <v>80111600</v>
      </c>
      <c r="I181" s="220">
        <v>4</v>
      </c>
      <c r="J181" s="220">
        <v>8</v>
      </c>
      <c r="K181" s="52">
        <v>0</v>
      </c>
      <c r="L181" s="53">
        <f>63563000-363000</f>
        <v>63200000</v>
      </c>
      <c r="M181" s="218" t="s">
        <v>465</v>
      </c>
      <c r="N181" s="53" t="s">
        <v>113</v>
      </c>
      <c r="O181" s="219" t="s">
        <v>229</v>
      </c>
      <c r="P181" s="221" t="str">
        <f>IFERROR(VLOOKUP(C181,TD!$B$33:$F$37,2,0)," ")</f>
        <v>O230117</v>
      </c>
      <c r="Q181" s="221" t="str">
        <f>IFERROR(VLOOKUP(C181,TD!$B$33:$F$37,3,0)," ")</f>
        <v>4503</v>
      </c>
      <c r="R181" s="221">
        <f>IFERROR(VLOOKUP(C181,TD!$B$33:$F$37,4,0)," ")</f>
        <v>20240255</v>
      </c>
      <c r="S181" s="219" t="s">
        <v>183</v>
      </c>
      <c r="T181" s="221" t="str">
        <f>IFERROR(VLOOKUP(S181,TD!$J$34:$K$44,2,0)," ")</f>
        <v>Servicio de formación en gestión del riesgo de incendios para el personal UAECOB</v>
      </c>
      <c r="U181" s="222" t="str">
        <f t="shared" si="8"/>
        <v>07-Servicio de formación en gestión del riesgo de incendios para el personal UAECOB</v>
      </c>
      <c r="V181" s="219" t="s">
        <v>233</v>
      </c>
      <c r="W181" s="221" t="str">
        <f>IFERROR(VLOOKUP(V181,TD!$N$34:$O$46,2,0)," ")</f>
        <v>Servicio de educación informal</v>
      </c>
      <c r="X181" s="222" t="str">
        <f t="shared" si="9"/>
        <v>002_Servicio de educación informal</v>
      </c>
      <c r="Y181" s="222" t="str">
        <f t="shared" si="10"/>
        <v>07-Servicio de formación en gestión del riesgo de incendios para el personal UAECOB 002_Servicio de educación informal</v>
      </c>
      <c r="Z181" s="221" t="str">
        <f t="shared" si="11"/>
        <v>O23011745032024025507002</v>
      </c>
      <c r="AA181" s="221" t="str">
        <f>IFERROR(VLOOKUP(Y181,TD!$K$47:$L$65,2,0)," ")</f>
        <v>PM/0131/0107/45030020255</v>
      </c>
      <c r="AB181" s="53" t="s">
        <v>138</v>
      </c>
      <c r="AC181" s="223" t="s">
        <v>204</v>
      </c>
    </row>
    <row r="182" spans="2:29" s="28" customFormat="1" ht="99" customHeight="1" x14ac:dyDescent="0.35">
      <c r="B182" s="77">
        <v>20250123</v>
      </c>
      <c r="C182" s="50" t="s">
        <v>209</v>
      </c>
      <c r="D182" s="218" t="s">
        <v>165</v>
      </c>
      <c r="E182" s="219" t="s">
        <v>486</v>
      </c>
      <c r="F182" s="218" t="s">
        <v>429</v>
      </c>
      <c r="G182" s="218" t="s">
        <v>156</v>
      </c>
      <c r="H182" s="93">
        <v>80111600</v>
      </c>
      <c r="I182" s="220">
        <v>3</v>
      </c>
      <c r="J182" s="220">
        <v>10</v>
      </c>
      <c r="K182" s="52">
        <v>0</v>
      </c>
      <c r="L182" s="53">
        <f>84368000-10416590-1951410</f>
        <v>72000000</v>
      </c>
      <c r="M182" s="218" t="s">
        <v>465</v>
      </c>
      <c r="N182" s="53" t="s">
        <v>113</v>
      </c>
      <c r="O182" s="219" t="s">
        <v>229</v>
      </c>
      <c r="P182" s="221" t="str">
        <f>IFERROR(VLOOKUP(C182,TD!$B$33:$F$37,2,0)," ")</f>
        <v>O230117</v>
      </c>
      <c r="Q182" s="221" t="str">
        <f>IFERROR(VLOOKUP(C182,TD!$B$33:$F$37,3,0)," ")</f>
        <v>4503</v>
      </c>
      <c r="R182" s="221">
        <f>IFERROR(VLOOKUP(C182,TD!$B$33:$F$37,4,0)," ")</f>
        <v>20240255</v>
      </c>
      <c r="S182" s="219" t="s">
        <v>183</v>
      </c>
      <c r="T182" s="221" t="str">
        <f>IFERROR(VLOOKUP(S182,TD!$J$34:$K$44,2,0)," ")</f>
        <v>Servicio de formación en gestión del riesgo de incendios para el personal UAECOB</v>
      </c>
      <c r="U182" s="222" t="str">
        <f t="shared" si="8"/>
        <v>07-Servicio de formación en gestión del riesgo de incendios para el personal UAECOB</v>
      </c>
      <c r="V182" s="219" t="s">
        <v>233</v>
      </c>
      <c r="W182" s="221" t="str">
        <f>IFERROR(VLOOKUP(V182,TD!$N$34:$O$46,2,0)," ")</f>
        <v>Servicio de educación informal</v>
      </c>
      <c r="X182" s="222" t="str">
        <f t="shared" si="9"/>
        <v>002_Servicio de educación informal</v>
      </c>
      <c r="Y182" s="222" t="str">
        <f t="shared" si="10"/>
        <v>07-Servicio de formación en gestión del riesgo de incendios para el personal UAECOB 002_Servicio de educación informal</v>
      </c>
      <c r="Z182" s="221" t="str">
        <f t="shared" si="11"/>
        <v>O23011745032024025507002</v>
      </c>
      <c r="AA182" s="221" t="str">
        <f>IFERROR(VLOOKUP(Y182,TD!$K$47:$L$65,2,0)," ")</f>
        <v>PM/0131/0107/45030020255</v>
      </c>
      <c r="AB182" s="53" t="s">
        <v>138</v>
      </c>
      <c r="AC182" s="223" t="s">
        <v>204</v>
      </c>
    </row>
    <row r="183" spans="2:29" s="28" customFormat="1" ht="99" customHeight="1" x14ac:dyDescent="0.35">
      <c r="B183" s="77">
        <v>20250124</v>
      </c>
      <c r="C183" s="50" t="s">
        <v>209</v>
      </c>
      <c r="D183" s="218" t="s">
        <v>165</v>
      </c>
      <c r="E183" s="219" t="s">
        <v>486</v>
      </c>
      <c r="F183" s="218" t="s">
        <v>1013</v>
      </c>
      <c r="G183" s="218" t="s">
        <v>155</v>
      </c>
      <c r="H183" s="93">
        <v>80111600</v>
      </c>
      <c r="I183" s="220">
        <v>3</v>
      </c>
      <c r="J183" s="220">
        <v>10</v>
      </c>
      <c r="K183" s="52">
        <v>0</v>
      </c>
      <c r="L183" s="53">
        <f>68549000-29063490-12185510+13650000-13650000</f>
        <v>27300000</v>
      </c>
      <c r="M183" s="218" t="s">
        <v>465</v>
      </c>
      <c r="N183" s="53" t="s">
        <v>113</v>
      </c>
      <c r="O183" s="219" t="s">
        <v>229</v>
      </c>
      <c r="P183" s="221" t="str">
        <f>IFERROR(VLOOKUP(C183,TD!$B$33:$F$37,2,0)," ")</f>
        <v>O230117</v>
      </c>
      <c r="Q183" s="221" t="str">
        <f>IFERROR(VLOOKUP(C183,TD!$B$33:$F$37,3,0)," ")</f>
        <v>4503</v>
      </c>
      <c r="R183" s="221">
        <f>IFERROR(VLOOKUP(C183,TD!$B$33:$F$37,4,0)," ")</f>
        <v>20240255</v>
      </c>
      <c r="S183" s="219" t="s">
        <v>183</v>
      </c>
      <c r="T183" s="221" t="str">
        <f>IFERROR(VLOOKUP(S183,TD!$J$34:$K$44,2,0)," ")</f>
        <v>Servicio de formación en gestión del riesgo de incendios para el personal UAECOB</v>
      </c>
      <c r="U183" s="222" t="str">
        <f t="shared" si="8"/>
        <v>07-Servicio de formación en gestión del riesgo de incendios para el personal UAECOB</v>
      </c>
      <c r="V183" s="219" t="s">
        <v>233</v>
      </c>
      <c r="W183" s="221" t="str">
        <f>IFERROR(VLOOKUP(V183,TD!$N$34:$O$46,2,0)," ")</f>
        <v>Servicio de educación informal</v>
      </c>
      <c r="X183" s="222" t="str">
        <f t="shared" si="9"/>
        <v>002_Servicio de educación informal</v>
      </c>
      <c r="Y183" s="222" t="str">
        <f t="shared" si="10"/>
        <v>07-Servicio de formación en gestión del riesgo de incendios para el personal UAECOB 002_Servicio de educación informal</v>
      </c>
      <c r="Z183" s="221" t="str">
        <f t="shared" si="11"/>
        <v>O23011745032024025507002</v>
      </c>
      <c r="AA183" s="221" t="str">
        <f>IFERROR(VLOOKUP(Y183,TD!$K$47:$L$65,2,0)," ")</f>
        <v>PM/0131/0107/45030020255</v>
      </c>
      <c r="AB183" s="128" t="s">
        <v>120</v>
      </c>
      <c r="AC183" s="223" t="s">
        <v>204</v>
      </c>
    </row>
    <row r="184" spans="2:29" s="28" customFormat="1" ht="99" customHeight="1" x14ac:dyDescent="0.35">
      <c r="B184" s="77">
        <v>20250125</v>
      </c>
      <c r="C184" s="50" t="s">
        <v>209</v>
      </c>
      <c r="D184" s="218" t="s">
        <v>165</v>
      </c>
      <c r="E184" s="219" t="s">
        <v>486</v>
      </c>
      <c r="F184" s="218" t="s">
        <v>723</v>
      </c>
      <c r="G184" s="218" t="s">
        <v>155</v>
      </c>
      <c r="H184" s="93">
        <v>80111600</v>
      </c>
      <c r="I184" s="220">
        <v>2</v>
      </c>
      <c r="J184" s="220">
        <v>11</v>
      </c>
      <c r="K184" s="52">
        <v>0</v>
      </c>
      <c r="L184" s="53">
        <f>59163060+3836940</f>
        <v>63000000</v>
      </c>
      <c r="M184" s="218" t="s">
        <v>465</v>
      </c>
      <c r="N184" s="53" t="s">
        <v>113</v>
      </c>
      <c r="O184" s="219" t="s">
        <v>229</v>
      </c>
      <c r="P184" s="221" t="str">
        <f>IFERROR(VLOOKUP(C184,TD!$B$33:$F$37,2,0)," ")</f>
        <v>O230117</v>
      </c>
      <c r="Q184" s="221" t="str">
        <f>IFERROR(VLOOKUP(C184,TD!$B$33:$F$37,3,0)," ")</f>
        <v>4503</v>
      </c>
      <c r="R184" s="221">
        <f>IFERROR(VLOOKUP(C184,TD!$B$33:$F$37,4,0)," ")</f>
        <v>20240255</v>
      </c>
      <c r="S184" s="219" t="s">
        <v>183</v>
      </c>
      <c r="T184" s="221" t="str">
        <f>IFERROR(VLOOKUP(S184,TD!$J$34:$K$44,2,0)," ")</f>
        <v>Servicio de formación en gestión del riesgo de incendios para el personal UAECOB</v>
      </c>
      <c r="U184" s="222" t="str">
        <f t="shared" si="8"/>
        <v>07-Servicio de formación en gestión del riesgo de incendios para el personal UAECOB</v>
      </c>
      <c r="V184" s="219" t="s">
        <v>233</v>
      </c>
      <c r="W184" s="221" t="str">
        <f>IFERROR(VLOOKUP(V184,TD!$N$34:$O$46,2,0)," ")</f>
        <v>Servicio de educación informal</v>
      </c>
      <c r="X184" s="222" t="str">
        <f t="shared" si="9"/>
        <v>002_Servicio de educación informal</v>
      </c>
      <c r="Y184" s="222" t="str">
        <f t="shared" si="10"/>
        <v>07-Servicio de formación en gestión del riesgo de incendios para el personal UAECOB 002_Servicio de educación informal</v>
      </c>
      <c r="Z184" s="221" t="str">
        <f t="shared" si="11"/>
        <v>O23011745032024025507002</v>
      </c>
      <c r="AA184" s="221" t="str">
        <f>IFERROR(VLOOKUP(Y184,TD!$K$47:$L$65,2,0)," ")</f>
        <v>PM/0131/0107/45030020255</v>
      </c>
      <c r="AB184" s="53" t="s">
        <v>138</v>
      </c>
      <c r="AC184" s="223" t="s">
        <v>204</v>
      </c>
    </row>
    <row r="185" spans="2:29" s="28" customFormat="1" ht="99" customHeight="1" x14ac:dyDescent="0.35">
      <c r="B185" s="77">
        <v>20250126</v>
      </c>
      <c r="C185" s="50" t="s">
        <v>209</v>
      </c>
      <c r="D185" s="218" t="s">
        <v>165</v>
      </c>
      <c r="E185" s="219" t="s">
        <v>486</v>
      </c>
      <c r="F185" s="218" t="s">
        <v>433</v>
      </c>
      <c r="G185" s="218" t="s">
        <v>155</v>
      </c>
      <c r="H185" s="93">
        <v>80111600</v>
      </c>
      <c r="I185" s="220">
        <v>3</v>
      </c>
      <c r="J185" s="220">
        <v>10</v>
      </c>
      <c r="K185" s="52">
        <v>0</v>
      </c>
      <c r="L185" s="53">
        <f>68549000-13949000</f>
        <v>54600000</v>
      </c>
      <c r="M185" s="218" t="s">
        <v>465</v>
      </c>
      <c r="N185" s="53" t="s">
        <v>113</v>
      </c>
      <c r="O185" s="219" t="s">
        <v>229</v>
      </c>
      <c r="P185" s="221" t="str">
        <f>IFERROR(VLOOKUP(C185,TD!$B$33:$F$37,2,0)," ")</f>
        <v>O230117</v>
      </c>
      <c r="Q185" s="221" t="str">
        <f>IFERROR(VLOOKUP(C185,TD!$B$33:$F$37,3,0)," ")</f>
        <v>4503</v>
      </c>
      <c r="R185" s="221">
        <f>IFERROR(VLOOKUP(C185,TD!$B$33:$F$37,4,0)," ")</f>
        <v>20240255</v>
      </c>
      <c r="S185" s="219" t="s">
        <v>183</v>
      </c>
      <c r="T185" s="221" t="str">
        <f>IFERROR(VLOOKUP(S185,TD!$J$34:$K$44,2,0)," ")</f>
        <v>Servicio de formación en gestión del riesgo de incendios para el personal UAECOB</v>
      </c>
      <c r="U185" s="222" t="str">
        <f t="shared" si="8"/>
        <v>07-Servicio de formación en gestión del riesgo de incendios para el personal UAECOB</v>
      </c>
      <c r="V185" s="219" t="s">
        <v>233</v>
      </c>
      <c r="W185" s="221" t="str">
        <f>IFERROR(VLOOKUP(V185,TD!$N$34:$O$46,2,0)," ")</f>
        <v>Servicio de educación informal</v>
      </c>
      <c r="X185" s="222" t="str">
        <f t="shared" si="9"/>
        <v>002_Servicio de educación informal</v>
      </c>
      <c r="Y185" s="222" t="str">
        <f t="shared" si="10"/>
        <v>07-Servicio de formación en gestión del riesgo de incendios para el personal UAECOB 002_Servicio de educación informal</v>
      </c>
      <c r="Z185" s="221" t="str">
        <f t="shared" si="11"/>
        <v>O23011745032024025507002</v>
      </c>
      <c r="AA185" s="221" t="str">
        <f>IFERROR(VLOOKUP(Y185,TD!$K$47:$L$65,2,0)," ")</f>
        <v>PM/0131/0107/45030020255</v>
      </c>
      <c r="AB185" s="53" t="s">
        <v>138</v>
      </c>
      <c r="AC185" s="223" t="s">
        <v>204</v>
      </c>
    </row>
    <row r="186" spans="2:29" s="28" customFormat="1" ht="99" customHeight="1" x14ac:dyDescent="0.35">
      <c r="B186" s="77">
        <v>20250127</v>
      </c>
      <c r="C186" s="50" t="s">
        <v>209</v>
      </c>
      <c r="D186" s="218" t="s">
        <v>165</v>
      </c>
      <c r="E186" s="219" t="s">
        <v>486</v>
      </c>
      <c r="F186" s="218" t="s">
        <v>434</v>
      </c>
      <c r="G186" s="218" t="s">
        <v>155</v>
      </c>
      <c r="H186" s="93">
        <v>80111600</v>
      </c>
      <c r="I186" s="220">
        <v>3</v>
      </c>
      <c r="J186" s="220">
        <v>10</v>
      </c>
      <c r="K186" s="52">
        <v>0</v>
      </c>
      <c r="L186" s="53">
        <f>57697166-17610266-2711900</f>
        <v>37375000</v>
      </c>
      <c r="M186" s="218" t="s">
        <v>465</v>
      </c>
      <c r="N186" s="53" t="s">
        <v>113</v>
      </c>
      <c r="O186" s="219" t="s">
        <v>229</v>
      </c>
      <c r="P186" s="221" t="str">
        <f>IFERROR(VLOOKUP(C186,TD!$B$33:$F$37,2,0)," ")</f>
        <v>O230117</v>
      </c>
      <c r="Q186" s="221" t="str">
        <f>IFERROR(VLOOKUP(C186,TD!$B$33:$F$37,3,0)," ")</f>
        <v>4503</v>
      </c>
      <c r="R186" s="221">
        <f>IFERROR(VLOOKUP(C186,TD!$B$33:$F$37,4,0)," ")</f>
        <v>20240255</v>
      </c>
      <c r="S186" s="219" t="s">
        <v>183</v>
      </c>
      <c r="T186" s="221" t="str">
        <f>IFERROR(VLOOKUP(S186,TD!$J$34:$K$44,2,0)," ")</f>
        <v>Servicio de formación en gestión del riesgo de incendios para el personal UAECOB</v>
      </c>
      <c r="U186" s="222" t="str">
        <f t="shared" si="8"/>
        <v>07-Servicio de formación en gestión del riesgo de incendios para el personal UAECOB</v>
      </c>
      <c r="V186" s="219" t="s">
        <v>233</v>
      </c>
      <c r="W186" s="221" t="str">
        <f>IFERROR(VLOOKUP(V186,TD!$N$34:$O$46,2,0)," ")</f>
        <v>Servicio de educación informal</v>
      </c>
      <c r="X186" s="222" t="str">
        <f t="shared" si="9"/>
        <v>002_Servicio de educación informal</v>
      </c>
      <c r="Y186" s="222" t="str">
        <f t="shared" si="10"/>
        <v>07-Servicio de formación en gestión del riesgo de incendios para el personal UAECOB 002_Servicio de educación informal</v>
      </c>
      <c r="Z186" s="221" t="str">
        <f t="shared" si="11"/>
        <v>O23011745032024025507002</v>
      </c>
      <c r="AA186" s="221" t="str">
        <f>IFERROR(VLOOKUP(Y186,TD!$K$47:$L$65,2,0)," ")</f>
        <v>PM/0131/0107/45030020255</v>
      </c>
      <c r="AB186" s="53" t="s">
        <v>138</v>
      </c>
      <c r="AC186" s="223" t="s">
        <v>204</v>
      </c>
    </row>
    <row r="187" spans="2:29" s="28" customFormat="1" ht="99" customHeight="1" x14ac:dyDescent="0.35">
      <c r="B187" s="77">
        <v>20250128</v>
      </c>
      <c r="C187" s="50" t="s">
        <v>209</v>
      </c>
      <c r="D187" s="218" t="s">
        <v>165</v>
      </c>
      <c r="E187" s="219" t="s">
        <v>486</v>
      </c>
      <c r="F187" s="218" t="s">
        <v>434</v>
      </c>
      <c r="G187" s="218" t="s">
        <v>155</v>
      </c>
      <c r="H187" s="93">
        <v>80111600</v>
      </c>
      <c r="I187" s="220">
        <v>3</v>
      </c>
      <c r="J187" s="220">
        <v>10</v>
      </c>
      <c r="K187" s="52">
        <v>0</v>
      </c>
      <c r="L187" s="53">
        <f>57697166-1255224-7613267-11453675</f>
        <v>37375000</v>
      </c>
      <c r="M187" s="218" t="s">
        <v>465</v>
      </c>
      <c r="N187" s="53" t="s">
        <v>113</v>
      </c>
      <c r="O187" s="219" t="s">
        <v>229</v>
      </c>
      <c r="P187" s="221" t="str">
        <f>IFERROR(VLOOKUP(C187,TD!$B$33:$F$37,2,0)," ")</f>
        <v>O230117</v>
      </c>
      <c r="Q187" s="221" t="str">
        <f>IFERROR(VLOOKUP(C187,TD!$B$33:$F$37,3,0)," ")</f>
        <v>4503</v>
      </c>
      <c r="R187" s="221">
        <f>IFERROR(VLOOKUP(C187,TD!$B$33:$F$37,4,0)," ")</f>
        <v>20240255</v>
      </c>
      <c r="S187" s="219" t="s">
        <v>183</v>
      </c>
      <c r="T187" s="221" t="str">
        <f>IFERROR(VLOOKUP(S187,TD!$J$34:$K$44,2,0)," ")</f>
        <v>Servicio de formación en gestión del riesgo de incendios para el personal UAECOB</v>
      </c>
      <c r="U187" s="222" t="str">
        <f t="shared" si="8"/>
        <v>07-Servicio de formación en gestión del riesgo de incendios para el personal UAECOB</v>
      </c>
      <c r="V187" s="219" t="s">
        <v>233</v>
      </c>
      <c r="W187" s="221" t="str">
        <f>IFERROR(VLOOKUP(V187,TD!$N$34:$O$46,2,0)," ")</f>
        <v>Servicio de educación informal</v>
      </c>
      <c r="X187" s="222" t="str">
        <f t="shared" si="9"/>
        <v>002_Servicio de educación informal</v>
      </c>
      <c r="Y187" s="222" t="str">
        <f t="shared" si="10"/>
        <v>07-Servicio de formación en gestión del riesgo de incendios para el personal UAECOB 002_Servicio de educación informal</v>
      </c>
      <c r="Z187" s="221" t="str">
        <f t="shared" si="11"/>
        <v>O23011745032024025507002</v>
      </c>
      <c r="AA187" s="221" t="str">
        <f>IFERROR(VLOOKUP(Y187,TD!$K$47:$L$65,2,0)," ")</f>
        <v>PM/0131/0107/45030020255</v>
      </c>
      <c r="AB187" s="53" t="s">
        <v>138</v>
      </c>
      <c r="AC187" s="223" t="s">
        <v>204</v>
      </c>
    </row>
    <row r="188" spans="2:29" s="28" customFormat="1" ht="99" customHeight="1" x14ac:dyDescent="0.35">
      <c r="B188" s="77">
        <v>20250129</v>
      </c>
      <c r="C188" s="50" t="s">
        <v>209</v>
      </c>
      <c r="D188" s="218" t="s">
        <v>165</v>
      </c>
      <c r="E188" s="219" t="s">
        <v>486</v>
      </c>
      <c r="F188" s="218" t="s">
        <v>435</v>
      </c>
      <c r="G188" s="218" t="s">
        <v>155</v>
      </c>
      <c r="H188" s="93">
        <v>80111600</v>
      </c>
      <c r="I188" s="220">
        <v>4</v>
      </c>
      <c r="J188" s="220">
        <v>9</v>
      </c>
      <c r="K188" s="52">
        <v>0</v>
      </c>
      <c r="L188" s="53">
        <f>75931200-12931200</f>
        <v>63000000</v>
      </c>
      <c r="M188" s="218" t="s">
        <v>465</v>
      </c>
      <c r="N188" s="53" t="s">
        <v>113</v>
      </c>
      <c r="O188" s="219" t="s">
        <v>229</v>
      </c>
      <c r="P188" s="221" t="str">
        <f>IFERROR(VLOOKUP(C188,TD!$B$33:$F$37,2,0)," ")</f>
        <v>O230117</v>
      </c>
      <c r="Q188" s="221" t="str">
        <f>IFERROR(VLOOKUP(C188,TD!$B$33:$F$37,3,0)," ")</f>
        <v>4503</v>
      </c>
      <c r="R188" s="221">
        <f>IFERROR(VLOOKUP(C188,TD!$B$33:$F$37,4,0)," ")</f>
        <v>20240255</v>
      </c>
      <c r="S188" s="219" t="s">
        <v>183</v>
      </c>
      <c r="T188" s="221" t="str">
        <f>IFERROR(VLOOKUP(S188,TD!$J$34:$K$44,2,0)," ")</f>
        <v>Servicio de formación en gestión del riesgo de incendios para el personal UAECOB</v>
      </c>
      <c r="U188" s="222" t="str">
        <f t="shared" si="8"/>
        <v>07-Servicio de formación en gestión del riesgo de incendios para el personal UAECOB</v>
      </c>
      <c r="V188" s="219" t="s">
        <v>233</v>
      </c>
      <c r="W188" s="221" t="str">
        <f>IFERROR(VLOOKUP(V188,TD!$N$34:$O$46,2,0)," ")</f>
        <v>Servicio de educación informal</v>
      </c>
      <c r="X188" s="222" t="str">
        <f t="shared" si="9"/>
        <v>002_Servicio de educación informal</v>
      </c>
      <c r="Y188" s="222" t="str">
        <f t="shared" si="10"/>
        <v>07-Servicio de formación en gestión del riesgo de incendios para el personal UAECOB 002_Servicio de educación informal</v>
      </c>
      <c r="Z188" s="221" t="str">
        <f t="shared" si="11"/>
        <v>O23011745032024025507002</v>
      </c>
      <c r="AA188" s="221" t="str">
        <f>IFERROR(VLOOKUP(Y188,TD!$K$47:$L$65,2,0)," ")</f>
        <v>PM/0131/0107/45030020255</v>
      </c>
      <c r="AB188" s="128" t="s">
        <v>120</v>
      </c>
      <c r="AC188" s="223" t="s">
        <v>204</v>
      </c>
    </row>
    <row r="189" spans="2:29" s="28" customFormat="1" ht="99" customHeight="1" x14ac:dyDescent="0.35">
      <c r="B189" s="77">
        <v>20250130</v>
      </c>
      <c r="C189" s="50" t="s">
        <v>209</v>
      </c>
      <c r="D189" s="218" t="s">
        <v>165</v>
      </c>
      <c r="E189" s="219" t="s">
        <v>486</v>
      </c>
      <c r="F189" s="218" t="s">
        <v>487</v>
      </c>
      <c r="G189" s="218" t="s">
        <v>156</v>
      </c>
      <c r="H189" s="93">
        <v>80111600</v>
      </c>
      <c r="I189" s="220">
        <v>2</v>
      </c>
      <c r="J189" s="220">
        <v>11</v>
      </c>
      <c r="K189" s="52">
        <v>0</v>
      </c>
      <c r="L189" s="53">
        <f>30045554-2131554-1514000</f>
        <v>26400000</v>
      </c>
      <c r="M189" s="218" t="s">
        <v>465</v>
      </c>
      <c r="N189" s="53" t="s">
        <v>113</v>
      </c>
      <c r="O189" s="219" t="s">
        <v>229</v>
      </c>
      <c r="P189" s="221" t="str">
        <f>IFERROR(VLOOKUP(C189,TD!$B$33:$F$37,2,0)," ")</f>
        <v>O230117</v>
      </c>
      <c r="Q189" s="221" t="str">
        <f>IFERROR(VLOOKUP(C189,TD!$B$33:$F$37,3,0)," ")</f>
        <v>4503</v>
      </c>
      <c r="R189" s="221">
        <f>IFERROR(VLOOKUP(C189,TD!$B$33:$F$37,4,0)," ")</f>
        <v>20240255</v>
      </c>
      <c r="S189" s="219" t="s">
        <v>183</v>
      </c>
      <c r="T189" s="221" t="str">
        <f>IFERROR(VLOOKUP(S189,TD!$J$34:$K$44,2,0)," ")</f>
        <v>Servicio de formación en gestión del riesgo de incendios para el personal UAECOB</v>
      </c>
      <c r="U189" s="222" t="str">
        <f t="shared" si="8"/>
        <v>07-Servicio de formación en gestión del riesgo de incendios para el personal UAECOB</v>
      </c>
      <c r="V189" s="219" t="s">
        <v>233</v>
      </c>
      <c r="W189" s="221" t="str">
        <f>IFERROR(VLOOKUP(V189,TD!$N$34:$O$46,2,0)," ")</f>
        <v>Servicio de educación informal</v>
      </c>
      <c r="X189" s="222" t="str">
        <f t="shared" si="9"/>
        <v>002_Servicio de educación informal</v>
      </c>
      <c r="Y189" s="222" t="str">
        <f t="shared" si="10"/>
        <v>07-Servicio de formación en gestión del riesgo de incendios para el personal UAECOB 002_Servicio de educación informal</v>
      </c>
      <c r="Z189" s="221" t="str">
        <f t="shared" si="11"/>
        <v>O23011745032024025507002</v>
      </c>
      <c r="AA189" s="221" t="str">
        <f>IFERROR(VLOOKUP(Y189,TD!$K$47:$L$65,2,0)," ")</f>
        <v>PM/0131/0107/45030020255</v>
      </c>
      <c r="AB189" s="53" t="s">
        <v>138</v>
      </c>
      <c r="AC189" s="223" t="s">
        <v>204</v>
      </c>
    </row>
    <row r="190" spans="2:29" s="28" customFormat="1" ht="99" customHeight="1" x14ac:dyDescent="0.35">
      <c r="B190" s="77">
        <v>20250132</v>
      </c>
      <c r="C190" s="50" t="s">
        <v>209</v>
      </c>
      <c r="D190" s="218" t="s">
        <v>165</v>
      </c>
      <c r="E190" s="219" t="s">
        <v>486</v>
      </c>
      <c r="F190" s="218" t="s">
        <v>725</v>
      </c>
      <c r="G190" s="218" t="s">
        <v>155</v>
      </c>
      <c r="H190" s="93">
        <v>80111600</v>
      </c>
      <c r="I190" s="220">
        <v>2</v>
      </c>
      <c r="J190" s="220">
        <v>11</v>
      </c>
      <c r="K190" s="52">
        <v>0</v>
      </c>
      <c r="L190" s="53">
        <f>75403900-16427900-576000</f>
        <v>58400000</v>
      </c>
      <c r="M190" s="218" t="s">
        <v>465</v>
      </c>
      <c r="N190" s="53" t="s">
        <v>113</v>
      </c>
      <c r="O190" s="219" t="s">
        <v>229</v>
      </c>
      <c r="P190" s="221" t="str">
        <f>IFERROR(VLOOKUP(C190,TD!$B$33:$F$37,2,0)," ")</f>
        <v>O230117</v>
      </c>
      <c r="Q190" s="221" t="str">
        <f>IFERROR(VLOOKUP(C190,TD!$B$33:$F$37,3,0)," ")</f>
        <v>4503</v>
      </c>
      <c r="R190" s="221">
        <f>IFERROR(VLOOKUP(C190,TD!$B$33:$F$37,4,0)," ")</f>
        <v>20240255</v>
      </c>
      <c r="S190" s="219" t="s">
        <v>183</v>
      </c>
      <c r="T190" s="221" t="str">
        <f>IFERROR(VLOOKUP(S190,TD!$J$34:$K$44,2,0)," ")</f>
        <v>Servicio de formación en gestión del riesgo de incendios para el personal UAECOB</v>
      </c>
      <c r="U190" s="222" t="str">
        <f t="shared" si="8"/>
        <v>07-Servicio de formación en gestión del riesgo de incendios para el personal UAECOB</v>
      </c>
      <c r="V190" s="219" t="s">
        <v>233</v>
      </c>
      <c r="W190" s="221" t="str">
        <f>IFERROR(VLOOKUP(V190,TD!$N$34:$O$46,2,0)," ")</f>
        <v>Servicio de educación informal</v>
      </c>
      <c r="X190" s="222" t="str">
        <f t="shared" si="9"/>
        <v>002_Servicio de educación informal</v>
      </c>
      <c r="Y190" s="222" t="str">
        <f t="shared" si="10"/>
        <v>07-Servicio de formación en gestión del riesgo de incendios para el personal UAECOB 002_Servicio de educación informal</v>
      </c>
      <c r="Z190" s="221" t="str">
        <f t="shared" si="11"/>
        <v>O23011745032024025507002</v>
      </c>
      <c r="AA190" s="221" t="str">
        <f>IFERROR(VLOOKUP(Y190,TD!$K$47:$L$65,2,0)," ")</f>
        <v>PM/0131/0107/45030020255</v>
      </c>
      <c r="AB190" s="53" t="s">
        <v>138</v>
      </c>
      <c r="AC190" s="223" t="s">
        <v>204</v>
      </c>
    </row>
    <row r="191" spans="2:29" s="28" customFormat="1" ht="99" customHeight="1" x14ac:dyDescent="0.35">
      <c r="B191" s="77">
        <v>20250133</v>
      </c>
      <c r="C191" s="50" t="s">
        <v>209</v>
      </c>
      <c r="D191" s="218" t="s">
        <v>165</v>
      </c>
      <c r="E191" s="219" t="s">
        <v>486</v>
      </c>
      <c r="F191" s="218" t="s">
        <v>450</v>
      </c>
      <c r="G191" s="218" t="s">
        <v>155</v>
      </c>
      <c r="H191" s="93">
        <v>80111600</v>
      </c>
      <c r="I191" s="220">
        <v>3</v>
      </c>
      <c r="J191" s="220">
        <v>10</v>
      </c>
      <c r="K191" s="52">
        <v>0</v>
      </c>
      <c r="L191" s="53">
        <f>73822000-9413579-15408421</f>
        <v>49000000</v>
      </c>
      <c r="M191" s="218" t="s">
        <v>465</v>
      </c>
      <c r="N191" s="53" t="s">
        <v>113</v>
      </c>
      <c r="O191" s="219" t="s">
        <v>229</v>
      </c>
      <c r="P191" s="221" t="str">
        <f>IFERROR(VLOOKUP(C191,TD!$B$33:$F$37,2,0)," ")</f>
        <v>O230117</v>
      </c>
      <c r="Q191" s="221" t="str">
        <f>IFERROR(VLOOKUP(C191,TD!$B$33:$F$37,3,0)," ")</f>
        <v>4503</v>
      </c>
      <c r="R191" s="221">
        <f>IFERROR(VLOOKUP(C191,TD!$B$33:$F$37,4,0)," ")</f>
        <v>20240255</v>
      </c>
      <c r="S191" s="219" t="s">
        <v>183</v>
      </c>
      <c r="T191" s="221" t="str">
        <f>IFERROR(VLOOKUP(S191,TD!$J$34:$K$44,2,0)," ")</f>
        <v>Servicio de formación en gestión del riesgo de incendios para el personal UAECOB</v>
      </c>
      <c r="U191" s="222" t="str">
        <f t="shared" si="8"/>
        <v>07-Servicio de formación en gestión del riesgo de incendios para el personal UAECOB</v>
      </c>
      <c r="V191" s="219" t="s">
        <v>233</v>
      </c>
      <c r="W191" s="221" t="str">
        <f>IFERROR(VLOOKUP(V191,TD!$N$34:$O$46,2,0)," ")</f>
        <v>Servicio de educación informal</v>
      </c>
      <c r="X191" s="222" t="str">
        <f t="shared" si="9"/>
        <v>002_Servicio de educación informal</v>
      </c>
      <c r="Y191" s="222" t="str">
        <f t="shared" si="10"/>
        <v>07-Servicio de formación en gestión del riesgo de incendios para el personal UAECOB 002_Servicio de educación informal</v>
      </c>
      <c r="Z191" s="221" t="str">
        <f t="shared" si="11"/>
        <v>O23011745032024025507002</v>
      </c>
      <c r="AA191" s="221" t="str">
        <f>IFERROR(VLOOKUP(Y191,TD!$K$47:$L$65,2,0)," ")</f>
        <v>PM/0131/0107/45030020255</v>
      </c>
      <c r="AB191" s="53" t="s">
        <v>138</v>
      </c>
      <c r="AC191" s="223" t="s">
        <v>204</v>
      </c>
    </row>
    <row r="192" spans="2:29" s="28" customFormat="1" ht="99" customHeight="1" x14ac:dyDescent="0.35">
      <c r="B192" s="130">
        <v>20250135</v>
      </c>
      <c r="C192" s="132" t="s">
        <v>209</v>
      </c>
      <c r="D192" s="224" t="s">
        <v>165</v>
      </c>
      <c r="E192" s="225" t="s">
        <v>486</v>
      </c>
      <c r="F192" s="224" t="s">
        <v>1028</v>
      </c>
      <c r="G192" s="224" t="s">
        <v>155</v>
      </c>
      <c r="H192" s="133">
        <v>80111600</v>
      </c>
      <c r="I192" s="226">
        <v>3</v>
      </c>
      <c r="J192" s="226">
        <v>10</v>
      </c>
      <c r="K192" s="129">
        <v>0</v>
      </c>
      <c r="L192" s="128">
        <f>52730000-36570966-4492367+30000000</f>
        <v>41666667</v>
      </c>
      <c r="M192" s="224" t="s">
        <v>465</v>
      </c>
      <c r="N192" s="128" t="s">
        <v>113</v>
      </c>
      <c r="O192" s="225" t="s">
        <v>229</v>
      </c>
      <c r="P192" s="227" t="str">
        <f>IFERROR(VLOOKUP(C192,TD!$B$33:$F$37,2,0)," ")</f>
        <v>O230117</v>
      </c>
      <c r="Q192" s="227" t="str">
        <f>IFERROR(VLOOKUP(C192,TD!$B$33:$F$37,3,0)," ")</f>
        <v>4503</v>
      </c>
      <c r="R192" s="227">
        <f>IFERROR(VLOOKUP(C192,TD!$B$33:$F$37,4,0)," ")</f>
        <v>20240255</v>
      </c>
      <c r="S192" s="225" t="s">
        <v>183</v>
      </c>
      <c r="T192" s="227" t="str">
        <f>IFERROR(VLOOKUP(S192,TD!$J$34:$K$44,2,0)," ")</f>
        <v>Servicio de formación en gestión del riesgo de incendios para el personal UAECOB</v>
      </c>
      <c r="U192" s="222" t="str">
        <f t="shared" si="8"/>
        <v>07-Servicio de formación en gestión del riesgo de incendios para el personal UAECOB</v>
      </c>
      <c r="V192" s="225" t="s">
        <v>233</v>
      </c>
      <c r="W192" s="227" t="str">
        <f>IFERROR(VLOOKUP(V192,TD!$N$34:$O$46,2,0)," ")</f>
        <v>Servicio de educación informal</v>
      </c>
      <c r="X192" s="222" t="str">
        <f t="shared" si="9"/>
        <v>002_Servicio de educación informal</v>
      </c>
      <c r="Y192" s="222" t="str">
        <f t="shared" si="10"/>
        <v>07-Servicio de formación en gestión del riesgo de incendios para el personal UAECOB 002_Servicio de educación informal</v>
      </c>
      <c r="Z192" s="227" t="str">
        <f t="shared" si="11"/>
        <v>O23011745032024025507002</v>
      </c>
      <c r="AA192" s="227" t="str">
        <f>IFERROR(VLOOKUP(Y192,TD!$K$47:$L$65,2,0)," ")</f>
        <v>PM/0131/0107/45030020255</v>
      </c>
      <c r="AB192" s="53" t="s">
        <v>138</v>
      </c>
      <c r="AC192" s="228" t="s">
        <v>204</v>
      </c>
    </row>
    <row r="193" spans="2:29" s="28" customFormat="1" ht="99" customHeight="1" x14ac:dyDescent="0.35">
      <c r="B193" s="77">
        <v>20250136</v>
      </c>
      <c r="C193" s="50" t="s">
        <v>209</v>
      </c>
      <c r="D193" s="218" t="s">
        <v>165</v>
      </c>
      <c r="E193" s="219" t="s">
        <v>486</v>
      </c>
      <c r="F193" s="218" t="s">
        <v>452</v>
      </c>
      <c r="G193" s="218" t="s">
        <v>155</v>
      </c>
      <c r="H193" s="93">
        <v>80111600</v>
      </c>
      <c r="I193" s="220">
        <v>3</v>
      </c>
      <c r="J193" s="220">
        <v>10</v>
      </c>
      <c r="K193" s="52">
        <v>0</v>
      </c>
      <c r="L193" s="53">
        <f>58003000-19503000</f>
        <v>38500000</v>
      </c>
      <c r="M193" s="218" t="s">
        <v>465</v>
      </c>
      <c r="N193" s="53" t="s">
        <v>113</v>
      </c>
      <c r="O193" s="219" t="s">
        <v>229</v>
      </c>
      <c r="P193" s="221" t="str">
        <f>IFERROR(VLOOKUP(C193,TD!$B$33:$F$37,2,0)," ")</f>
        <v>O230117</v>
      </c>
      <c r="Q193" s="221" t="str">
        <f>IFERROR(VLOOKUP(C193,TD!$B$33:$F$37,3,0)," ")</f>
        <v>4503</v>
      </c>
      <c r="R193" s="221">
        <f>IFERROR(VLOOKUP(C193,TD!$B$33:$F$37,4,0)," ")</f>
        <v>20240255</v>
      </c>
      <c r="S193" s="219" t="s">
        <v>183</v>
      </c>
      <c r="T193" s="221" t="str">
        <f>IFERROR(VLOOKUP(S193,TD!$J$34:$K$44,2,0)," ")</f>
        <v>Servicio de formación en gestión del riesgo de incendios para el personal UAECOB</v>
      </c>
      <c r="U193" s="222" t="str">
        <f t="shared" si="8"/>
        <v>07-Servicio de formación en gestión del riesgo de incendios para el personal UAECOB</v>
      </c>
      <c r="V193" s="219" t="s">
        <v>233</v>
      </c>
      <c r="W193" s="221" t="str">
        <f>IFERROR(VLOOKUP(V193,TD!$N$34:$O$46,2,0)," ")</f>
        <v>Servicio de educación informal</v>
      </c>
      <c r="X193" s="222" t="str">
        <f t="shared" si="9"/>
        <v>002_Servicio de educación informal</v>
      </c>
      <c r="Y193" s="222" t="str">
        <f t="shared" si="10"/>
        <v>07-Servicio de formación en gestión del riesgo de incendios para el personal UAECOB 002_Servicio de educación informal</v>
      </c>
      <c r="Z193" s="221" t="str">
        <f t="shared" si="11"/>
        <v>O23011745032024025507002</v>
      </c>
      <c r="AA193" s="221" t="str">
        <f>IFERROR(VLOOKUP(Y193,TD!$K$47:$L$65,2,0)," ")</f>
        <v>PM/0131/0107/45030020255</v>
      </c>
      <c r="AB193" s="53" t="s">
        <v>138</v>
      </c>
      <c r="AC193" s="223" t="s">
        <v>204</v>
      </c>
    </row>
    <row r="194" spans="2:29" s="28" customFormat="1" ht="99" customHeight="1" x14ac:dyDescent="0.35">
      <c r="B194" s="77">
        <v>20250138</v>
      </c>
      <c r="C194" s="50" t="s">
        <v>209</v>
      </c>
      <c r="D194" s="218" t="s">
        <v>165</v>
      </c>
      <c r="E194" s="219" t="s">
        <v>486</v>
      </c>
      <c r="F194" s="218" t="s">
        <v>1015</v>
      </c>
      <c r="G194" s="218" t="s">
        <v>156</v>
      </c>
      <c r="H194" s="93">
        <v>80111600</v>
      </c>
      <c r="I194" s="220">
        <v>3</v>
      </c>
      <c r="J194" s="220">
        <v>10</v>
      </c>
      <c r="K194" s="52">
        <v>0</v>
      </c>
      <c r="L194" s="53">
        <f>32806497-19605807-400690</f>
        <v>12800000</v>
      </c>
      <c r="M194" s="218" t="s">
        <v>465</v>
      </c>
      <c r="N194" s="53" t="s">
        <v>113</v>
      </c>
      <c r="O194" s="219" t="s">
        <v>229</v>
      </c>
      <c r="P194" s="221" t="str">
        <f>IFERROR(VLOOKUP(C194,TD!$B$33:$F$37,2,0)," ")</f>
        <v>O230117</v>
      </c>
      <c r="Q194" s="221" t="str">
        <f>IFERROR(VLOOKUP(C194,TD!$B$33:$F$37,3,0)," ")</f>
        <v>4503</v>
      </c>
      <c r="R194" s="221">
        <f>IFERROR(VLOOKUP(C194,TD!$B$33:$F$37,4,0)," ")</f>
        <v>20240255</v>
      </c>
      <c r="S194" s="219" t="s">
        <v>183</v>
      </c>
      <c r="T194" s="221" t="str">
        <f>IFERROR(VLOOKUP(S194,TD!$J$34:$K$44,2,0)," ")</f>
        <v>Servicio de formación en gestión del riesgo de incendios para el personal UAECOB</v>
      </c>
      <c r="U194" s="222" t="str">
        <f t="shared" si="8"/>
        <v>07-Servicio de formación en gestión del riesgo de incendios para el personal UAECOB</v>
      </c>
      <c r="V194" s="219" t="s">
        <v>233</v>
      </c>
      <c r="W194" s="221" t="str">
        <f>IFERROR(VLOOKUP(V194,TD!$N$34:$O$46,2,0)," ")</f>
        <v>Servicio de educación informal</v>
      </c>
      <c r="X194" s="222" t="str">
        <f t="shared" si="9"/>
        <v>002_Servicio de educación informal</v>
      </c>
      <c r="Y194" s="222" t="str">
        <f t="shared" si="10"/>
        <v>07-Servicio de formación en gestión del riesgo de incendios para el personal UAECOB 002_Servicio de educación informal</v>
      </c>
      <c r="Z194" s="221" t="str">
        <f t="shared" si="11"/>
        <v>O23011745032024025507002</v>
      </c>
      <c r="AA194" s="221" t="str">
        <f>IFERROR(VLOOKUP(Y194,TD!$K$47:$L$65,2,0)," ")</f>
        <v>PM/0131/0107/45030020255</v>
      </c>
      <c r="AB194" s="53" t="s">
        <v>138</v>
      </c>
      <c r="AC194" s="223" t="s">
        <v>204</v>
      </c>
    </row>
    <row r="195" spans="2:29" s="28" customFormat="1" ht="99" customHeight="1" x14ac:dyDescent="0.35">
      <c r="B195" s="77">
        <v>20250139</v>
      </c>
      <c r="C195" s="50" t="s">
        <v>209</v>
      </c>
      <c r="D195" s="218" t="s">
        <v>165</v>
      </c>
      <c r="E195" s="219" t="s">
        <v>486</v>
      </c>
      <c r="F195" s="218" t="s">
        <v>455</v>
      </c>
      <c r="G195" s="218" t="s">
        <v>155</v>
      </c>
      <c r="H195" s="93">
        <v>80111600</v>
      </c>
      <c r="I195" s="220">
        <v>3</v>
      </c>
      <c r="J195" s="220">
        <v>10</v>
      </c>
      <c r="K195" s="52">
        <v>0</v>
      </c>
      <c r="L195" s="53">
        <f>57697166-17447166</f>
        <v>40250000</v>
      </c>
      <c r="M195" s="218" t="s">
        <v>465</v>
      </c>
      <c r="N195" s="53" t="s">
        <v>113</v>
      </c>
      <c r="O195" s="219" t="s">
        <v>229</v>
      </c>
      <c r="P195" s="221" t="str">
        <f>IFERROR(VLOOKUP(C195,TD!$B$33:$F$37,2,0)," ")</f>
        <v>O230117</v>
      </c>
      <c r="Q195" s="221" t="str">
        <f>IFERROR(VLOOKUP(C195,TD!$B$33:$F$37,3,0)," ")</f>
        <v>4503</v>
      </c>
      <c r="R195" s="221">
        <f>IFERROR(VLOOKUP(C195,TD!$B$33:$F$37,4,0)," ")</f>
        <v>20240255</v>
      </c>
      <c r="S195" s="219" t="s">
        <v>183</v>
      </c>
      <c r="T195" s="221" t="str">
        <f>IFERROR(VLOOKUP(S195,TD!$J$34:$K$44,2,0)," ")</f>
        <v>Servicio de formación en gestión del riesgo de incendios para el personal UAECOB</v>
      </c>
      <c r="U195" s="222" t="str">
        <f t="shared" si="8"/>
        <v>07-Servicio de formación en gestión del riesgo de incendios para el personal UAECOB</v>
      </c>
      <c r="V195" s="219" t="s">
        <v>233</v>
      </c>
      <c r="W195" s="221" t="str">
        <f>IFERROR(VLOOKUP(V195,TD!$N$34:$O$46,2,0)," ")</f>
        <v>Servicio de educación informal</v>
      </c>
      <c r="X195" s="222" t="str">
        <f t="shared" si="9"/>
        <v>002_Servicio de educación informal</v>
      </c>
      <c r="Y195" s="222" t="str">
        <f t="shared" si="10"/>
        <v>07-Servicio de formación en gestión del riesgo de incendios para el personal UAECOB 002_Servicio de educación informal</v>
      </c>
      <c r="Z195" s="221" t="str">
        <f t="shared" si="11"/>
        <v>O23011745032024025507002</v>
      </c>
      <c r="AA195" s="221" t="str">
        <f>IFERROR(VLOOKUP(Y195,TD!$K$47:$L$65,2,0)," ")</f>
        <v>PM/0131/0107/45030020255</v>
      </c>
      <c r="AB195" s="53" t="s">
        <v>138</v>
      </c>
      <c r="AC195" s="223" t="s">
        <v>204</v>
      </c>
    </row>
    <row r="196" spans="2:29" s="28" customFormat="1" ht="99" customHeight="1" x14ac:dyDescent="0.35">
      <c r="B196" s="130">
        <v>20250142</v>
      </c>
      <c r="C196" s="132" t="s">
        <v>209</v>
      </c>
      <c r="D196" s="224" t="s">
        <v>165</v>
      </c>
      <c r="E196" s="225" t="s">
        <v>486</v>
      </c>
      <c r="F196" s="224" t="s">
        <v>875</v>
      </c>
      <c r="G196" s="224" t="s">
        <v>96</v>
      </c>
      <c r="H196" s="133" t="s">
        <v>488</v>
      </c>
      <c r="I196" s="226">
        <v>9</v>
      </c>
      <c r="J196" s="226">
        <v>4</v>
      </c>
      <c r="K196" s="129">
        <v>0</v>
      </c>
      <c r="L196" s="128">
        <f>292000000-42000000-10000000</f>
        <v>240000000</v>
      </c>
      <c r="M196" s="224" t="s">
        <v>465</v>
      </c>
      <c r="N196" s="128" t="s">
        <v>90</v>
      </c>
      <c r="O196" s="225" t="s">
        <v>229</v>
      </c>
      <c r="P196" s="227" t="str">
        <f>IFERROR(VLOOKUP(C196,TD!$B$33:$F$37,2,0)," ")</f>
        <v>O230117</v>
      </c>
      <c r="Q196" s="227" t="str">
        <f>IFERROR(VLOOKUP(C196,TD!$B$33:$F$37,3,0)," ")</f>
        <v>4503</v>
      </c>
      <c r="R196" s="227">
        <f>IFERROR(VLOOKUP(C196,TD!$B$33:$F$37,4,0)," ")</f>
        <v>20240255</v>
      </c>
      <c r="S196" s="225" t="s">
        <v>183</v>
      </c>
      <c r="T196" s="227" t="str">
        <f>IFERROR(VLOOKUP(S196,TD!$J$34:$K$44,2,0)," ")</f>
        <v>Servicio de formación en gestión del riesgo de incendios para el personal UAECOB</v>
      </c>
      <c r="U196" s="222" t="str">
        <f t="shared" si="8"/>
        <v>07-Servicio de formación en gestión del riesgo de incendios para el personal UAECOB</v>
      </c>
      <c r="V196" s="225" t="s">
        <v>233</v>
      </c>
      <c r="W196" s="227" t="str">
        <f>IFERROR(VLOOKUP(V196,TD!$N$34:$O$46,2,0)," ")</f>
        <v>Servicio de educación informal</v>
      </c>
      <c r="X196" s="222" t="str">
        <f t="shared" si="9"/>
        <v>002_Servicio de educación informal</v>
      </c>
      <c r="Y196" s="222" t="str">
        <f t="shared" si="10"/>
        <v>07-Servicio de formación en gestión del riesgo de incendios para el personal UAECOB 002_Servicio de educación informal</v>
      </c>
      <c r="Z196" s="227" t="str">
        <f t="shared" si="11"/>
        <v>O23011745032024025507002</v>
      </c>
      <c r="AA196" s="227" t="str">
        <f>IFERROR(VLOOKUP(Y196,TD!$K$47:$L$65,2,0)," ")</f>
        <v>PM/0131/0107/45030020255</v>
      </c>
      <c r="AB196" s="53" t="s">
        <v>138</v>
      </c>
      <c r="AC196" s="228" t="s">
        <v>204</v>
      </c>
    </row>
    <row r="197" spans="2:29" s="28" customFormat="1" ht="99" customHeight="1" x14ac:dyDescent="0.35">
      <c r="B197" s="130">
        <v>20250143</v>
      </c>
      <c r="C197" s="132" t="s">
        <v>209</v>
      </c>
      <c r="D197" s="224" t="s">
        <v>165</v>
      </c>
      <c r="E197" s="225" t="s">
        <v>486</v>
      </c>
      <c r="F197" s="224" t="s">
        <v>923</v>
      </c>
      <c r="G197" s="224" t="s">
        <v>96</v>
      </c>
      <c r="H197" s="133" t="s">
        <v>489</v>
      </c>
      <c r="I197" s="226">
        <v>5</v>
      </c>
      <c r="J197" s="226">
        <v>4</v>
      </c>
      <c r="K197" s="129">
        <v>0</v>
      </c>
      <c r="L197" s="128">
        <f>98000000+22000000</f>
        <v>120000000</v>
      </c>
      <c r="M197" s="224" t="s">
        <v>465</v>
      </c>
      <c r="N197" s="128" t="s">
        <v>113</v>
      </c>
      <c r="O197" s="225" t="s">
        <v>229</v>
      </c>
      <c r="P197" s="227" t="str">
        <f>IFERROR(VLOOKUP(C197,TD!$B$33:$F$37,2,0)," ")</f>
        <v>O230117</v>
      </c>
      <c r="Q197" s="227" t="str">
        <f>IFERROR(VLOOKUP(C197,TD!$B$33:$F$37,3,0)," ")</f>
        <v>4503</v>
      </c>
      <c r="R197" s="227">
        <f>IFERROR(VLOOKUP(C197,TD!$B$33:$F$37,4,0)," ")</f>
        <v>20240255</v>
      </c>
      <c r="S197" s="225" t="s">
        <v>183</v>
      </c>
      <c r="T197" s="227" t="str">
        <f>IFERROR(VLOOKUP(S197,TD!$J$34:$K$44,2,0)," ")</f>
        <v>Servicio de formación en gestión del riesgo de incendios para el personal UAECOB</v>
      </c>
      <c r="U197" s="222" t="str">
        <f t="shared" si="8"/>
        <v>07-Servicio de formación en gestión del riesgo de incendios para el personal UAECOB</v>
      </c>
      <c r="V197" s="225" t="s">
        <v>233</v>
      </c>
      <c r="W197" s="227" t="str">
        <f>IFERROR(VLOOKUP(V197,TD!$N$34:$O$46,2,0)," ")</f>
        <v>Servicio de educación informal</v>
      </c>
      <c r="X197" s="222" t="str">
        <f t="shared" si="9"/>
        <v>002_Servicio de educación informal</v>
      </c>
      <c r="Y197" s="222" t="str">
        <f t="shared" si="10"/>
        <v>07-Servicio de formación en gestión del riesgo de incendios para el personal UAECOB 002_Servicio de educación informal</v>
      </c>
      <c r="Z197" s="227" t="str">
        <f t="shared" si="11"/>
        <v>O23011745032024025507002</v>
      </c>
      <c r="AA197" s="227" t="str">
        <f>IFERROR(VLOOKUP(Y197,TD!$K$47:$L$65,2,0)," ")</f>
        <v>PM/0131/0107/45030020255</v>
      </c>
      <c r="AB197" s="53" t="s">
        <v>138</v>
      </c>
      <c r="AC197" s="228" t="s">
        <v>204</v>
      </c>
    </row>
    <row r="198" spans="2:29" s="28" customFormat="1" ht="99" customHeight="1" x14ac:dyDescent="0.35">
      <c r="B198" s="77">
        <v>20250144</v>
      </c>
      <c r="C198" s="50" t="s">
        <v>209</v>
      </c>
      <c r="D198" s="218" t="s">
        <v>165</v>
      </c>
      <c r="E198" s="219" t="s">
        <v>486</v>
      </c>
      <c r="F198" s="218" t="s">
        <v>490</v>
      </c>
      <c r="G198" s="218" t="s">
        <v>133</v>
      </c>
      <c r="H198" s="93" t="s">
        <v>489</v>
      </c>
      <c r="I198" s="220">
        <v>9</v>
      </c>
      <c r="J198" s="220">
        <v>2</v>
      </c>
      <c r="K198" s="52">
        <v>0</v>
      </c>
      <c r="L198" s="53">
        <f>394652550-194652550</f>
        <v>200000000</v>
      </c>
      <c r="M198" s="218" t="s">
        <v>465</v>
      </c>
      <c r="N198" s="53" t="s">
        <v>90</v>
      </c>
      <c r="O198" s="219" t="s">
        <v>229</v>
      </c>
      <c r="P198" s="221" t="str">
        <f>IFERROR(VLOOKUP(C198,TD!$B$33:$F$37,2,0)," ")</f>
        <v>O230117</v>
      </c>
      <c r="Q198" s="221" t="str">
        <f>IFERROR(VLOOKUP(C198,TD!$B$33:$F$37,3,0)," ")</f>
        <v>4503</v>
      </c>
      <c r="R198" s="221">
        <f>IFERROR(VLOOKUP(C198,TD!$B$33:$F$37,4,0)," ")</f>
        <v>20240255</v>
      </c>
      <c r="S198" s="219" t="s">
        <v>183</v>
      </c>
      <c r="T198" s="221" t="str">
        <f>IFERROR(VLOOKUP(S198,TD!$J$34:$K$44,2,0)," ")</f>
        <v>Servicio de formación en gestión del riesgo de incendios para el personal UAECOB</v>
      </c>
      <c r="U198" s="222" t="str">
        <f t="shared" si="8"/>
        <v>07-Servicio de formación en gestión del riesgo de incendios para el personal UAECOB</v>
      </c>
      <c r="V198" s="219" t="s">
        <v>233</v>
      </c>
      <c r="W198" s="221" t="str">
        <f>IFERROR(VLOOKUP(V198,TD!$N$34:$O$46,2,0)," ")</f>
        <v>Servicio de educación informal</v>
      </c>
      <c r="X198" s="222" t="str">
        <f t="shared" si="9"/>
        <v>002_Servicio de educación informal</v>
      </c>
      <c r="Y198" s="222" t="str">
        <f t="shared" si="10"/>
        <v>07-Servicio de formación en gestión del riesgo de incendios para el personal UAECOB 002_Servicio de educación informal</v>
      </c>
      <c r="Z198" s="221" t="str">
        <f t="shared" si="11"/>
        <v>O23011745032024025507002</v>
      </c>
      <c r="AA198" s="221" t="str">
        <f>IFERROR(VLOOKUP(Y198,TD!$K$47:$L$65,2,0)," ")</f>
        <v>PM/0131/0107/45030020255</v>
      </c>
      <c r="AB198" s="53" t="s">
        <v>138</v>
      </c>
      <c r="AC198" s="223" t="s">
        <v>204</v>
      </c>
    </row>
    <row r="199" spans="2:29" s="28" customFormat="1" ht="99" customHeight="1" x14ac:dyDescent="0.35">
      <c r="B199" s="130">
        <v>20250145</v>
      </c>
      <c r="C199" s="132" t="s">
        <v>209</v>
      </c>
      <c r="D199" s="224" t="s">
        <v>165</v>
      </c>
      <c r="E199" s="225" t="s">
        <v>486</v>
      </c>
      <c r="F199" s="224" t="s">
        <v>990</v>
      </c>
      <c r="G199" s="224" t="s">
        <v>109</v>
      </c>
      <c r="H199" s="133" t="s">
        <v>991</v>
      </c>
      <c r="I199" s="226">
        <v>4</v>
      </c>
      <c r="J199" s="226">
        <v>4</v>
      </c>
      <c r="K199" s="129">
        <v>0</v>
      </c>
      <c r="L199" s="128">
        <f>150000000-50000000</f>
        <v>100000000</v>
      </c>
      <c r="M199" s="224" t="s">
        <v>465</v>
      </c>
      <c r="N199" s="128" t="s">
        <v>90</v>
      </c>
      <c r="O199" s="225" t="s">
        <v>229</v>
      </c>
      <c r="P199" s="227" t="str">
        <f>IFERROR(VLOOKUP(C199,TD!$B$33:$F$37,2,0)," ")</f>
        <v>O230117</v>
      </c>
      <c r="Q199" s="227" t="str">
        <f>IFERROR(VLOOKUP(C199,TD!$B$33:$F$37,3,0)," ")</f>
        <v>4503</v>
      </c>
      <c r="R199" s="227">
        <f>IFERROR(VLOOKUP(C199,TD!$B$33:$F$37,4,0)," ")</f>
        <v>20240255</v>
      </c>
      <c r="S199" s="225" t="s">
        <v>183</v>
      </c>
      <c r="T199" s="227" t="str">
        <f>IFERROR(VLOOKUP(S199,TD!$J$34:$K$44,2,0)," ")</f>
        <v>Servicio de formación en gestión del riesgo de incendios para el personal UAECOB</v>
      </c>
      <c r="U199" s="222" t="str">
        <f t="shared" si="8"/>
        <v>07-Servicio de formación en gestión del riesgo de incendios para el personal UAECOB</v>
      </c>
      <c r="V199" s="225" t="s">
        <v>233</v>
      </c>
      <c r="W199" s="227" t="str">
        <f>IFERROR(VLOOKUP(V199,TD!$N$34:$O$46,2,0)," ")</f>
        <v>Servicio de educación informal</v>
      </c>
      <c r="X199" s="222" t="str">
        <f t="shared" si="9"/>
        <v>002_Servicio de educación informal</v>
      </c>
      <c r="Y199" s="222" t="str">
        <f t="shared" si="10"/>
        <v>07-Servicio de formación en gestión del riesgo de incendios para el personal UAECOB 002_Servicio de educación informal</v>
      </c>
      <c r="Z199" s="227" t="str">
        <f t="shared" si="11"/>
        <v>O23011745032024025507002</v>
      </c>
      <c r="AA199" s="227" t="str">
        <f>IFERROR(VLOOKUP(Y199,TD!$K$47:$L$65,2,0)," ")</f>
        <v>PM/0131/0107/45030020255</v>
      </c>
      <c r="AB199" s="53" t="s">
        <v>138</v>
      </c>
      <c r="AC199" s="228" t="s">
        <v>204</v>
      </c>
    </row>
    <row r="200" spans="2:29" s="28" customFormat="1" ht="99" customHeight="1" x14ac:dyDescent="0.35">
      <c r="B200" s="77">
        <v>20250146</v>
      </c>
      <c r="C200" s="50" t="s">
        <v>209</v>
      </c>
      <c r="D200" s="218" t="s">
        <v>165</v>
      </c>
      <c r="E200" s="219" t="s">
        <v>486</v>
      </c>
      <c r="F200" s="218" t="s">
        <v>912</v>
      </c>
      <c r="G200" s="218" t="s">
        <v>109</v>
      </c>
      <c r="H200" s="93" t="s">
        <v>924</v>
      </c>
      <c r="I200" s="220">
        <v>7</v>
      </c>
      <c r="J200" s="220">
        <v>2</v>
      </c>
      <c r="K200" s="52">
        <v>0</v>
      </c>
      <c r="L200" s="53">
        <f>30000000+20000000</f>
        <v>50000000</v>
      </c>
      <c r="M200" s="218" t="s">
        <v>465</v>
      </c>
      <c r="N200" s="53" t="s">
        <v>100</v>
      </c>
      <c r="O200" s="219" t="s">
        <v>229</v>
      </c>
      <c r="P200" s="221" t="str">
        <f>IFERROR(VLOOKUP(C200,TD!$B$33:$F$37,2,0)," ")</f>
        <v>O230117</v>
      </c>
      <c r="Q200" s="221" t="str">
        <f>IFERROR(VLOOKUP(C200,TD!$B$33:$F$37,3,0)," ")</f>
        <v>4503</v>
      </c>
      <c r="R200" s="221">
        <f>IFERROR(VLOOKUP(C200,TD!$B$33:$F$37,4,0)," ")</f>
        <v>20240255</v>
      </c>
      <c r="S200" s="219" t="s">
        <v>183</v>
      </c>
      <c r="T200" s="221" t="str">
        <f>IFERROR(VLOOKUP(S200,TD!$J$34:$K$44,2,0)," ")</f>
        <v>Servicio de formación en gestión del riesgo de incendios para el personal UAECOB</v>
      </c>
      <c r="U200" s="222" t="str">
        <f t="shared" si="8"/>
        <v>07-Servicio de formación en gestión del riesgo de incendios para el personal UAECOB</v>
      </c>
      <c r="V200" s="219" t="s">
        <v>233</v>
      </c>
      <c r="W200" s="221" t="str">
        <f>IFERROR(VLOOKUP(V200,TD!$N$34:$O$46,2,0)," ")</f>
        <v>Servicio de educación informal</v>
      </c>
      <c r="X200" s="222" t="str">
        <f t="shared" si="9"/>
        <v>002_Servicio de educación informal</v>
      </c>
      <c r="Y200" s="222" t="str">
        <f t="shared" si="10"/>
        <v>07-Servicio de formación en gestión del riesgo de incendios para el personal UAECOB 002_Servicio de educación informal</v>
      </c>
      <c r="Z200" s="221" t="str">
        <f t="shared" si="11"/>
        <v>O23011745032024025507002</v>
      </c>
      <c r="AA200" s="221" t="str">
        <f>IFERROR(VLOOKUP(Y200,TD!$K$47:$L$65,2,0)," ")</f>
        <v>PM/0131/0107/45030020255</v>
      </c>
      <c r="AB200" s="53" t="s">
        <v>138</v>
      </c>
      <c r="AC200" s="223" t="s">
        <v>204</v>
      </c>
    </row>
    <row r="201" spans="2:29" s="28" customFormat="1" ht="99" customHeight="1" x14ac:dyDescent="0.35">
      <c r="B201" s="130">
        <v>20250147</v>
      </c>
      <c r="C201" s="132" t="s">
        <v>209</v>
      </c>
      <c r="D201" s="224" t="s">
        <v>165</v>
      </c>
      <c r="E201" s="225" t="s">
        <v>486</v>
      </c>
      <c r="F201" s="224" t="s">
        <v>876</v>
      </c>
      <c r="G201" s="224" t="s">
        <v>109</v>
      </c>
      <c r="H201" s="133" t="s">
        <v>988</v>
      </c>
      <c r="I201" s="226">
        <v>6</v>
      </c>
      <c r="J201" s="226">
        <v>4</v>
      </c>
      <c r="K201" s="129">
        <v>0</v>
      </c>
      <c r="L201" s="128">
        <v>30000000</v>
      </c>
      <c r="M201" s="224" t="s">
        <v>465</v>
      </c>
      <c r="N201" s="128" t="s">
        <v>100</v>
      </c>
      <c r="O201" s="225" t="s">
        <v>229</v>
      </c>
      <c r="P201" s="227" t="str">
        <f>IFERROR(VLOOKUP(C201,TD!$B$33:$F$37,2,0)," ")</f>
        <v>O230117</v>
      </c>
      <c r="Q201" s="227" t="str">
        <f>IFERROR(VLOOKUP(C201,TD!$B$33:$F$37,3,0)," ")</f>
        <v>4503</v>
      </c>
      <c r="R201" s="227">
        <f>IFERROR(VLOOKUP(C201,TD!$B$33:$F$37,4,0)," ")</f>
        <v>20240255</v>
      </c>
      <c r="S201" s="225" t="s">
        <v>183</v>
      </c>
      <c r="T201" s="227" t="str">
        <f>IFERROR(VLOOKUP(S201,TD!$J$34:$K$44,2,0)," ")</f>
        <v>Servicio de formación en gestión del riesgo de incendios para el personal UAECOB</v>
      </c>
      <c r="U201" s="222" t="str">
        <f t="shared" si="8"/>
        <v>07-Servicio de formación en gestión del riesgo de incendios para el personal UAECOB</v>
      </c>
      <c r="V201" s="225" t="s">
        <v>233</v>
      </c>
      <c r="W201" s="227" t="str">
        <f>IFERROR(VLOOKUP(V201,TD!$N$34:$O$46,2,0)," ")</f>
        <v>Servicio de educación informal</v>
      </c>
      <c r="X201" s="222" t="str">
        <f t="shared" si="9"/>
        <v>002_Servicio de educación informal</v>
      </c>
      <c r="Y201" s="222" t="str">
        <f t="shared" si="10"/>
        <v>07-Servicio de formación en gestión del riesgo de incendios para el personal UAECOB 002_Servicio de educación informal</v>
      </c>
      <c r="Z201" s="227" t="str">
        <f t="shared" si="11"/>
        <v>O23011745032024025507002</v>
      </c>
      <c r="AA201" s="227" t="str">
        <f>IFERROR(VLOOKUP(Y201,TD!$K$47:$L$65,2,0)," ")</f>
        <v>PM/0131/0107/45030020255</v>
      </c>
      <c r="AB201" s="53" t="s">
        <v>138</v>
      </c>
      <c r="AC201" s="228" t="s">
        <v>204</v>
      </c>
    </row>
    <row r="202" spans="2:29" s="28" customFormat="1" ht="99" customHeight="1" x14ac:dyDescent="0.35">
      <c r="B202" s="130">
        <v>20250148</v>
      </c>
      <c r="C202" s="132" t="s">
        <v>209</v>
      </c>
      <c r="D202" s="224" t="s">
        <v>165</v>
      </c>
      <c r="E202" s="225" t="s">
        <v>486</v>
      </c>
      <c r="F202" s="224" t="s">
        <v>989</v>
      </c>
      <c r="G202" s="224" t="s">
        <v>119</v>
      </c>
      <c r="H202" s="133" t="s">
        <v>491</v>
      </c>
      <c r="I202" s="226">
        <v>4</v>
      </c>
      <c r="J202" s="226">
        <v>4</v>
      </c>
      <c r="K202" s="129">
        <v>0</v>
      </c>
      <c r="L202" s="128">
        <f>80000000+30000000</f>
        <v>110000000</v>
      </c>
      <c r="M202" s="224" t="s">
        <v>465</v>
      </c>
      <c r="N202" s="128" t="s">
        <v>123</v>
      </c>
      <c r="O202" s="225" t="s">
        <v>229</v>
      </c>
      <c r="P202" s="227" t="str">
        <f>IFERROR(VLOOKUP(C202,TD!$B$33:$F$37,2,0)," ")</f>
        <v>O230117</v>
      </c>
      <c r="Q202" s="227" t="str">
        <f>IFERROR(VLOOKUP(C202,TD!$B$33:$F$37,3,0)," ")</f>
        <v>4503</v>
      </c>
      <c r="R202" s="227">
        <f>IFERROR(VLOOKUP(C202,TD!$B$33:$F$37,4,0)," ")</f>
        <v>20240255</v>
      </c>
      <c r="S202" s="225" t="s">
        <v>183</v>
      </c>
      <c r="T202" s="227" t="str">
        <f>IFERROR(VLOOKUP(S202,TD!$J$34:$K$44,2,0)," ")</f>
        <v>Servicio de formación en gestión del riesgo de incendios para el personal UAECOB</v>
      </c>
      <c r="U202" s="222" t="str">
        <f t="shared" si="8"/>
        <v>07-Servicio de formación en gestión del riesgo de incendios para el personal UAECOB</v>
      </c>
      <c r="V202" s="225" t="s">
        <v>233</v>
      </c>
      <c r="W202" s="227" t="str">
        <f>IFERROR(VLOOKUP(V202,TD!$N$34:$O$46,2,0)," ")</f>
        <v>Servicio de educación informal</v>
      </c>
      <c r="X202" s="222" t="str">
        <f t="shared" si="9"/>
        <v>002_Servicio de educación informal</v>
      </c>
      <c r="Y202" s="222" t="str">
        <f t="shared" si="10"/>
        <v>07-Servicio de formación en gestión del riesgo de incendios para el personal UAECOB 002_Servicio de educación informal</v>
      </c>
      <c r="Z202" s="227" t="str">
        <f t="shared" si="11"/>
        <v>O23011745032024025507002</v>
      </c>
      <c r="AA202" s="227" t="str">
        <f>IFERROR(VLOOKUP(Y202,TD!$K$47:$L$65,2,0)," ")</f>
        <v>PM/0131/0107/45030020255</v>
      </c>
      <c r="AB202" s="53" t="s">
        <v>138</v>
      </c>
      <c r="AC202" s="228" t="s">
        <v>204</v>
      </c>
    </row>
    <row r="203" spans="2:29" s="28" customFormat="1" ht="99" customHeight="1" x14ac:dyDescent="0.35">
      <c r="B203" s="130">
        <v>20250149</v>
      </c>
      <c r="C203" s="132" t="s">
        <v>209</v>
      </c>
      <c r="D203" s="224" t="s">
        <v>165</v>
      </c>
      <c r="E203" s="225" t="s">
        <v>486</v>
      </c>
      <c r="F203" s="224" t="s">
        <v>1008</v>
      </c>
      <c r="G203" s="224" t="s">
        <v>155</v>
      </c>
      <c r="H203" s="133">
        <v>80111600</v>
      </c>
      <c r="I203" s="226">
        <v>5</v>
      </c>
      <c r="J203" s="226">
        <v>4</v>
      </c>
      <c r="K203" s="129">
        <v>0</v>
      </c>
      <c r="L203" s="128">
        <v>36458000</v>
      </c>
      <c r="M203" s="224" t="s">
        <v>465</v>
      </c>
      <c r="N203" s="128" t="s">
        <v>113</v>
      </c>
      <c r="O203" s="225" t="s">
        <v>229</v>
      </c>
      <c r="P203" s="227" t="str">
        <f>IFERROR(VLOOKUP(C203,TD!$B$33:$F$37,2,0)," ")</f>
        <v>O230117</v>
      </c>
      <c r="Q203" s="227" t="str">
        <f>IFERROR(VLOOKUP(C203,TD!$B$33:$F$37,3,0)," ")</f>
        <v>4503</v>
      </c>
      <c r="R203" s="227">
        <f>IFERROR(VLOOKUP(C203,TD!$B$33:$F$37,4,0)," ")</f>
        <v>20240255</v>
      </c>
      <c r="S203" s="225" t="s">
        <v>183</v>
      </c>
      <c r="T203" s="227" t="str">
        <f>IFERROR(VLOOKUP(S203,TD!$J$34:$K$44,2,0)," ")</f>
        <v>Servicio de formación en gestión del riesgo de incendios para el personal UAECOB</v>
      </c>
      <c r="U203" s="222" t="str">
        <f t="shared" si="8"/>
        <v>07-Servicio de formación en gestión del riesgo de incendios para el personal UAECOB</v>
      </c>
      <c r="V203" s="225" t="s">
        <v>233</v>
      </c>
      <c r="W203" s="227" t="str">
        <f>IFERROR(VLOOKUP(V203,TD!$N$34:$O$46,2,0)," ")</f>
        <v>Servicio de educación informal</v>
      </c>
      <c r="X203" s="222" t="str">
        <f t="shared" si="9"/>
        <v>002_Servicio de educación informal</v>
      </c>
      <c r="Y203" s="222" t="str">
        <f t="shared" si="10"/>
        <v>07-Servicio de formación en gestión del riesgo de incendios para el personal UAECOB 002_Servicio de educación informal</v>
      </c>
      <c r="Z203" s="227" t="str">
        <f t="shared" si="11"/>
        <v>O23011745032024025507002</v>
      </c>
      <c r="AA203" s="227" t="str">
        <f>IFERROR(VLOOKUP(Y203,TD!$K$47:$L$65,2,0)," ")</f>
        <v>PM/0131/0107/45030020255</v>
      </c>
      <c r="AB203" s="53" t="s">
        <v>138</v>
      </c>
      <c r="AC203" s="228" t="s">
        <v>204</v>
      </c>
    </row>
    <row r="204" spans="2:29" s="28" customFormat="1" ht="99" customHeight="1" x14ac:dyDescent="0.35">
      <c r="B204" s="77">
        <v>20250150</v>
      </c>
      <c r="C204" s="50" t="s">
        <v>209</v>
      </c>
      <c r="D204" s="218" t="s">
        <v>165</v>
      </c>
      <c r="E204" s="219" t="s">
        <v>486</v>
      </c>
      <c r="F204" s="218" t="s">
        <v>391</v>
      </c>
      <c r="G204" s="218" t="s">
        <v>96</v>
      </c>
      <c r="H204" s="93">
        <v>90121800</v>
      </c>
      <c r="I204" s="220">
        <v>2</v>
      </c>
      <c r="J204" s="220">
        <v>11</v>
      </c>
      <c r="K204" s="52">
        <v>0</v>
      </c>
      <c r="L204" s="53">
        <f>50000000+70000000</f>
        <v>120000000</v>
      </c>
      <c r="M204" s="218" t="s">
        <v>465</v>
      </c>
      <c r="N204" s="53" t="s">
        <v>113</v>
      </c>
      <c r="O204" s="219" t="s">
        <v>229</v>
      </c>
      <c r="P204" s="221" t="str">
        <f>IFERROR(VLOOKUP(C204,TD!$B$33:$F$37,2,0)," ")</f>
        <v>O230117</v>
      </c>
      <c r="Q204" s="221" t="str">
        <f>IFERROR(VLOOKUP(C204,TD!$B$33:$F$37,3,0)," ")</f>
        <v>4503</v>
      </c>
      <c r="R204" s="221">
        <f>IFERROR(VLOOKUP(C204,TD!$B$33:$F$37,4,0)," ")</f>
        <v>20240255</v>
      </c>
      <c r="S204" s="219" t="s">
        <v>183</v>
      </c>
      <c r="T204" s="221" t="str">
        <f>IFERROR(VLOOKUP(S204,TD!$J$34:$K$44,2,0)," ")</f>
        <v>Servicio de formación en gestión del riesgo de incendios para el personal UAECOB</v>
      </c>
      <c r="U204" s="222" t="str">
        <f t="shared" ref="U204:U267" si="12">CONCATENATE(S204,"-",T204)</f>
        <v>07-Servicio de formación en gestión del riesgo de incendios para el personal UAECOB</v>
      </c>
      <c r="V204" s="219" t="s">
        <v>233</v>
      </c>
      <c r="W204" s="221" t="str">
        <f>IFERROR(VLOOKUP(V204,TD!$N$34:$O$46,2,0)," ")</f>
        <v>Servicio de educación informal</v>
      </c>
      <c r="X204" s="222" t="str">
        <f t="shared" ref="X204:X267" si="13">CONCATENATE(V204,"_",W204)</f>
        <v>002_Servicio de educación informal</v>
      </c>
      <c r="Y204" s="222" t="str">
        <f t="shared" ref="Y204:Y267" si="14">CONCATENATE(U204," ",X204)</f>
        <v>07-Servicio de formación en gestión del riesgo de incendios para el personal UAECOB 002_Servicio de educación informal</v>
      </c>
      <c r="Z204" s="221" t="str">
        <f t="shared" ref="Z204:Z267" si="15">CONCATENATE(P204,Q204,R204,S204,V204)</f>
        <v>O23011745032024025507002</v>
      </c>
      <c r="AA204" s="221" t="str">
        <f>IFERROR(VLOOKUP(Y204,TD!$K$47:$L$65,2,0)," ")</f>
        <v>PM/0131/0107/45030020255</v>
      </c>
      <c r="AB204" s="53" t="s">
        <v>138</v>
      </c>
      <c r="AC204" s="223" t="s">
        <v>204</v>
      </c>
    </row>
    <row r="205" spans="2:29" s="28" customFormat="1" ht="99" customHeight="1" x14ac:dyDescent="0.35">
      <c r="B205" s="77">
        <v>20250151</v>
      </c>
      <c r="C205" s="50" t="s">
        <v>209</v>
      </c>
      <c r="D205" s="218" t="s">
        <v>165</v>
      </c>
      <c r="E205" s="219" t="s">
        <v>486</v>
      </c>
      <c r="F205" s="218" t="s">
        <v>390</v>
      </c>
      <c r="G205" s="218" t="s">
        <v>96</v>
      </c>
      <c r="H205" s="93">
        <v>90121800</v>
      </c>
      <c r="I205" s="220">
        <v>2</v>
      </c>
      <c r="J205" s="220">
        <v>11</v>
      </c>
      <c r="K205" s="52">
        <v>0</v>
      </c>
      <c r="L205" s="53">
        <f>150000000+70000000</f>
        <v>220000000</v>
      </c>
      <c r="M205" s="218" t="s">
        <v>465</v>
      </c>
      <c r="N205" s="53" t="s">
        <v>113</v>
      </c>
      <c r="O205" s="219" t="s">
        <v>229</v>
      </c>
      <c r="P205" s="221" t="str">
        <f>IFERROR(VLOOKUP(C205,TD!$B$33:$F$37,2,0)," ")</f>
        <v>O230117</v>
      </c>
      <c r="Q205" s="221" t="str">
        <f>IFERROR(VLOOKUP(C205,TD!$B$33:$F$37,3,0)," ")</f>
        <v>4503</v>
      </c>
      <c r="R205" s="221">
        <f>IFERROR(VLOOKUP(C205,TD!$B$33:$F$37,4,0)," ")</f>
        <v>20240255</v>
      </c>
      <c r="S205" s="219" t="s">
        <v>183</v>
      </c>
      <c r="T205" s="221" t="str">
        <f>IFERROR(VLOOKUP(S205,TD!$J$34:$K$44,2,0)," ")</f>
        <v>Servicio de formación en gestión del riesgo de incendios para el personal UAECOB</v>
      </c>
      <c r="U205" s="222" t="str">
        <f t="shared" si="12"/>
        <v>07-Servicio de formación en gestión del riesgo de incendios para el personal UAECOB</v>
      </c>
      <c r="V205" s="219" t="s">
        <v>233</v>
      </c>
      <c r="W205" s="221" t="str">
        <f>IFERROR(VLOOKUP(V205,TD!$N$34:$O$46,2,0)," ")</f>
        <v>Servicio de educación informal</v>
      </c>
      <c r="X205" s="222" t="str">
        <f t="shared" si="13"/>
        <v>002_Servicio de educación informal</v>
      </c>
      <c r="Y205" s="222" t="str">
        <f t="shared" si="14"/>
        <v>07-Servicio de formación en gestión del riesgo de incendios para el personal UAECOB 002_Servicio de educación informal</v>
      </c>
      <c r="Z205" s="221" t="str">
        <f t="shared" si="15"/>
        <v>O23011745032024025507002</v>
      </c>
      <c r="AA205" s="221" t="str">
        <f>IFERROR(VLOOKUP(Y205,TD!$K$47:$L$65,2,0)," ")</f>
        <v>PM/0131/0107/45030020255</v>
      </c>
      <c r="AB205" s="53" t="s">
        <v>138</v>
      </c>
      <c r="AC205" s="223" t="s">
        <v>204</v>
      </c>
    </row>
    <row r="206" spans="2:29" s="28" customFormat="1" ht="99" customHeight="1" x14ac:dyDescent="0.35">
      <c r="B206" s="77">
        <v>20250152</v>
      </c>
      <c r="C206" s="50" t="s">
        <v>346</v>
      </c>
      <c r="D206" s="218" t="s">
        <v>165</v>
      </c>
      <c r="E206" s="219" t="s">
        <v>486</v>
      </c>
      <c r="F206" s="218" t="s">
        <v>877</v>
      </c>
      <c r="G206" s="218" t="s">
        <v>96</v>
      </c>
      <c r="H206" s="93" t="s">
        <v>420</v>
      </c>
      <c r="I206" s="220">
        <v>3</v>
      </c>
      <c r="J206" s="220">
        <v>9</v>
      </c>
      <c r="K206" s="52">
        <v>0</v>
      </c>
      <c r="L206" s="53">
        <f>750000000+50000000+2388000</f>
        <v>802388000</v>
      </c>
      <c r="M206" s="218" t="s">
        <v>172</v>
      </c>
      <c r="N206" s="53" t="s">
        <v>90</v>
      </c>
      <c r="O206" s="219" t="s">
        <v>347</v>
      </c>
      <c r="P206" s="221" t="str">
        <f>IFERROR(VLOOKUP(C206,TD!$B$33:$F$37,2,0)," ")</f>
        <v>NA</v>
      </c>
      <c r="Q206" s="221" t="str">
        <f>IFERROR(VLOOKUP(C206,TD!$B$33:$F$37,3,0)," ")</f>
        <v>NA</v>
      </c>
      <c r="R206" s="221" t="str">
        <f>IFERROR(VLOOKUP(C206,TD!$B$33:$F$37,4,0)," ")</f>
        <v>NA</v>
      </c>
      <c r="S206" s="219" t="s">
        <v>406</v>
      </c>
      <c r="T206" s="221" t="str">
        <f>IFERROR(VLOOKUP(S206,TD!$J$34:$K$44,2,0)," ")</f>
        <v>N/A</v>
      </c>
      <c r="U206" s="222" t="str">
        <f t="shared" si="12"/>
        <v>N/A-N/A</v>
      </c>
      <c r="V206" s="219" t="s">
        <v>406</v>
      </c>
      <c r="W206" s="221" t="str">
        <f>IFERROR(VLOOKUP(V206,TD!$N$34:$O$46,2,0)," ")</f>
        <v>N/A</v>
      </c>
      <c r="X206" s="222" t="str">
        <f t="shared" si="13"/>
        <v>N/A_N/A</v>
      </c>
      <c r="Y206" s="222" t="str">
        <f t="shared" si="14"/>
        <v>N/A-N/A N/A_N/A</v>
      </c>
      <c r="Z206" s="221" t="str">
        <f t="shared" si="15"/>
        <v>NANANAN/AN/A</v>
      </c>
      <c r="AA206" s="221" t="str">
        <f>IFERROR(VLOOKUP(Y206,TD!$K$47:$L$65,2,0)," ")</f>
        <v>N/A</v>
      </c>
      <c r="AB206" s="53" t="s">
        <v>348</v>
      </c>
      <c r="AC206" s="223" t="s">
        <v>204</v>
      </c>
    </row>
    <row r="207" spans="2:29" s="28" customFormat="1" ht="99" customHeight="1" x14ac:dyDescent="0.35">
      <c r="B207" s="77">
        <v>20250153</v>
      </c>
      <c r="C207" s="50" t="s">
        <v>346</v>
      </c>
      <c r="D207" s="218" t="s">
        <v>165</v>
      </c>
      <c r="E207" s="219" t="s">
        <v>486</v>
      </c>
      <c r="F207" s="218" t="s">
        <v>492</v>
      </c>
      <c r="G207" s="218" t="s">
        <v>137</v>
      </c>
      <c r="H207" s="93" t="s">
        <v>406</v>
      </c>
      <c r="I207" s="220">
        <v>9</v>
      </c>
      <c r="J207" s="220">
        <v>9</v>
      </c>
      <c r="K207" s="52">
        <v>0</v>
      </c>
      <c r="L207" s="53">
        <v>179741000</v>
      </c>
      <c r="M207" s="218" t="s">
        <v>172</v>
      </c>
      <c r="N207" s="53" t="s">
        <v>128</v>
      </c>
      <c r="O207" s="219" t="s">
        <v>347</v>
      </c>
      <c r="P207" s="221" t="str">
        <f>IFERROR(VLOOKUP(C207,TD!$B$33:$F$37,2,0)," ")</f>
        <v>NA</v>
      </c>
      <c r="Q207" s="221" t="str">
        <f>IFERROR(VLOOKUP(C207,TD!$B$33:$F$37,3,0)," ")</f>
        <v>NA</v>
      </c>
      <c r="R207" s="221" t="str">
        <f>IFERROR(VLOOKUP(C207,TD!$B$33:$F$37,4,0)," ")</f>
        <v>NA</v>
      </c>
      <c r="S207" s="219" t="s">
        <v>406</v>
      </c>
      <c r="T207" s="221" t="str">
        <f>IFERROR(VLOOKUP(S207,TD!$J$34:$K$44,2,0)," ")</f>
        <v>N/A</v>
      </c>
      <c r="U207" s="222" t="str">
        <f t="shared" si="12"/>
        <v>N/A-N/A</v>
      </c>
      <c r="V207" s="219" t="s">
        <v>406</v>
      </c>
      <c r="W207" s="221" t="str">
        <f>IFERROR(VLOOKUP(V207,TD!$N$34:$O$46,2,0)," ")</f>
        <v>N/A</v>
      </c>
      <c r="X207" s="222" t="str">
        <f t="shared" si="13"/>
        <v>N/A_N/A</v>
      </c>
      <c r="Y207" s="222" t="str">
        <f t="shared" si="14"/>
        <v>N/A-N/A N/A_N/A</v>
      </c>
      <c r="Z207" s="221" t="str">
        <f t="shared" si="15"/>
        <v>NANANAN/AN/A</v>
      </c>
      <c r="AA207" s="221" t="str">
        <f>IFERROR(VLOOKUP(Y207,TD!$K$47:$L$65,2,0)," ")</f>
        <v>N/A</v>
      </c>
      <c r="AB207" s="128" t="s">
        <v>348</v>
      </c>
      <c r="AC207" s="223" t="s">
        <v>204</v>
      </c>
    </row>
    <row r="208" spans="2:29" s="28" customFormat="1" ht="99" customHeight="1" x14ac:dyDescent="0.35">
      <c r="B208" s="77">
        <v>20250154</v>
      </c>
      <c r="C208" s="50" t="s">
        <v>346</v>
      </c>
      <c r="D208" s="218" t="s">
        <v>165</v>
      </c>
      <c r="E208" s="219" t="s">
        <v>486</v>
      </c>
      <c r="F208" s="218" t="s">
        <v>878</v>
      </c>
      <c r="G208" s="218" t="s">
        <v>96</v>
      </c>
      <c r="H208" s="93" t="s">
        <v>442</v>
      </c>
      <c r="I208" s="220">
        <v>3</v>
      </c>
      <c r="J208" s="220">
        <v>8</v>
      </c>
      <c r="K208" s="52">
        <v>0</v>
      </c>
      <c r="L208" s="53">
        <v>1620259000</v>
      </c>
      <c r="M208" s="218" t="s">
        <v>172</v>
      </c>
      <c r="N208" s="53" t="s">
        <v>113</v>
      </c>
      <c r="O208" s="219" t="s">
        <v>347</v>
      </c>
      <c r="P208" s="221" t="str">
        <f>IFERROR(VLOOKUP(C208,TD!$B$33:$F$37,2,0)," ")</f>
        <v>NA</v>
      </c>
      <c r="Q208" s="221" t="str">
        <f>IFERROR(VLOOKUP(C208,TD!$B$33:$F$37,3,0)," ")</f>
        <v>NA</v>
      </c>
      <c r="R208" s="221" t="str">
        <f>IFERROR(VLOOKUP(C208,TD!$B$33:$F$37,4,0)," ")</f>
        <v>NA</v>
      </c>
      <c r="S208" s="219" t="s">
        <v>406</v>
      </c>
      <c r="T208" s="221" t="str">
        <f>IFERROR(VLOOKUP(S208,TD!$J$34:$K$44,2,0)," ")</f>
        <v>N/A</v>
      </c>
      <c r="U208" s="222" t="str">
        <f t="shared" si="12"/>
        <v>N/A-N/A</v>
      </c>
      <c r="V208" s="219" t="s">
        <v>406</v>
      </c>
      <c r="W208" s="221" t="str">
        <f>IFERROR(VLOOKUP(V208,TD!$N$34:$O$46,2,0)," ")</f>
        <v>N/A</v>
      </c>
      <c r="X208" s="222" t="str">
        <f t="shared" si="13"/>
        <v>N/A_N/A</v>
      </c>
      <c r="Y208" s="222" t="str">
        <f t="shared" si="14"/>
        <v>N/A-N/A N/A_N/A</v>
      </c>
      <c r="Z208" s="221" t="str">
        <f t="shared" si="15"/>
        <v>NANANAN/AN/A</v>
      </c>
      <c r="AA208" s="221" t="str">
        <f>IFERROR(VLOOKUP(Y208,TD!$K$47:$L$65,2,0)," ")</f>
        <v>N/A</v>
      </c>
      <c r="AB208" s="53" t="s">
        <v>348</v>
      </c>
      <c r="AC208" s="223" t="s">
        <v>204</v>
      </c>
    </row>
    <row r="209" spans="2:29" s="28" customFormat="1" ht="99" customHeight="1" x14ac:dyDescent="0.35">
      <c r="B209" s="77">
        <v>20250155</v>
      </c>
      <c r="C209" s="50" t="s">
        <v>346</v>
      </c>
      <c r="D209" s="218" t="s">
        <v>165</v>
      </c>
      <c r="E209" s="219" t="s">
        <v>486</v>
      </c>
      <c r="F209" s="218" t="s">
        <v>879</v>
      </c>
      <c r="G209" s="218" t="s">
        <v>96</v>
      </c>
      <c r="H209" s="93" t="s">
        <v>421</v>
      </c>
      <c r="I209" s="220">
        <v>3</v>
      </c>
      <c r="J209" s="220">
        <v>4</v>
      </c>
      <c r="K209" s="52">
        <v>0</v>
      </c>
      <c r="L209" s="53">
        <f>61199000-50000000</f>
        <v>11199000</v>
      </c>
      <c r="M209" s="218" t="s">
        <v>172</v>
      </c>
      <c r="N209" s="53" t="s">
        <v>100</v>
      </c>
      <c r="O209" s="219" t="s">
        <v>347</v>
      </c>
      <c r="P209" s="221" t="str">
        <f>IFERROR(VLOOKUP(C209,TD!$B$33:$F$37,2,0)," ")</f>
        <v>NA</v>
      </c>
      <c r="Q209" s="221" t="str">
        <f>IFERROR(VLOOKUP(C209,TD!$B$33:$F$37,3,0)," ")</f>
        <v>NA</v>
      </c>
      <c r="R209" s="221" t="str">
        <f>IFERROR(VLOOKUP(C209,TD!$B$33:$F$37,4,0)," ")</f>
        <v>NA</v>
      </c>
      <c r="S209" s="219" t="s">
        <v>406</v>
      </c>
      <c r="T209" s="221" t="str">
        <f>IFERROR(VLOOKUP(S209,TD!$J$34:$K$44,2,0)," ")</f>
        <v>N/A</v>
      </c>
      <c r="U209" s="222" t="str">
        <f t="shared" si="12"/>
        <v>N/A-N/A</v>
      </c>
      <c r="V209" s="219" t="s">
        <v>406</v>
      </c>
      <c r="W209" s="221" t="str">
        <f>IFERROR(VLOOKUP(V209,TD!$N$34:$O$46,2,0)," ")</f>
        <v>N/A</v>
      </c>
      <c r="X209" s="222" t="str">
        <f t="shared" si="13"/>
        <v>N/A_N/A</v>
      </c>
      <c r="Y209" s="222" t="str">
        <f t="shared" si="14"/>
        <v>N/A-N/A N/A_N/A</v>
      </c>
      <c r="Z209" s="221" t="str">
        <f t="shared" si="15"/>
        <v>NANANAN/AN/A</v>
      </c>
      <c r="AA209" s="221" t="str">
        <f>IFERROR(VLOOKUP(Y209,TD!$K$47:$L$65,2,0)," ")</f>
        <v>N/A</v>
      </c>
      <c r="AB209" s="53" t="s">
        <v>348</v>
      </c>
      <c r="AC209" s="223" t="s">
        <v>204</v>
      </c>
    </row>
    <row r="210" spans="2:29" s="28" customFormat="1" ht="99" customHeight="1" x14ac:dyDescent="0.35">
      <c r="B210" s="77">
        <v>20250156</v>
      </c>
      <c r="C210" s="50" t="s">
        <v>209</v>
      </c>
      <c r="D210" s="218" t="s">
        <v>168</v>
      </c>
      <c r="E210" s="219" t="s">
        <v>611</v>
      </c>
      <c r="F210" s="218" t="s">
        <v>972</v>
      </c>
      <c r="G210" s="218" t="s">
        <v>96</v>
      </c>
      <c r="H210" s="93">
        <v>25172500</v>
      </c>
      <c r="I210" s="220">
        <v>6</v>
      </c>
      <c r="J210" s="220">
        <v>12</v>
      </c>
      <c r="K210" s="52">
        <v>0</v>
      </c>
      <c r="L210" s="53">
        <v>95000000</v>
      </c>
      <c r="M210" s="218" t="s">
        <v>465</v>
      </c>
      <c r="N210" s="53" t="s">
        <v>95</v>
      </c>
      <c r="O210" s="219" t="s">
        <v>224</v>
      </c>
      <c r="P210" s="221" t="str">
        <f>IFERROR(VLOOKUP(C210,TD!$B$33:$F$37,2,0)," ")</f>
        <v>O230117</v>
      </c>
      <c r="Q210" s="221" t="str">
        <f>IFERROR(VLOOKUP(C210,TD!$B$33:$F$37,3,0)," ")</f>
        <v>4503</v>
      </c>
      <c r="R210" s="221">
        <f>IFERROR(VLOOKUP(C210,TD!$B$33:$F$37,4,0)," ")</f>
        <v>20240255</v>
      </c>
      <c r="S210" s="219" t="s">
        <v>187</v>
      </c>
      <c r="T210" s="221" t="str">
        <f>IFERROR(VLOOKUP(S210,TD!$J$34:$K$44,2,0)," ")</f>
        <v>Servicio de mantenimiento, dotación (HEA´s y equipo menor) y adquisición de vehiculos   especializados para la atención de emergencias.</v>
      </c>
      <c r="U210" s="222" t="str">
        <f t="shared" si="12"/>
        <v>09-Servicio de mantenimiento, dotación (HEA´s y equipo menor) y adquisición de vehiculos   especializados para la atención de emergencias.</v>
      </c>
      <c r="V210" s="219" t="s">
        <v>232</v>
      </c>
      <c r="W210" s="221" t="str">
        <f>IFERROR(VLOOKUP(V210,TD!$N$34:$O$46,2,0)," ")</f>
        <v>Servicio de atención a emergencias y desastres</v>
      </c>
      <c r="X210" s="222" t="str">
        <f t="shared" si="13"/>
        <v>004_Servicio de atención a emergencias y desastres</v>
      </c>
      <c r="Y210" s="222" t="str">
        <f t="shared" si="14"/>
        <v>09-Servicio de mantenimiento, dotación (HEA´s y equipo menor) y adquisición de vehiculos   especializados para la atención de emergencias. 004_Servicio de atención a emergencias y desastres</v>
      </c>
      <c r="Z210" s="221" t="str">
        <f t="shared" si="15"/>
        <v>O23011745032024025509004</v>
      </c>
      <c r="AA210" s="221" t="str">
        <f>IFERROR(VLOOKUP(Y210,TD!$K$47:$L$65,2,0)," ")</f>
        <v>PM/0131/0109/45030040255</v>
      </c>
      <c r="AB210" s="53" t="s">
        <v>87</v>
      </c>
      <c r="AC210" s="223" t="s">
        <v>204</v>
      </c>
    </row>
    <row r="211" spans="2:29" s="28" customFormat="1" ht="99" customHeight="1" x14ac:dyDescent="0.35">
      <c r="B211" s="77">
        <v>20250157</v>
      </c>
      <c r="C211" s="50" t="s">
        <v>209</v>
      </c>
      <c r="D211" s="218" t="s">
        <v>168</v>
      </c>
      <c r="E211" s="219" t="s">
        <v>611</v>
      </c>
      <c r="F211" s="218" t="s">
        <v>493</v>
      </c>
      <c r="G211" s="218" t="s">
        <v>96</v>
      </c>
      <c r="H211" s="93" t="s">
        <v>1020</v>
      </c>
      <c r="I211" s="220">
        <v>7</v>
      </c>
      <c r="J211" s="220">
        <v>12</v>
      </c>
      <c r="K211" s="52">
        <v>0</v>
      </c>
      <c r="L211" s="53">
        <f>74633400+25366600</f>
        <v>100000000</v>
      </c>
      <c r="M211" s="218" t="s">
        <v>465</v>
      </c>
      <c r="N211" s="53" t="s">
        <v>113</v>
      </c>
      <c r="O211" s="219" t="s">
        <v>224</v>
      </c>
      <c r="P211" s="221" t="str">
        <f>IFERROR(VLOOKUP(C211,TD!$B$33:$F$37,2,0)," ")</f>
        <v>O230117</v>
      </c>
      <c r="Q211" s="221" t="str">
        <f>IFERROR(VLOOKUP(C211,TD!$B$33:$F$37,3,0)," ")</f>
        <v>4503</v>
      </c>
      <c r="R211" s="221">
        <f>IFERROR(VLOOKUP(C211,TD!$B$33:$F$37,4,0)," ")</f>
        <v>20240255</v>
      </c>
      <c r="S211" s="219" t="s">
        <v>187</v>
      </c>
      <c r="T211" s="221" t="str">
        <f>IFERROR(VLOOKUP(S211,TD!$J$34:$K$44,2,0)," ")</f>
        <v>Servicio de mantenimiento, dotación (HEA´s y equipo menor) y adquisición de vehiculos   especializados para la atención de emergencias.</v>
      </c>
      <c r="U211" s="222" t="str">
        <f t="shared" si="12"/>
        <v>09-Servicio de mantenimiento, dotación (HEA´s y equipo menor) y adquisición de vehiculos   especializados para la atención de emergencias.</v>
      </c>
      <c r="V211" s="219" t="s">
        <v>232</v>
      </c>
      <c r="W211" s="221" t="str">
        <f>IFERROR(VLOOKUP(V211,TD!$N$34:$O$46,2,0)," ")</f>
        <v>Servicio de atención a emergencias y desastres</v>
      </c>
      <c r="X211" s="222" t="str">
        <f t="shared" si="13"/>
        <v>004_Servicio de atención a emergencias y desastres</v>
      </c>
      <c r="Y211" s="222" t="str">
        <f t="shared" si="14"/>
        <v>09-Servicio de mantenimiento, dotación (HEA´s y equipo menor) y adquisición de vehiculos   especializados para la atención de emergencias. 004_Servicio de atención a emergencias y desastres</v>
      </c>
      <c r="Z211" s="221" t="str">
        <f t="shared" si="15"/>
        <v>O23011745032024025509004</v>
      </c>
      <c r="AA211" s="221" t="str">
        <f>IFERROR(VLOOKUP(Y211,TD!$K$47:$L$65,2,0)," ")</f>
        <v>PM/0131/0109/45030040255</v>
      </c>
      <c r="AB211" s="53" t="s">
        <v>87</v>
      </c>
      <c r="AC211" s="223" t="s">
        <v>204</v>
      </c>
    </row>
    <row r="212" spans="2:29" s="28" customFormat="1" ht="99" customHeight="1" x14ac:dyDescent="0.35">
      <c r="B212" s="77">
        <v>20250158</v>
      </c>
      <c r="C212" s="50" t="s">
        <v>209</v>
      </c>
      <c r="D212" s="218" t="s">
        <v>168</v>
      </c>
      <c r="E212" s="219" t="s">
        <v>611</v>
      </c>
      <c r="F212" s="218" t="s">
        <v>962</v>
      </c>
      <c r="G212" s="218" t="s">
        <v>146</v>
      </c>
      <c r="H212" s="93">
        <v>78181500</v>
      </c>
      <c r="I212" s="220">
        <v>8</v>
      </c>
      <c r="J212" s="220">
        <v>12</v>
      </c>
      <c r="K212" s="52">
        <v>0</v>
      </c>
      <c r="L212" s="53">
        <v>2100000000</v>
      </c>
      <c r="M212" s="218" t="s">
        <v>465</v>
      </c>
      <c r="N212" s="53" t="s">
        <v>85</v>
      </c>
      <c r="O212" s="219" t="s">
        <v>224</v>
      </c>
      <c r="P212" s="221" t="str">
        <f>IFERROR(VLOOKUP(C212,TD!$B$33:$F$37,2,0)," ")</f>
        <v>O230117</v>
      </c>
      <c r="Q212" s="221" t="str">
        <f>IFERROR(VLOOKUP(C212,TD!$B$33:$F$37,3,0)," ")</f>
        <v>4503</v>
      </c>
      <c r="R212" s="221">
        <f>IFERROR(VLOOKUP(C212,TD!$B$33:$F$37,4,0)," ")</f>
        <v>20240255</v>
      </c>
      <c r="S212" s="219" t="s">
        <v>187</v>
      </c>
      <c r="T212" s="221" t="str">
        <f>IFERROR(VLOOKUP(S212,TD!$J$34:$K$44,2,0)," ")</f>
        <v>Servicio de mantenimiento, dotación (HEA´s y equipo menor) y adquisición de vehiculos   especializados para la atención de emergencias.</v>
      </c>
      <c r="U212" s="222" t="str">
        <f t="shared" si="12"/>
        <v>09-Servicio de mantenimiento, dotación (HEA´s y equipo menor) y adquisición de vehiculos   especializados para la atención de emergencias.</v>
      </c>
      <c r="V212" s="219" t="s">
        <v>232</v>
      </c>
      <c r="W212" s="221" t="str">
        <f>IFERROR(VLOOKUP(V212,TD!$N$34:$O$46,2,0)," ")</f>
        <v>Servicio de atención a emergencias y desastres</v>
      </c>
      <c r="X212" s="222" t="str">
        <f t="shared" si="13"/>
        <v>004_Servicio de atención a emergencias y desastres</v>
      </c>
      <c r="Y212" s="222" t="str">
        <f t="shared" si="14"/>
        <v>09-Servicio de mantenimiento, dotación (HEA´s y equipo menor) y adquisición de vehiculos   especializados para la atención de emergencias. 004_Servicio de atención a emergencias y desastres</v>
      </c>
      <c r="Z212" s="221" t="str">
        <f t="shared" si="15"/>
        <v>O23011745032024025509004</v>
      </c>
      <c r="AA212" s="221" t="str">
        <f>IFERROR(VLOOKUP(Y212,TD!$K$47:$L$65,2,0)," ")</f>
        <v>PM/0131/0109/45030040255</v>
      </c>
      <c r="AB212" s="53" t="s">
        <v>145</v>
      </c>
      <c r="AC212" s="223" t="s">
        <v>204</v>
      </c>
    </row>
    <row r="213" spans="2:29" s="28" customFormat="1" ht="99" customHeight="1" x14ac:dyDescent="0.35">
      <c r="B213" s="77">
        <v>20250159</v>
      </c>
      <c r="C213" s="50" t="s">
        <v>209</v>
      </c>
      <c r="D213" s="218" t="s">
        <v>168</v>
      </c>
      <c r="E213" s="219" t="s">
        <v>611</v>
      </c>
      <c r="F213" s="218" t="s">
        <v>494</v>
      </c>
      <c r="G213" s="218" t="s">
        <v>119</v>
      </c>
      <c r="H213" s="93" t="s">
        <v>386</v>
      </c>
      <c r="I213" s="220">
        <v>8</v>
      </c>
      <c r="J213" s="220">
        <v>8</v>
      </c>
      <c r="K213" s="52">
        <v>0</v>
      </c>
      <c r="L213" s="53">
        <v>64000000</v>
      </c>
      <c r="M213" s="218" t="s">
        <v>465</v>
      </c>
      <c r="N213" s="53" t="s">
        <v>100</v>
      </c>
      <c r="O213" s="219" t="s">
        <v>224</v>
      </c>
      <c r="P213" s="221" t="str">
        <f>IFERROR(VLOOKUP(C213,TD!$B$33:$F$37,2,0)," ")</f>
        <v>O230117</v>
      </c>
      <c r="Q213" s="221" t="str">
        <f>IFERROR(VLOOKUP(C213,TD!$B$33:$F$37,3,0)," ")</f>
        <v>4503</v>
      </c>
      <c r="R213" s="221">
        <f>IFERROR(VLOOKUP(C213,TD!$B$33:$F$37,4,0)," ")</f>
        <v>20240255</v>
      </c>
      <c r="S213" s="219" t="s">
        <v>191</v>
      </c>
      <c r="T213" s="221" t="str">
        <f>IFERROR(VLOOKUP(S213,TD!$J$34:$K$44,2,0)," ")</f>
        <v>Servicio de apoyo   logístico  en eventos operativos y/o emergencias.</v>
      </c>
      <c r="U213" s="222" t="str">
        <f t="shared" si="12"/>
        <v>12-Servicio de apoyo   logístico  en eventos operativos y/o emergencias.</v>
      </c>
      <c r="V213" s="219" t="s">
        <v>232</v>
      </c>
      <c r="W213" s="221" t="str">
        <f>IFERROR(VLOOKUP(V213,TD!$N$34:$O$46,2,0)," ")</f>
        <v>Servicio de atención a emergencias y desastres</v>
      </c>
      <c r="X213" s="222" t="str">
        <f t="shared" si="13"/>
        <v>004_Servicio de atención a emergencias y desastres</v>
      </c>
      <c r="Y213" s="222" t="str">
        <f t="shared" si="14"/>
        <v>12-Servicio de apoyo   logístico  en eventos operativos y/o emergencias. 004_Servicio de atención a emergencias y desastres</v>
      </c>
      <c r="Z213" s="221" t="str">
        <f t="shared" si="15"/>
        <v>O23011745032024025512004</v>
      </c>
      <c r="AA213" s="221" t="str">
        <f>IFERROR(VLOOKUP(Y213,TD!$K$47:$L$65,2,0)," ")</f>
        <v>PM/0131/0112/45030040255</v>
      </c>
      <c r="AB213" s="53" t="s">
        <v>97</v>
      </c>
      <c r="AC213" s="223" t="s">
        <v>204</v>
      </c>
    </row>
    <row r="214" spans="2:29" s="28" customFormat="1" ht="99" customHeight="1" x14ac:dyDescent="0.35">
      <c r="B214" s="77">
        <v>20250160</v>
      </c>
      <c r="C214" s="50" t="s">
        <v>209</v>
      </c>
      <c r="D214" s="218" t="s">
        <v>168</v>
      </c>
      <c r="E214" s="219" t="s">
        <v>611</v>
      </c>
      <c r="F214" s="218" t="s">
        <v>973</v>
      </c>
      <c r="G214" s="218" t="s">
        <v>119</v>
      </c>
      <c r="H214" s="93" t="s">
        <v>1038</v>
      </c>
      <c r="I214" s="220">
        <v>7</v>
      </c>
      <c r="J214" s="220">
        <v>12</v>
      </c>
      <c r="K214" s="52">
        <v>0</v>
      </c>
      <c r="L214" s="53">
        <f>227000000+23000000+20000000+130000000-180000000</f>
        <v>220000000</v>
      </c>
      <c r="M214" s="218" t="s">
        <v>465</v>
      </c>
      <c r="N214" s="53" t="s">
        <v>95</v>
      </c>
      <c r="O214" s="219" t="s">
        <v>224</v>
      </c>
      <c r="P214" s="221" t="str">
        <f>IFERROR(VLOOKUP(C214,TD!$B$33:$F$37,2,0)," ")</f>
        <v>O230117</v>
      </c>
      <c r="Q214" s="221" t="str">
        <f>IFERROR(VLOOKUP(C214,TD!$B$33:$F$37,3,0)," ")</f>
        <v>4503</v>
      </c>
      <c r="R214" s="221">
        <f>IFERROR(VLOOKUP(C214,TD!$B$33:$F$37,4,0)," ")</f>
        <v>20240255</v>
      </c>
      <c r="S214" s="219" t="s">
        <v>191</v>
      </c>
      <c r="T214" s="221" t="str">
        <f>IFERROR(VLOOKUP(S214,TD!$J$34:$K$44,2,0)," ")</f>
        <v>Servicio de apoyo   logístico  en eventos operativos y/o emergencias.</v>
      </c>
      <c r="U214" s="222" t="str">
        <f t="shared" si="12"/>
        <v>12-Servicio de apoyo   logístico  en eventos operativos y/o emergencias.</v>
      </c>
      <c r="V214" s="219" t="s">
        <v>232</v>
      </c>
      <c r="W214" s="221" t="str">
        <f>IFERROR(VLOOKUP(V214,TD!$N$34:$O$46,2,0)," ")</f>
        <v>Servicio de atención a emergencias y desastres</v>
      </c>
      <c r="X214" s="222" t="str">
        <f t="shared" si="13"/>
        <v>004_Servicio de atención a emergencias y desastres</v>
      </c>
      <c r="Y214" s="222" t="str">
        <f t="shared" si="14"/>
        <v>12-Servicio de apoyo   logístico  en eventos operativos y/o emergencias. 004_Servicio de atención a emergencias y desastres</v>
      </c>
      <c r="Z214" s="221" t="str">
        <f t="shared" si="15"/>
        <v>O23011745032024025512004</v>
      </c>
      <c r="AA214" s="221" t="str">
        <f>IFERROR(VLOOKUP(Y214,TD!$K$47:$L$65,2,0)," ")</f>
        <v>PM/0131/0112/45030040255</v>
      </c>
      <c r="AB214" s="53" t="s">
        <v>110</v>
      </c>
      <c r="AC214" s="223" t="s">
        <v>204</v>
      </c>
    </row>
    <row r="215" spans="2:29" s="28" customFormat="1" ht="99" customHeight="1" x14ac:dyDescent="0.35">
      <c r="B215" s="77">
        <v>20250162</v>
      </c>
      <c r="C215" s="50" t="s">
        <v>209</v>
      </c>
      <c r="D215" s="218" t="s">
        <v>168</v>
      </c>
      <c r="E215" s="219" t="s">
        <v>611</v>
      </c>
      <c r="F215" s="218" t="s">
        <v>496</v>
      </c>
      <c r="G215" s="218" t="s">
        <v>119</v>
      </c>
      <c r="H215" s="93" t="s">
        <v>1037</v>
      </c>
      <c r="I215" s="220">
        <v>8</v>
      </c>
      <c r="J215" s="220">
        <v>6</v>
      </c>
      <c r="K215" s="52">
        <v>0</v>
      </c>
      <c r="L215" s="53">
        <f>64000000-24000000</f>
        <v>40000000</v>
      </c>
      <c r="M215" s="218" t="s">
        <v>465</v>
      </c>
      <c r="N215" s="53" t="s">
        <v>100</v>
      </c>
      <c r="O215" s="219" t="s">
        <v>224</v>
      </c>
      <c r="P215" s="221" t="str">
        <f>IFERROR(VLOOKUP(C215,TD!$B$33:$F$37,2,0)," ")</f>
        <v>O230117</v>
      </c>
      <c r="Q215" s="221" t="str">
        <f>IFERROR(VLOOKUP(C215,TD!$B$33:$F$37,3,0)," ")</f>
        <v>4503</v>
      </c>
      <c r="R215" s="221">
        <f>IFERROR(VLOOKUP(C215,TD!$B$33:$F$37,4,0)," ")</f>
        <v>20240255</v>
      </c>
      <c r="S215" s="219" t="s">
        <v>191</v>
      </c>
      <c r="T215" s="221" t="str">
        <f>IFERROR(VLOOKUP(S215,TD!$J$34:$K$44,2,0)," ")</f>
        <v>Servicio de apoyo   logístico  en eventos operativos y/o emergencias.</v>
      </c>
      <c r="U215" s="222" t="str">
        <f t="shared" si="12"/>
        <v>12-Servicio de apoyo   logístico  en eventos operativos y/o emergencias.</v>
      </c>
      <c r="V215" s="219" t="s">
        <v>232</v>
      </c>
      <c r="W215" s="221" t="str">
        <f>IFERROR(VLOOKUP(V215,TD!$N$34:$O$46,2,0)," ")</f>
        <v>Servicio de atención a emergencias y desastres</v>
      </c>
      <c r="X215" s="222" t="str">
        <f t="shared" si="13"/>
        <v>004_Servicio de atención a emergencias y desastres</v>
      </c>
      <c r="Y215" s="222" t="str">
        <f t="shared" si="14"/>
        <v>12-Servicio de apoyo   logístico  en eventos operativos y/o emergencias. 004_Servicio de atención a emergencias y desastres</v>
      </c>
      <c r="Z215" s="221" t="str">
        <f t="shared" si="15"/>
        <v>O23011745032024025512004</v>
      </c>
      <c r="AA215" s="221" t="str">
        <f>IFERROR(VLOOKUP(Y215,TD!$K$47:$L$65,2,0)," ")</f>
        <v>PM/0131/0112/45030040255</v>
      </c>
      <c r="AB215" s="53" t="s">
        <v>134</v>
      </c>
      <c r="AC215" s="223" t="s">
        <v>204</v>
      </c>
    </row>
    <row r="216" spans="2:29" s="28" customFormat="1" ht="99" customHeight="1" x14ac:dyDescent="0.35">
      <c r="B216" s="77">
        <v>20250163</v>
      </c>
      <c r="C216" s="50" t="s">
        <v>209</v>
      </c>
      <c r="D216" s="218" t="s">
        <v>168</v>
      </c>
      <c r="E216" s="219" t="s">
        <v>611</v>
      </c>
      <c r="F216" s="218" t="s">
        <v>497</v>
      </c>
      <c r="G216" s="218" t="s">
        <v>119</v>
      </c>
      <c r="H216" s="93" t="s">
        <v>426</v>
      </c>
      <c r="I216" s="220">
        <v>2</v>
      </c>
      <c r="J216" s="220">
        <v>12</v>
      </c>
      <c r="K216" s="52">
        <v>0</v>
      </c>
      <c r="L216" s="53">
        <v>45000000</v>
      </c>
      <c r="M216" s="218" t="s">
        <v>465</v>
      </c>
      <c r="N216" s="53" t="s">
        <v>113</v>
      </c>
      <c r="O216" s="219" t="s">
        <v>224</v>
      </c>
      <c r="P216" s="221" t="str">
        <f>IFERROR(VLOOKUP(C216,TD!$B$33:$F$37,2,0)," ")</f>
        <v>O230117</v>
      </c>
      <c r="Q216" s="221" t="str">
        <f>IFERROR(VLOOKUP(C216,TD!$B$33:$F$37,3,0)," ")</f>
        <v>4503</v>
      </c>
      <c r="R216" s="221">
        <f>IFERROR(VLOOKUP(C216,TD!$B$33:$F$37,4,0)," ")</f>
        <v>20240255</v>
      </c>
      <c r="S216" s="219" t="s">
        <v>187</v>
      </c>
      <c r="T216" s="221" t="str">
        <f>IFERROR(VLOOKUP(S216,TD!$J$34:$K$44,2,0)," ")</f>
        <v>Servicio de mantenimiento, dotación (HEA´s y equipo menor) y adquisición de vehiculos   especializados para la atención de emergencias.</v>
      </c>
      <c r="U216" s="222" t="str">
        <f t="shared" si="12"/>
        <v>09-Servicio de mantenimiento, dotación (HEA´s y equipo menor) y adquisición de vehiculos   especializados para la atención de emergencias.</v>
      </c>
      <c r="V216" s="219" t="s">
        <v>232</v>
      </c>
      <c r="W216" s="221" t="str">
        <f>IFERROR(VLOOKUP(V216,TD!$N$34:$O$46,2,0)," ")</f>
        <v>Servicio de atención a emergencias y desastres</v>
      </c>
      <c r="X216" s="222" t="str">
        <f t="shared" si="13"/>
        <v>004_Servicio de atención a emergencias y desastres</v>
      </c>
      <c r="Y216" s="222" t="str">
        <f t="shared" si="14"/>
        <v>09-Servicio de mantenimiento, dotación (HEA´s y equipo menor) y adquisición de vehiculos   especializados para la atención de emergencias. 004_Servicio de atención a emergencias y desastres</v>
      </c>
      <c r="Z216" s="221" t="str">
        <f t="shared" si="15"/>
        <v>O23011745032024025509004</v>
      </c>
      <c r="AA216" s="221" t="str">
        <f>IFERROR(VLOOKUP(Y216,TD!$K$47:$L$65,2,0)," ")</f>
        <v>PM/0131/0109/45030040255</v>
      </c>
      <c r="AB216" s="53" t="s">
        <v>87</v>
      </c>
      <c r="AC216" s="223" t="s">
        <v>204</v>
      </c>
    </row>
    <row r="217" spans="2:29" s="28" customFormat="1" ht="99" customHeight="1" x14ac:dyDescent="0.35">
      <c r="B217" s="77">
        <v>20250164</v>
      </c>
      <c r="C217" s="50" t="s">
        <v>209</v>
      </c>
      <c r="D217" s="218" t="s">
        <v>168</v>
      </c>
      <c r="E217" s="219" t="s">
        <v>611</v>
      </c>
      <c r="F217" s="218" t="s">
        <v>498</v>
      </c>
      <c r="G217" s="218" t="s">
        <v>157</v>
      </c>
      <c r="H217" s="93" t="s">
        <v>1036</v>
      </c>
      <c r="I217" s="220">
        <v>7</v>
      </c>
      <c r="J217" s="220">
        <v>12</v>
      </c>
      <c r="K217" s="52">
        <v>0</v>
      </c>
      <c r="L217" s="53">
        <f>120000000+60000000</f>
        <v>180000000</v>
      </c>
      <c r="M217" s="218" t="s">
        <v>465</v>
      </c>
      <c r="N217" s="53" t="s">
        <v>113</v>
      </c>
      <c r="O217" s="219" t="s">
        <v>224</v>
      </c>
      <c r="P217" s="221" t="str">
        <f>IFERROR(VLOOKUP(C217,TD!$B$33:$F$37,2,0)," ")</f>
        <v>O230117</v>
      </c>
      <c r="Q217" s="221" t="str">
        <f>IFERROR(VLOOKUP(C217,TD!$B$33:$F$37,3,0)," ")</f>
        <v>4503</v>
      </c>
      <c r="R217" s="221">
        <f>IFERROR(VLOOKUP(C217,TD!$B$33:$F$37,4,0)," ")</f>
        <v>20240255</v>
      </c>
      <c r="S217" s="219" t="s">
        <v>187</v>
      </c>
      <c r="T217" s="221" t="str">
        <f>IFERROR(VLOOKUP(S217,TD!$J$34:$K$44,2,0)," ")</f>
        <v>Servicio de mantenimiento, dotación (HEA´s y equipo menor) y adquisición de vehiculos   especializados para la atención de emergencias.</v>
      </c>
      <c r="U217" s="222" t="str">
        <f t="shared" si="12"/>
        <v>09-Servicio de mantenimiento, dotación (HEA´s y equipo menor) y adquisición de vehiculos   especializados para la atención de emergencias.</v>
      </c>
      <c r="V217" s="219" t="s">
        <v>232</v>
      </c>
      <c r="W217" s="221" t="str">
        <f>IFERROR(VLOOKUP(V217,TD!$N$34:$O$46,2,0)," ")</f>
        <v>Servicio de atención a emergencias y desastres</v>
      </c>
      <c r="X217" s="222" t="str">
        <f t="shared" si="13"/>
        <v>004_Servicio de atención a emergencias y desastres</v>
      </c>
      <c r="Y217" s="222" t="str">
        <f t="shared" si="14"/>
        <v>09-Servicio de mantenimiento, dotación (HEA´s y equipo menor) y adquisición de vehiculos   especializados para la atención de emergencias. 004_Servicio de atención a emergencias y desastres</v>
      </c>
      <c r="Z217" s="221" t="str">
        <f t="shared" si="15"/>
        <v>O23011745032024025509004</v>
      </c>
      <c r="AA217" s="221" t="str">
        <f>IFERROR(VLOOKUP(Y217,TD!$K$47:$L$65,2,0)," ")</f>
        <v>PM/0131/0109/45030040255</v>
      </c>
      <c r="AB217" s="53" t="s">
        <v>87</v>
      </c>
      <c r="AC217" s="223" t="s">
        <v>204</v>
      </c>
    </row>
    <row r="218" spans="2:29" s="28" customFormat="1" ht="99" customHeight="1" x14ac:dyDescent="0.35">
      <c r="B218" s="77">
        <v>20250166</v>
      </c>
      <c r="C218" s="50" t="s">
        <v>209</v>
      </c>
      <c r="D218" s="218" t="s">
        <v>168</v>
      </c>
      <c r="E218" s="219" t="s">
        <v>611</v>
      </c>
      <c r="F218" s="218" t="s">
        <v>499</v>
      </c>
      <c r="G218" s="218" t="s">
        <v>96</v>
      </c>
      <c r="H218" s="93" t="s">
        <v>1035</v>
      </c>
      <c r="I218" s="220">
        <v>8</v>
      </c>
      <c r="J218" s="220">
        <v>6</v>
      </c>
      <c r="K218" s="52">
        <v>0</v>
      </c>
      <c r="L218" s="53">
        <v>50000000</v>
      </c>
      <c r="M218" s="218" t="s">
        <v>465</v>
      </c>
      <c r="N218" s="53" t="s">
        <v>100</v>
      </c>
      <c r="O218" s="219" t="s">
        <v>224</v>
      </c>
      <c r="P218" s="221" t="str">
        <f>IFERROR(VLOOKUP(C218,TD!$B$33:$F$37,2,0)," ")</f>
        <v>O230117</v>
      </c>
      <c r="Q218" s="221" t="str">
        <f>IFERROR(VLOOKUP(C218,TD!$B$33:$F$37,3,0)," ")</f>
        <v>4503</v>
      </c>
      <c r="R218" s="221">
        <f>IFERROR(VLOOKUP(C218,TD!$B$33:$F$37,4,0)," ")</f>
        <v>20240255</v>
      </c>
      <c r="S218" s="219" t="s">
        <v>191</v>
      </c>
      <c r="T218" s="221" t="str">
        <f>IFERROR(VLOOKUP(S218,TD!$J$34:$K$44,2,0)," ")</f>
        <v>Servicio de apoyo   logístico  en eventos operativos y/o emergencias.</v>
      </c>
      <c r="U218" s="222" t="str">
        <f t="shared" si="12"/>
        <v>12-Servicio de apoyo   logístico  en eventos operativos y/o emergencias.</v>
      </c>
      <c r="V218" s="219" t="s">
        <v>232</v>
      </c>
      <c r="W218" s="221" t="str">
        <f>IFERROR(VLOOKUP(V218,TD!$N$34:$O$46,2,0)," ")</f>
        <v>Servicio de atención a emergencias y desastres</v>
      </c>
      <c r="X218" s="222" t="str">
        <f t="shared" si="13"/>
        <v>004_Servicio de atención a emergencias y desastres</v>
      </c>
      <c r="Y218" s="222" t="str">
        <f t="shared" si="14"/>
        <v>12-Servicio de apoyo   logístico  en eventos operativos y/o emergencias. 004_Servicio de atención a emergencias y desastres</v>
      </c>
      <c r="Z218" s="221" t="str">
        <f t="shared" si="15"/>
        <v>O23011745032024025512004</v>
      </c>
      <c r="AA218" s="221" t="str">
        <f>IFERROR(VLOOKUP(Y218,TD!$K$47:$L$65,2,0)," ")</f>
        <v>PM/0131/0112/45030040255</v>
      </c>
      <c r="AB218" s="53" t="s">
        <v>134</v>
      </c>
      <c r="AC218" s="223" t="s">
        <v>204</v>
      </c>
    </row>
    <row r="219" spans="2:29" s="28" customFormat="1" ht="99" customHeight="1" x14ac:dyDescent="0.35">
      <c r="B219" s="77">
        <v>20250167</v>
      </c>
      <c r="C219" s="50" t="s">
        <v>209</v>
      </c>
      <c r="D219" s="218" t="s">
        <v>168</v>
      </c>
      <c r="E219" s="219" t="s">
        <v>611</v>
      </c>
      <c r="F219" s="218" t="s">
        <v>500</v>
      </c>
      <c r="G219" s="218" t="s">
        <v>109</v>
      </c>
      <c r="H219" s="93">
        <v>46191600</v>
      </c>
      <c r="I219" s="220">
        <v>9</v>
      </c>
      <c r="J219" s="220">
        <v>4</v>
      </c>
      <c r="K219" s="52">
        <v>0</v>
      </c>
      <c r="L219" s="53">
        <f>200000000+100000000</f>
        <v>300000000</v>
      </c>
      <c r="M219" s="218" t="s">
        <v>465</v>
      </c>
      <c r="N219" s="53" t="s">
        <v>95</v>
      </c>
      <c r="O219" s="219" t="s">
        <v>224</v>
      </c>
      <c r="P219" s="221" t="str">
        <f>IFERROR(VLOOKUP(C219,TD!$B$33:$F$37,2,0)," ")</f>
        <v>O230117</v>
      </c>
      <c r="Q219" s="221" t="str">
        <f>IFERROR(VLOOKUP(C219,TD!$B$33:$F$37,3,0)," ")</f>
        <v>4503</v>
      </c>
      <c r="R219" s="221">
        <f>IFERROR(VLOOKUP(C219,TD!$B$33:$F$37,4,0)," ")</f>
        <v>20240255</v>
      </c>
      <c r="S219" s="219" t="s">
        <v>191</v>
      </c>
      <c r="T219" s="221" t="str">
        <f>IFERROR(VLOOKUP(S219,TD!$J$34:$K$44,2,0)," ")</f>
        <v>Servicio de apoyo   logístico  en eventos operativos y/o emergencias.</v>
      </c>
      <c r="U219" s="222" t="str">
        <f t="shared" si="12"/>
        <v>12-Servicio de apoyo   logístico  en eventos operativos y/o emergencias.</v>
      </c>
      <c r="V219" s="219" t="s">
        <v>232</v>
      </c>
      <c r="W219" s="221" t="str">
        <f>IFERROR(VLOOKUP(V219,TD!$N$34:$O$46,2,0)," ")</f>
        <v>Servicio de atención a emergencias y desastres</v>
      </c>
      <c r="X219" s="222" t="str">
        <f t="shared" si="13"/>
        <v>004_Servicio de atención a emergencias y desastres</v>
      </c>
      <c r="Y219" s="222" t="str">
        <f t="shared" si="14"/>
        <v>12-Servicio de apoyo   logístico  en eventos operativos y/o emergencias. 004_Servicio de atención a emergencias y desastres</v>
      </c>
      <c r="Z219" s="221" t="str">
        <f t="shared" si="15"/>
        <v>O23011745032024025512004</v>
      </c>
      <c r="AA219" s="221" t="str">
        <f>IFERROR(VLOOKUP(Y219,TD!$K$47:$L$65,2,0)," ")</f>
        <v>PM/0131/0112/45030040255</v>
      </c>
      <c r="AB219" s="53" t="s">
        <v>87</v>
      </c>
      <c r="AC219" s="223" t="s">
        <v>204</v>
      </c>
    </row>
    <row r="220" spans="2:29" s="28" customFormat="1" ht="99" customHeight="1" x14ac:dyDescent="0.35">
      <c r="B220" s="77">
        <v>20250168</v>
      </c>
      <c r="C220" s="50" t="s">
        <v>209</v>
      </c>
      <c r="D220" s="218" t="s">
        <v>168</v>
      </c>
      <c r="E220" s="219" t="s">
        <v>611</v>
      </c>
      <c r="F220" s="218" t="s">
        <v>777</v>
      </c>
      <c r="G220" s="218" t="s">
        <v>119</v>
      </c>
      <c r="H220" s="93" t="s">
        <v>745</v>
      </c>
      <c r="I220" s="220">
        <v>1</v>
      </c>
      <c r="J220" s="220">
        <v>12</v>
      </c>
      <c r="K220" s="52">
        <v>0</v>
      </c>
      <c r="L220" s="53">
        <v>305000000</v>
      </c>
      <c r="M220" s="218" t="s">
        <v>465</v>
      </c>
      <c r="N220" s="53" t="s">
        <v>95</v>
      </c>
      <c r="O220" s="219" t="s">
        <v>224</v>
      </c>
      <c r="P220" s="221" t="str">
        <f>IFERROR(VLOOKUP(C220,TD!$B$33:$F$37,2,0)," ")</f>
        <v>O230117</v>
      </c>
      <c r="Q220" s="221" t="str">
        <f>IFERROR(VLOOKUP(C220,TD!$B$33:$F$37,3,0)," ")</f>
        <v>4503</v>
      </c>
      <c r="R220" s="221">
        <f>IFERROR(VLOOKUP(C220,TD!$B$33:$F$37,4,0)," ")</f>
        <v>20240255</v>
      </c>
      <c r="S220" s="219" t="s">
        <v>187</v>
      </c>
      <c r="T220" s="221" t="str">
        <f>IFERROR(VLOOKUP(S220,TD!$J$34:$K$44,2,0)," ")</f>
        <v>Servicio de mantenimiento, dotación (HEA´s y equipo menor) y adquisición de vehiculos   especializados para la atención de emergencias.</v>
      </c>
      <c r="U220" s="222" t="str">
        <f t="shared" si="12"/>
        <v>09-Servicio de mantenimiento, dotación (HEA´s y equipo menor) y adquisición de vehiculos   especializados para la atención de emergencias.</v>
      </c>
      <c r="V220" s="219" t="s">
        <v>232</v>
      </c>
      <c r="W220" s="221" t="str">
        <f>IFERROR(VLOOKUP(V220,TD!$N$34:$O$46,2,0)," ")</f>
        <v>Servicio de atención a emergencias y desastres</v>
      </c>
      <c r="X220" s="222" t="str">
        <f t="shared" si="13"/>
        <v>004_Servicio de atención a emergencias y desastres</v>
      </c>
      <c r="Y220" s="222" t="str">
        <f t="shared" si="14"/>
        <v>09-Servicio de mantenimiento, dotación (HEA´s y equipo menor) y adquisición de vehiculos   especializados para la atención de emergencias. 004_Servicio de atención a emergencias y desastres</v>
      </c>
      <c r="Z220" s="221" t="str">
        <f t="shared" si="15"/>
        <v>O23011745032024025509004</v>
      </c>
      <c r="AA220" s="221" t="str">
        <f>IFERROR(VLOOKUP(Y220,TD!$K$47:$L$65,2,0)," ")</f>
        <v>PM/0131/0109/45030040255</v>
      </c>
      <c r="AB220" s="53" t="s">
        <v>87</v>
      </c>
      <c r="AC220" s="223" t="s">
        <v>204</v>
      </c>
    </row>
    <row r="221" spans="2:29" s="28" customFormat="1" ht="99" customHeight="1" x14ac:dyDescent="0.35">
      <c r="B221" s="77">
        <v>20250169</v>
      </c>
      <c r="C221" s="50" t="s">
        <v>209</v>
      </c>
      <c r="D221" s="218" t="s">
        <v>168</v>
      </c>
      <c r="E221" s="219" t="s">
        <v>611</v>
      </c>
      <c r="F221" s="218" t="s">
        <v>501</v>
      </c>
      <c r="G221" s="218" t="s">
        <v>96</v>
      </c>
      <c r="H221" s="93">
        <v>72101509</v>
      </c>
      <c r="I221" s="220">
        <v>2</v>
      </c>
      <c r="J221" s="220">
        <v>12</v>
      </c>
      <c r="K221" s="52">
        <v>0</v>
      </c>
      <c r="L221" s="53">
        <v>120864320</v>
      </c>
      <c r="M221" s="218" t="s">
        <v>465</v>
      </c>
      <c r="N221" s="53" t="s">
        <v>113</v>
      </c>
      <c r="O221" s="219" t="s">
        <v>224</v>
      </c>
      <c r="P221" s="221" t="str">
        <f>IFERROR(VLOOKUP(C221,TD!$B$33:$F$37,2,0)," ")</f>
        <v>O230117</v>
      </c>
      <c r="Q221" s="221" t="str">
        <f>IFERROR(VLOOKUP(C221,TD!$B$33:$F$37,3,0)," ")</f>
        <v>4503</v>
      </c>
      <c r="R221" s="221">
        <f>IFERROR(VLOOKUP(C221,TD!$B$33:$F$37,4,0)," ")</f>
        <v>20240255</v>
      </c>
      <c r="S221" s="219" t="s">
        <v>187</v>
      </c>
      <c r="T221" s="221" t="str">
        <f>IFERROR(VLOOKUP(S221,TD!$J$34:$K$44,2,0)," ")</f>
        <v>Servicio de mantenimiento, dotación (HEA´s y equipo menor) y adquisición de vehiculos   especializados para la atención de emergencias.</v>
      </c>
      <c r="U221" s="222" t="str">
        <f t="shared" si="12"/>
        <v>09-Servicio de mantenimiento, dotación (HEA´s y equipo menor) y adquisición de vehiculos   especializados para la atención de emergencias.</v>
      </c>
      <c r="V221" s="219" t="s">
        <v>232</v>
      </c>
      <c r="W221" s="221" t="str">
        <f>IFERROR(VLOOKUP(V221,TD!$N$34:$O$46,2,0)," ")</f>
        <v>Servicio de atención a emergencias y desastres</v>
      </c>
      <c r="X221" s="222" t="str">
        <f t="shared" si="13"/>
        <v>004_Servicio de atención a emergencias y desastres</v>
      </c>
      <c r="Y221" s="222" t="str">
        <f t="shared" si="14"/>
        <v>09-Servicio de mantenimiento, dotación (HEA´s y equipo menor) y adquisición de vehiculos   especializados para la atención de emergencias. 004_Servicio de atención a emergencias y desastres</v>
      </c>
      <c r="Z221" s="221" t="str">
        <f t="shared" si="15"/>
        <v>O23011745032024025509004</v>
      </c>
      <c r="AA221" s="221" t="str">
        <f>IFERROR(VLOOKUP(Y221,TD!$K$47:$L$65,2,0)," ")</f>
        <v>PM/0131/0109/45030040255</v>
      </c>
      <c r="AB221" s="53" t="s">
        <v>87</v>
      </c>
      <c r="AC221" s="223" t="s">
        <v>204</v>
      </c>
    </row>
    <row r="222" spans="2:29" s="28" customFormat="1" ht="99" customHeight="1" x14ac:dyDescent="0.35">
      <c r="B222" s="77">
        <v>20250170</v>
      </c>
      <c r="C222" s="50" t="s">
        <v>209</v>
      </c>
      <c r="D222" s="218" t="s">
        <v>168</v>
      </c>
      <c r="E222" s="219" t="s">
        <v>611</v>
      </c>
      <c r="F222" s="218" t="s">
        <v>502</v>
      </c>
      <c r="G222" s="218" t="s">
        <v>119</v>
      </c>
      <c r="H222" s="93" t="s">
        <v>503</v>
      </c>
      <c r="I222" s="220">
        <v>3</v>
      </c>
      <c r="J222" s="220">
        <v>12</v>
      </c>
      <c r="K222" s="52">
        <v>0</v>
      </c>
      <c r="L222" s="53">
        <v>100000000</v>
      </c>
      <c r="M222" s="218" t="s">
        <v>465</v>
      </c>
      <c r="N222" s="53" t="s">
        <v>113</v>
      </c>
      <c r="O222" s="219" t="s">
        <v>224</v>
      </c>
      <c r="P222" s="221" t="str">
        <f>IFERROR(VLOOKUP(C222,TD!$B$33:$F$37,2,0)," ")</f>
        <v>O230117</v>
      </c>
      <c r="Q222" s="221" t="str">
        <f>IFERROR(VLOOKUP(C222,TD!$B$33:$F$37,3,0)," ")</f>
        <v>4503</v>
      </c>
      <c r="R222" s="221">
        <f>IFERROR(VLOOKUP(C222,TD!$B$33:$F$37,4,0)," ")</f>
        <v>20240255</v>
      </c>
      <c r="S222" s="219" t="s">
        <v>187</v>
      </c>
      <c r="T222" s="221" t="str">
        <f>IFERROR(VLOOKUP(S222,TD!$J$34:$K$44,2,0)," ")</f>
        <v>Servicio de mantenimiento, dotación (HEA´s y equipo menor) y adquisición de vehiculos   especializados para la atención de emergencias.</v>
      </c>
      <c r="U222" s="222" t="str">
        <f t="shared" si="12"/>
        <v>09-Servicio de mantenimiento, dotación (HEA´s y equipo menor) y adquisición de vehiculos   especializados para la atención de emergencias.</v>
      </c>
      <c r="V222" s="219" t="s">
        <v>232</v>
      </c>
      <c r="W222" s="221" t="str">
        <f>IFERROR(VLOOKUP(V222,TD!$N$34:$O$46,2,0)," ")</f>
        <v>Servicio de atención a emergencias y desastres</v>
      </c>
      <c r="X222" s="222" t="str">
        <f t="shared" si="13"/>
        <v>004_Servicio de atención a emergencias y desastres</v>
      </c>
      <c r="Y222" s="222" t="str">
        <f t="shared" si="14"/>
        <v>09-Servicio de mantenimiento, dotación (HEA´s y equipo menor) y adquisición de vehiculos   especializados para la atención de emergencias. 004_Servicio de atención a emergencias y desastres</v>
      </c>
      <c r="Z222" s="221" t="str">
        <f t="shared" si="15"/>
        <v>O23011745032024025509004</v>
      </c>
      <c r="AA222" s="221" t="str">
        <f>IFERROR(VLOOKUP(Y222,TD!$K$47:$L$65,2,0)," ")</f>
        <v>PM/0131/0109/45030040255</v>
      </c>
      <c r="AB222" s="53" t="s">
        <v>87</v>
      </c>
      <c r="AC222" s="223" t="s">
        <v>204</v>
      </c>
    </row>
    <row r="223" spans="2:29" s="28" customFormat="1" ht="99" customHeight="1" x14ac:dyDescent="0.35">
      <c r="B223" s="77">
        <v>20250171</v>
      </c>
      <c r="C223" s="50" t="s">
        <v>209</v>
      </c>
      <c r="D223" s="218" t="s">
        <v>168</v>
      </c>
      <c r="E223" s="219" t="s">
        <v>611</v>
      </c>
      <c r="F223" s="218" t="s">
        <v>504</v>
      </c>
      <c r="G223" s="218" t="s">
        <v>96</v>
      </c>
      <c r="H223" s="93" t="s">
        <v>974</v>
      </c>
      <c r="I223" s="220">
        <v>6</v>
      </c>
      <c r="J223" s="220">
        <v>9</v>
      </c>
      <c r="K223" s="52">
        <v>12</v>
      </c>
      <c r="L223" s="53">
        <v>95347742</v>
      </c>
      <c r="M223" s="218" t="s">
        <v>465</v>
      </c>
      <c r="N223" s="53" t="s">
        <v>113</v>
      </c>
      <c r="O223" s="219" t="s">
        <v>224</v>
      </c>
      <c r="P223" s="221" t="str">
        <f>IFERROR(VLOOKUP(C223,TD!$B$33:$F$37,2,0)," ")</f>
        <v>O230117</v>
      </c>
      <c r="Q223" s="221" t="str">
        <f>IFERROR(VLOOKUP(C223,TD!$B$33:$F$37,3,0)," ")</f>
        <v>4503</v>
      </c>
      <c r="R223" s="221">
        <f>IFERROR(VLOOKUP(C223,TD!$B$33:$F$37,4,0)," ")</f>
        <v>20240255</v>
      </c>
      <c r="S223" s="219" t="s">
        <v>187</v>
      </c>
      <c r="T223" s="221" t="str">
        <f>IFERROR(VLOOKUP(S223,TD!$J$34:$K$44,2,0)," ")</f>
        <v>Servicio de mantenimiento, dotación (HEA´s y equipo menor) y adquisición de vehiculos   especializados para la atención de emergencias.</v>
      </c>
      <c r="U223" s="222" t="str">
        <f t="shared" si="12"/>
        <v>09-Servicio de mantenimiento, dotación (HEA´s y equipo menor) y adquisición de vehiculos   especializados para la atención de emergencias.</v>
      </c>
      <c r="V223" s="219" t="s">
        <v>232</v>
      </c>
      <c r="W223" s="221" t="str">
        <f>IFERROR(VLOOKUP(V223,TD!$N$34:$O$46,2,0)," ")</f>
        <v>Servicio de atención a emergencias y desastres</v>
      </c>
      <c r="X223" s="222" t="str">
        <f t="shared" si="13"/>
        <v>004_Servicio de atención a emergencias y desastres</v>
      </c>
      <c r="Y223" s="222" t="str">
        <f t="shared" si="14"/>
        <v>09-Servicio de mantenimiento, dotación (HEA´s y equipo menor) y adquisición de vehiculos   especializados para la atención de emergencias. 004_Servicio de atención a emergencias y desastres</v>
      </c>
      <c r="Z223" s="221" t="str">
        <f t="shared" si="15"/>
        <v>O23011745032024025509004</v>
      </c>
      <c r="AA223" s="221" t="str">
        <f>IFERROR(VLOOKUP(Y223,TD!$K$47:$L$65,2,0)," ")</f>
        <v>PM/0131/0109/45030040255</v>
      </c>
      <c r="AB223" s="53" t="s">
        <v>147</v>
      </c>
      <c r="AC223" s="223" t="s">
        <v>204</v>
      </c>
    </row>
    <row r="224" spans="2:29" s="28" customFormat="1" ht="99" customHeight="1" x14ac:dyDescent="0.35">
      <c r="B224" s="77">
        <v>20250174</v>
      </c>
      <c r="C224" s="50" t="s">
        <v>209</v>
      </c>
      <c r="D224" s="218" t="s">
        <v>168</v>
      </c>
      <c r="E224" s="219" t="s">
        <v>611</v>
      </c>
      <c r="F224" s="218" t="s">
        <v>746</v>
      </c>
      <c r="G224" s="218" t="s">
        <v>156</v>
      </c>
      <c r="H224" s="93">
        <v>80111600</v>
      </c>
      <c r="I224" s="220">
        <v>2</v>
      </c>
      <c r="J224" s="220">
        <v>9</v>
      </c>
      <c r="K224" s="52">
        <v>0</v>
      </c>
      <c r="L224" s="53">
        <v>29700000</v>
      </c>
      <c r="M224" s="218" t="s">
        <v>465</v>
      </c>
      <c r="N224" s="53" t="s">
        <v>113</v>
      </c>
      <c r="O224" s="219" t="s">
        <v>224</v>
      </c>
      <c r="P224" s="221" t="str">
        <f>IFERROR(VLOOKUP(C224,TD!$B$33:$F$37,2,0)," ")</f>
        <v>O230117</v>
      </c>
      <c r="Q224" s="221" t="str">
        <f>IFERROR(VLOOKUP(C224,TD!$B$33:$F$37,3,0)," ")</f>
        <v>4503</v>
      </c>
      <c r="R224" s="221">
        <f>IFERROR(VLOOKUP(C224,TD!$B$33:$F$37,4,0)," ")</f>
        <v>20240255</v>
      </c>
      <c r="S224" s="219" t="s">
        <v>187</v>
      </c>
      <c r="T224" s="221" t="str">
        <f>IFERROR(VLOOKUP(S224,TD!$J$34:$K$44,2,0)," ")</f>
        <v>Servicio de mantenimiento, dotación (HEA´s y equipo menor) y adquisición de vehiculos   especializados para la atención de emergencias.</v>
      </c>
      <c r="U224" s="222" t="str">
        <f t="shared" si="12"/>
        <v>09-Servicio de mantenimiento, dotación (HEA´s y equipo menor) y adquisición de vehiculos   especializados para la atención de emergencias.</v>
      </c>
      <c r="V224" s="219" t="s">
        <v>232</v>
      </c>
      <c r="W224" s="221" t="str">
        <f>IFERROR(VLOOKUP(V224,TD!$N$34:$O$46,2,0)," ")</f>
        <v>Servicio de atención a emergencias y desastres</v>
      </c>
      <c r="X224" s="222" t="str">
        <f t="shared" si="13"/>
        <v>004_Servicio de atención a emergencias y desastres</v>
      </c>
      <c r="Y224" s="222" t="str">
        <f t="shared" si="14"/>
        <v>09-Servicio de mantenimiento, dotación (HEA´s y equipo menor) y adquisición de vehiculos   especializados para la atención de emergencias. 004_Servicio de atención a emergencias y desastres</v>
      </c>
      <c r="Z224" s="221" t="str">
        <f t="shared" si="15"/>
        <v>O23011745032024025509004</v>
      </c>
      <c r="AA224" s="221" t="str">
        <f>IFERROR(VLOOKUP(Y224,TD!$K$47:$L$65,2,0)," ")</f>
        <v>PM/0131/0109/45030040255</v>
      </c>
      <c r="AB224" s="53" t="s">
        <v>138</v>
      </c>
      <c r="AC224" s="223" t="s">
        <v>204</v>
      </c>
    </row>
    <row r="225" spans="2:29" s="28" customFormat="1" ht="99" customHeight="1" x14ac:dyDescent="0.35">
      <c r="B225" s="77">
        <v>20250175</v>
      </c>
      <c r="C225" s="50" t="s">
        <v>209</v>
      </c>
      <c r="D225" s="218" t="s">
        <v>168</v>
      </c>
      <c r="E225" s="219" t="s">
        <v>611</v>
      </c>
      <c r="F225" s="218" t="s">
        <v>747</v>
      </c>
      <c r="G225" s="218" t="s">
        <v>155</v>
      </c>
      <c r="H225" s="93">
        <v>80111600</v>
      </c>
      <c r="I225" s="220">
        <v>2</v>
      </c>
      <c r="J225" s="220">
        <v>10</v>
      </c>
      <c r="K225" s="52">
        <v>0</v>
      </c>
      <c r="L225" s="53">
        <v>50000000</v>
      </c>
      <c r="M225" s="218" t="s">
        <v>465</v>
      </c>
      <c r="N225" s="53" t="s">
        <v>113</v>
      </c>
      <c r="O225" s="219" t="s">
        <v>224</v>
      </c>
      <c r="P225" s="221" t="str">
        <f>IFERROR(VLOOKUP(C225,TD!$B$33:$F$37,2,0)," ")</f>
        <v>O230117</v>
      </c>
      <c r="Q225" s="221" t="str">
        <f>IFERROR(VLOOKUP(C225,TD!$B$33:$F$37,3,0)," ")</f>
        <v>4503</v>
      </c>
      <c r="R225" s="221">
        <f>IFERROR(VLOOKUP(C225,TD!$B$33:$F$37,4,0)," ")</f>
        <v>20240255</v>
      </c>
      <c r="S225" s="219" t="s">
        <v>191</v>
      </c>
      <c r="T225" s="221" t="str">
        <f>IFERROR(VLOOKUP(S225,TD!$J$34:$K$44,2,0)," ")</f>
        <v>Servicio de apoyo   logístico  en eventos operativos y/o emergencias.</v>
      </c>
      <c r="U225" s="222" t="str">
        <f t="shared" si="12"/>
        <v>12-Servicio de apoyo   logístico  en eventos operativos y/o emergencias.</v>
      </c>
      <c r="V225" s="219" t="s">
        <v>232</v>
      </c>
      <c r="W225" s="221" t="str">
        <f>IFERROR(VLOOKUP(V225,TD!$N$34:$O$46,2,0)," ")</f>
        <v>Servicio de atención a emergencias y desastres</v>
      </c>
      <c r="X225" s="222" t="str">
        <f t="shared" si="13"/>
        <v>004_Servicio de atención a emergencias y desastres</v>
      </c>
      <c r="Y225" s="222" t="str">
        <f t="shared" si="14"/>
        <v>12-Servicio de apoyo   logístico  en eventos operativos y/o emergencias. 004_Servicio de atención a emergencias y desastres</v>
      </c>
      <c r="Z225" s="221" t="str">
        <f t="shared" si="15"/>
        <v>O23011745032024025512004</v>
      </c>
      <c r="AA225" s="221" t="str">
        <f>IFERROR(VLOOKUP(Y225,TD!$K$47:$L$65,2,0)," ")</f>
        <v>PM/0131/0112/45030040255</v>
      </c>
      <c r="AB225" s="53" t="s">
        <v>138</v>
      </c>
      <c r="AC225" s="223" t="s">
        <v>204</v>
      </c>
    </row>
    <row r="226" spans="2:29" s="28" customFormat="1" ht="99" customHeight="1" x14ac:dyDescent="0.35">
      <c r="B226" s="77">
        <v>20250176</v>
      </c>
      <c r="C226" s="50" t="s">
        <v>209</v>
      </c>
      <c r="D226" s="218" t="s">
        <v>168</v>
      </c>
      <c r="E226" s="219" t="s">
        <v>611</v>
      </c>
      <c r="F226" s="218" t="s">
        <v>748</v>
      </c>
      <c r="G226" s="218" t="s">
        <v>155</v>
      </c>
      <c r="H226" s="93">
        <v>80111600</v>
      </c>
      <c r="I226" s="220">
        <v>2</v>
      </c>
      <c r="J226" s="220">
        <v>8</v>
      </c>
      <c r="K226" s="52">
        <v>0</v>
      </c>
      <c r="L226" s="53">
        <v>100000000</v>
      </c>
      <c r="M226" s="218" t="s">
        <v>465</v>
      </c>
      <c r="N226" s="53" t="s">
        <v>113</v>
      </c>
      <c r="O226" s="219" t="s">
        <v>224</v>
      </c>
      <c r="P226" s="221" t="str">
        <f>IFERROR(VLOOKUP(C226,TD!$B$33:$F$37,2,0)," ")</f>
        <v>O230117</v>
      </c>
      <c r="Q226" s="221" t="str">
        <f>IFERROR(VLOOKUP(C226,TD!$B$33:$F$37,3,0)," ")</f>
        <v>4503</v>
      </c>
      <c r="R226" s="221">
        <f>IFERROR(VLOOKUP(C226,TD!$B$33:$F$37,4,0)," ")</f>
        <v>20240255</v>
      </c>
      <c r="S226" s="219" t="s">
        <v>191</v>
      </c>
      <c r="T226" s="221" t="str">
        <f>IFERROR(VLOOKUP(S226,TD!$J$34:$K$44,2,0)," ")</f>
        <v>Servicio de apoyo   logístico  en eventos operativos y/o emergencias.</v>
      </c>
      <c r="U226" s="222" t="str">
        <f t="shared" si="12"/>
        <v>12-Servicio de apoyo   logístico  en eventos operativos y/o emergencias.</v>
      </c>
      <c r="V226" s="219" t="s">
        <v>232</v>
      </c>
      <c r="W226" s="221" t="str">
        <f>IFERROR(VLOOKUP(V226,TD!$N$34:$O$46,2,0)," ")</f>
        <v>Servicio de atención a emergencias y desastres</v>
      </c>
      <c r="X226" s="222" t="str">
        <f t="shared" si="13"/>
        <v>004_Servicio de atención a emergencias y desastres</v>
      </c>
      <c r="Y226" s="222" t="str">
        <f t="shared" si="14"/>
        <v>12-Servicio de apoyo   logístico  en eventos operativos y/o emergencias. 004_Servicio de atención a emergencias y desastres</v>
      </c>
      <c r="Z226" s="221" t="str">
        <f t="shared" si="15"/>
        <v>O23011745032024025512004</v>
      </c>
      <c r="AA226" s="221" t="str">
        <f>IFERROR(VLOOKUP(Y226,TD!$K$47:$L$65,2,0)," ")</f>
        <v>PM/0131/0112/45030040255</v>
      </c>
      <c r="AB226" s="53" t="s">
        <v>120</v>
      </c>
      <c r="AC226" s="223" t="s">
        <v>204</v>
      </c>
    </row>
    <row r="227" spans="2:29" s="28" customFormat="1" ht="99" customHeight="1" x14ac:dyDescent="0.35">
      <c r="B227" s="77">
        <v>20250177</v>
      </c>
      <c r="C227" s="50" t="s">
        <v>209</v>
      </c>
      <c r="D227" s="218" t="s">
        <v>168</v>
      </c>
      <c r="E227" s="219" t="s">
        <v>611</v>
      </c>
      <c r="F227" s="218" t="s">
        <v>749</v>
      </c>
      <c r="G227" s="218" t="s">
        <v>156</v>
      </c>
      <c r="H227" s="93">
        <v>80111600</v>
      </c>
      <c r="I227" s="220">
        <v>2</v>
      </c>
      <c r="J227" s="220">
        <v>10</v>
      </c>
      <c r="K227" s="52">
        <v>0</v>
      </c>
      <c r="L227" s="53">
        <v>38000000</v>
      </c>
      <c r="M227" s="218" t="s">
        <v>465</v>
      </c>
      <c r="N227" s="53" t="s">
        <v>113</v>
      </c>
      <c r="O227" s="219" t="s">
        <v>224</v>
      </c>
      <c r="P227" s="221" t="str">
        <f>IFERROR(VLOOKUP(C227,TD!$B$33:$F$37,2,0)," ")</f>
        <v>O230117</v>
      </c>
      <c r="Q227" s="221" t="str">
        <f>IFERROR(VLOOKUP(C227,TD!$B$33:$F$37,3,0)," ")</f>
        <v>4503</v>
      </c>
      <c r="R227" s="221">
        <f>IFERROR(VLOOKUP(C227,TD!$B$33:$F$37,4,0)," ")</f>
        <v>20240255</v>
      </c>
      <c r="S227" s="219" t="s">
        <v>191</v>
      </c>
      <c r="T227" s="221" t="str">
        <f>IFERROR(VLOOKUP(S227,TD!$J$34:$K$44,2,0)," ")</f>
        <v>Servicio de apoyo   logístico  en eventos operativos y/o emergencias.</v>
      </c>
      <c r="U227" s="222" t="str">
        <f t="shared" si="12"/>
        <v>12-Servicio de apoyo   logístico  en eventos operativos y/o emergencias.</v>
      </c>
      <c r="V227" s="219" t="s">
        <v>232</v>
      </c>
      <c r="W227" s="221" t="str">
        <f>IFERROR(VLOOKUP(V227,TD!$N$34:$O$46,2,0)," ")</f>
        <v>Servicio de atención a emergencias y desastres</v>
      </c>
      <c r="X227" s="222" t="str">
        <f t="shared" si="13"/>
        <v>004_Servicio de atención a emergencias y desastres</v>
      </c>
      <c r="Y227" s="222" t="str">
        <f t="shared" si="14"/>
        <v>12-Servicio de apoyo   logístico  en eventos operativos y/o emergencias. 004_Servicio de atención a emergencias y desastres</v>
      </c>
      <c r="Z227" s="221" t="str">
        <f t="shared" si="15"/>
        <v>O23011745032024025512004</v>
      </c>
      <c r="AA227" s="221" t="str">
        <f>IFERROR(VLOOKUP(Y227,TD!$K$47:$L$65,2,0)," ")</f>
        <v>PM/0131/0112/45030040255</v>
      </c>
      <c r="AB227" s="53" t="s">
        <v>138</v>
      </c>
      <c r="AC227" s="223" t="s">
        <v>204</v>
      </c>
    </row>
    <row r="228" spans="2:29" s="28" customFormat="1" ht="99" customHeight="1" x14ac:dyDescent="0.35">
      <c r="B228" s="77">
        <v>20250178</v>
      </c>
      <c r="C228" s="50" t="s">
        <v>209</v>
      </c>
      <c r="D228" s="218" t="s">
        <v>168</v>
      </c>
      <c r="E228" s="219" t="s">
        <v>611</v>
      </c>
      <c r="F228" s="218" t="s">
        <v>750</v>
      </c>
      <c r="G228" s="218" t="s">
        <v>155</v>
      </c>
      <c r="H228" s="93">
        <v>80111600</v>
      </c>
      <c r="I228" s="220">
        <v>3</v>
      </c>
      <c r="J228" s="220">
        <v>6</v>
      </c>
      <c r="K228" s="52">
        <v>0</v>
      </c>
      <c r="L228" s="53">
        <v>31200000</v>
      </c>
      <c r="M228" s="218" t="s">
        <v>465</v>
      </c>
      <c r="N228" s="53" t="s">
        <v>113</v>
      </c>
      <c r="O228" s="219" t="s">
        <v>224</v>
      </c>
      <c r="P228" s="221" t="str">
        <f>IFERROR(VLOOKUP(C228,TD!$B$33:$F$37,2,0)," ")</f>
        <v>O230117</v>
      </c>
      <c r="Q228" s="221" t="str">
        <f>IFERROR(VLOOKUP(C228,TD!$B$33:$F$37,3,0)," ")</f>
        <v>4503</v>
      </c>
      <c r="R228" s="221">
        <f>IFERROR(VLOOKUP(C228,TD!$B$33:$F$37,4,0)," ")</f>
        <v>20240255</v>
      </c>
      <c r="S228" s="219" t="s">
        <v>191</v>
      </c>
      <c r="T228" s="221" t="str">
        <f>IFERROR(VLOOKUP(S228,TD!$J$34:$K$44,2,0)," ")</f>
        <v>Servicio de apoyo   logístico  en eventos operativos y/o emergencias.</v>
      </c>
      <c r="U228" s="222" t="str">
        <f t="shared" si="12"/>
        <v>12-Servicio de apoyo   logístico  en eventos operativos y/o emergencias.</v>
      </c>
      <c r="V228" s="219" t="s">
        <v>232</v>
      </c>
      <c r="W228" s="221" t="str">
        <f>IFERROR(VLOOKUP(V228,TD!$N$34:$O$46,2,0)," ")</f>
        <v>Servicio de atención a emergencias y desastres</v>
      </c>
      <c r="X228" s="222" t="str">
        <f t="shared" si="13"/>
        <v>004_Servicio de atención a emergencias y desastres</v>
      </c>
      <c r="Y228" s="222" t="str">
        <f t="shared" si="14"/>
        <v>12-Servicio de apoyo   logístico  en eventos operativos y/o emergencias. 004_Servicio de atención a emergencias y desastres</v>
      </c>
      <c r="Z228" s="221" t="str">
        <f t="shared" si="15"/>
        <v>O23011745032024025512004</v>
      </c>
      <c r="AA228" s="221" t="str">
        <f>IFERROR(VLOOKUP(Y228,TD!$K$47:$L$65,2,0)," ")</f>
        <v>PM/0131/0112/45030040255</v>
      </c>
      <c r="AB228" s="53" t="s">
        <v>138</v>
      </c>
      <c r="AC228" s="223" t="s">
        <v>204</v>
      </c>
    </row>
    <row r="229" spans="2:29" s="28" customFormat="1" ht="99" customHeight="1" x14ac:dyDescent="0.35">
      <c r="B229" s="77">
        <v>20250179</v>
      </c>
      <c r="C229" s="50" t="s">
        <v>209</v>
      </c>
      <c r="D229" s="218" t="s">
        <v>168</v>
      </c>
      <c r="E229" s="219" t="s">
        <v>611</v>
      </c>
      <c r="F229" s="218" t="s">
        <v>751</v>
      </c>
      <c r="G229" s="218" t="s">
        <v>156</v>
      </c>
      <c r="H229" s="93">
        <v>80111600</v>
      </c>
      <c r="I229" s="220">
        <v>2</v>
      </c>
      <c r="J229" s="220">
        <v>9</v>
      </c>
      <c r="K229" s="52">
        <v>0</v>
      </c>
      <c r="L229" s="53">
        <v>29700000</v>
      </c>
      <c r="M229" s="218" t="s">
        <v>465</v>
      </c>
      <c r="N229" s="53" t="s">
        <v>113</v>
      </c>
      <c r="O229" s="219" t="s">
        <v>224</v>
      </c>
      <c r="P229" s="221" t="str">
        <f>IFERROR(VLOOKUP(C229,TD!$B$33:$F$37,2,0)," ")</f>
        <v>O230117</v>
      </c>
      <c r="Q229" s="221" t="str">
        <f>IFERROR(VLOOKUP(C229,TD!$B$33:$F$37,3,0)," ")</f>
        <v>4503</v>
      </c>
      <c r="R229" s="221">
        <f>IFERROR(VLOOKUP(C229,TD!$B$33:$F$37,4,0)," ")</f>
        <v>20240255</v>
      </c>
      <c r="S229" s="219" t="s">
        <v>191</v>
      </c>
      <c r="T229" s="221" t="str">
        <f>IFERROR(VLOOKUP(S229,TD!$J$34:$K$44,2,0)," ")</f>
        <v>Servicio de apoyo   logístico  en eventos operativos y/o emergencias.</v>
      </c>
      <c r="U229" s="222" t="str">
        <f t="shared" si="12"/>
        <v>12-Servicio de apoyo   logístico  en eventos operativos y/o emergencias.</v>
      </c>
      <c r="V229" s="219" t="s">
        <v>232</v>
      </c>
      <c r="W229" s="221" t="str">
        <f>IFERROR(VLOOKUP(V229,TD!$N$34:$O$46,2,0)," ")</f>
        <v>Servicio de atención a emergencias y desastres</v>
      </c>
      <c r="X229" s="222" t="str">
        <f t="shared" si="13"/>
        <v>004_Servicio de atención a emergencias y desastres</v>
      </c>
      <c r="Y229" s="222" t="str">
        <f t="shared" si="14"/>
        <v>12-Servicio de apoyo   logístico  en eventos operativos y/o emergencias. 004_Servicio de atención a emergencias y desastres</v>
      </c>
      <c r="Z229" s="221" t="str">
        <f t="shared" si="15"/>
        <v>O23011745032024025512004</v>
      </c>
      <c r="AA229" s="221" t="str">
        <f>IFERROR(VLOOKUP(Y229,TD!$K$47:$L$65,2,0)," ")</f>
        <v>PM/0131/0112/45030040255</v>
      </c>
      <c r="AB229" s="53" t="s">
        <v>138</v>
      </c>
      <c r="AC229" s="223" t="s">
        <v>204</v>
      </c>
    </row>
    <row r="230" spans="2:29" s="28" customFormat="1" ht="99" customHeight="1" x14ac:dyDescent="0.35">
      <c r="B230" s="77">
        <v>20250180</v>
      </c>
      <c r="C230" s="50" t="s">
        <v>209</v>
      </c>
      <c r="D230" s="218" t="s">
        <v>168</v>
      </c>
      <c r="E230" s="219" t="s">
        <v>611</v>
      </c>
      <c r="F230" s="218" t="s">
        <v>752</v>
      </c>
      <c r="G230" s="218" t="s">
        <v>155</v>
      </c>
      <c r="H230" s="93">
        <v>80111600</v>
      </c>
      <c r="I230" s="220">
        <v>2</v>
      </c>
      <c r="J230" s="220">
        <v>9</v>
      </c>
      <c r="K230" s="52">
        <v>0</v>
      </c>
      <c r="L230" s="53">
        <v>56700000</v>
      </c>
      <c r="M230" s="218" t="s">
        <v>465</v>
      </c>
      <c r="N230" s="53" t="s">
        <v>113</v>
      </c>
      <c r="O230" s="219" t="s">
        <v>224</v>
      </c>
      <c r="P230" s="221" t="str">
        <f>IFERROR(VLOOKUP(C230,TD!$B$33:$F$37,2,0)," ")</f>
        <v>O230117</v>
      </c>
      <c r="Q230" s="221" t="str">
        <f>IFERROR(VLOOKUP(C230,TD!$B$33:$F$37,3,0)," ")</f>
        <v>4503</v>
      </c>
      <c r="R230" s="221">
        <f>IFERROR(VLOOKUP(C230,TD!$B$33:$F$37,4,0)," ")</f>
        <v>20240255</v>
      </c>
      <c r="S230" s="219" t="s">
        <v>191</v>
      </c>
      <c r="T230" s="221" t="str">
        <f>IFERROR(VLOOKUP(S230,TD!$J$34:$K$44,2,0)," ")</f>
        <v>Servicio de apoyo   logístico  en eventos operativos y/o emergencias.</v>
      </c>
      <c r="U230" s="222" t="str">
        <f t="shared" si="12"/>
        <v>12-Servicio de apoyo   logístico  en eventos operativos y/o emergencias.</v>
      </c>
      <c r="V230" s="219" t="s">
        <v>232</v>
      </c>
      <c r="W230" s="221" t="str">
        <f>IFERROR(VLOOKUP(V230,TD!$N$34:$O$46,2,0)," ")</f>
        <v>Servicio de atención a emergencias y desastres</v>
      </c>
      <c r="X230" s="222" t="str">
        <f t="shared" si="13"/>
        <v>004_Servicio de atención a emergencias y desastres</v>
      </c>
      <c r="Y230" s="222" t="str">
        <f t="shared" si="14"/>
        <v>12-Servicio de apoyo   logístico  en eventos operativos y/o emergencias. 004_Servicio de atención a emergencias y desastres</v>
      </c>
      <c r="Z230" s="221" t="str">
        <f t="shared" si="15"/>
        <v>O23011745032024025512004</v>
      </c>
      <c r="AA230" s="221" t="str">
        <f>IFERROR(VLOOKUP(Y230,TD!$K$47:$L$65,2,0)," ")</f>
        <v>PM/0131/0112/45030040255</v>
      </c>
      <c r="AB230" s="53" t="s">
        <v>138</v>
      </c>
      <c r="AC230" s="223" t="s">
        <v>204</v>
      </c>
    </row>
    <row r="231" spans="2:29" s="28" customFormat="1" ht="99" customHeight="1" x14ac:dyDescent="0.35">
      <c r="B231" s="77">
        <v>20250181</v>
      </c>
      <c r="C231" s="50" t="s">
        <v>209</v>
      </c>
      <c r="D231" s="218" t="s">
        <v>168</v>
      </c>
      <c r="E231" s="219" t="s">
        <v>611</v>
      </c>
      <c r="F231" s="218" t="s">
        <v>753</v>
      </c>
      <c r="G231" s="218" t="s">
        <v>155</v>
      </c>
      <c r="H231" s="93">
        <v>80111600</v>
      </c>
      <c r="I231" s="220">
        <v>2</v>
      </c>
      <c r="J231" s="220">
        <v>9</v>
      </c>
      <c r="K231" s="52">
        <v>0</v>
      </c>
      <c r="L231" s="53">
        <v>49500000</v>
      </c>
      <c r="M231" s="218" t="s">
        <v>465</v>
      </c>
      <c r="N231" s="53" t="s">
        <v>113</v>
      </c>
      <c r="O231" s="219" t="s">
        <v>224</v>
      </c>
      <c r="P231" s="221" t="str">
        <f>IFERROR(VLOOKUP(C231,TD!$B$33:$F$37,2,0)," ")</f>
        <v>O230117</v>
      </c>
      <c r="Q231" s="221" t="str">
        <f>IFERROR(VLOOKUP(C231,TD!$B$33:$F$37,3,0)," ")</f>
        <v>4503</v>
      </c>
      <c r="R231" s="221">
        <f>IFERROR(VLOOKUP(C231,TD!$B$33:$F$37,4,0)," ")</f>
        <v>20240255</v>
      </c>
      <c r="S231" s="219" t="s">
        <v>191</v>
      </c>
      <c r="T231" s="221" t="str">
        <f>IFERROR(VLOOKUP(S231,TD!$J$34:$K$44,2,0)," ")</f>
        <v>Servicio de apoyo   logístico  en eventos operativos y/o emergencias.</v>
      </c>
      <c r="U231" s="222" t="str">
        <f t="shared" si="12"/>
        <v>12-Servicio de apoyo   logístico  en eventos operativos y/o emergencias.</v>
      </c>
      <c r="V231" s="219" t="s">
        <v>232</v>
      </c>
      <c r="W231" s="221" t="str">
        <f>IFERROR(VLOOKUP(V231,TD!$N$34:$O$46,2,0)," ")</f>
        <v>Servicio de atención a emergencias y desastres</v>
      </c>
      <c r="X231" s="222" t="str">
        <f t="shared" si="13"/>
        <v>004_Servicio de atención a emergencias y desastres</v>
      </c>
      <c r="Y231" s="222" t="str">
        <f t="shared" si="14"/>
        <v>12-Servicio de apoyo   logístico  en eventos operativos y/o emergencias. 004_Servicio de atención a emergencias y desastres</v>
      </c>
      <c r="Z231" s="221" t="str">
        <f t="shared" si="15"/>
        <v>O23011745032024025512004</v>
      </c>
      <c r="AA231" s="221" t="str">
        <f>IFERROR(VLOOKUP(Y231,TD!$K$47:$L$65,2,0)," ")</f>
        <v>PM/0131/0112/45030040255</v>
      </c>
      <c r="AB231" s="53" t="s">
        <v>138</v>
      </c>
      <c r="AC231" s="223" t="s">
        <v>204</v>
      </c>
    </row>
    <row r="232" spans="2:29" s="28" customFormat="1" ht="99" customHeight="1" x14ac:dyDescent="0.35">
      <c r="B232" s="77">
        <v>20250182</v>
      </c>
      <c r="C232" s="50" t="s">
        <v>209</v>
      </c>
      <c r="D232" s="218" t="s">
        <v>168</v>
      </c>
      <c r="E232" s="219" t="s">
        <v>611</v>
      </c>
      <c r="F232" s="218" t="s">
        <v>746</v>
      </c>
      <c r="G232" s="218" t="s">
        <v>156</v>
      </c>
      <c r="H232" s="93">
        <v>80111600</v>
      </c>
      <c r="I232" s="220">
        <v>2</v>
      </c>
      <c r="J232" s="220">
        <v>10</v>
      </c>
      <c r="K232" s="52">
        <v>0</v>
      </c>
      <c r="L232" s="53">
        <v>35000000</v>
      </c>
      <c r="M232" s="218" t="s">
        <v>465</v>
      </c>
      <c r="N232" s="53" t="s">
        <v>113</v>
      </c>
      <c r="O232" s="219" t="s">
        <v>224</v>
      </c>
      <c r="P232" s="221" t="str">
        <f>IFERROR(VLOOKUP(C232,TD!$B$33:$F$37,2,0)," ")</f>
        <v>O230117</v>
      </c>
      <c r="Q232" s="221" t="str">
        <f>IFERROR(VLOOKUP(C232,TD!$B$33:$F$37,3,0)," ")</f>
        <v>4503</v>
      </c>
      <c r="R232" s="221">
        <f>IFERROR(VLOOKUP(C232,TD!$B$33:$F$37,4,0)," ")</f>
        <v>20240255</v>
      </c>
      <c r="S232" s="219" t="s">
        <v>187</v>
      </c>
      <c r="T232" s="221" t="str">
        <f>IFERROR(VLOOKUP(S232,TD!$J$34:$K$44,2,0)," ")</f>
        <v>Servicio de mantenimiento, dotación (HEA´s y equipo menor) y adquisición de vehiculos   especializados para la atención de emergencias.</v>
      </c>
      <c r="U232" s="222" t="str">
        <f t="shared" si="12"/>
        <v>09-Servicio de mantenimiento, dotación (HEA´s y equipo menor) y adquisición de vehiculos   especializados para la atención de emergencias.</v>
      </c>
      <c r="V232" s="219" t="s">
        <v>232</v>
      </c>
      <c r="W232" s="221" t="str">
        <f>IFERROR(VLOOKUP(V232,TD!$N$34:$O$46,2,0)," ")</f>
        <v>Servicio de atención a emergencias y desastres</v>
      </c>
      <c r="X232" s="222" t="str">
        <f t="shared" si="13"/>
        <v>004_Servicio de atención a emergencias y desastres</v>
      </c>
      <c r="Y232" s="222" t="str">
        <f t="shared" si="14"/>
        <v>09-Servicio de mantenimiento, dotación (HEA´s y equipo menor) y adquisición de vehiculos   especializados para la atención de emergencias. 004_Servicio de atención a emergencias y desastres</v>
      </c>
      <c r="Z232" s="221" t="str">
        <f t="shared" si="15"/>
        <v>O23011745032024025509004</v>
      </c>
      <c r="AA232" s="221" t="str">
        <f>IFERROR(VLOOKUP(Y232,TD!$K$47:$L$65,2,0)," ")</f>
        <v>PM/0131/0109/45030040255</v>
      </c>
      <c r="AB232" s="53" t="s">
        <v>138</v>
      </c>
      <c r="AC232" s="223" t="s">
        <v>204</v>
      </c>
    </row>
    <row r="233" spans="2:29" s="28" customFormat="1" ht="99" customHeight="1" x14ac:dyDescent="0.35">
      <c r="B233" s="77">
        <v>20250183</v>
      </c>
      <c r="C233" s="50" t="s">
        <v>209</v>
      </c>
      <c r="D233" s="218" t="s">
        <v>168</v>
      </c>
      <c r="E233" s="219" t="s">
        <v>611</v>
      </c>
      <c r="F233" s="218" t="s">
        <v>754</v>
      </c>
      <c r="G233" s="218" t="s">
        <v>155</v>
      </c>
      <c r="H233" s="93">
        <v>80111600</v>
      </c>
      <c r="I233" s="220">
        <v>2</v>
      </c>
      <c r="J233" s="220">
        <v>9</v>
      </c>
      <c r="K233" s="52">
        <v>0</v>
      </c>
      <c r="L233" s="53">
        <v>45000000</v>
      </c>
      <c r="M233" s="218" t="s">
        <v>465</v>
      </c>
      <c r="N233" s="53" t="s">
        <v>113</v>
      </c>
      <c r="O233" s="219" t="s">
        <v>224</v>
      </c>
      <c r="P233" s="221" t="str">
        <f>IFERROR(VLOOKUP(C233,TD!$B$33:$F$37,2,0)," ")</f>
        <v>O230117</v>
      </c>
      <c r="Q233" s="221" t="str">
        <f>IFERROR(VLOOKUP(C233,TD!$B$33:$F$37,3,0)," ")</f>
        <v>4503</v>
      </c>
      <c r="R233" s="221">
        <f>IFERROR(VLOOKUP(C233,TD!$B$33:$F$37,4,0)," ")</f>
        <v>20240255</v>
      </c>
      <c r="S233" s="219" t="s">
        <v>191</v>
      </c>
      <c r="T233" s="221" t="str">
        <f>IFERROR(VLOOKUP(S233,TD!$J$34:$K$44,2,0)," ")</f>
        <v>Servicio de apoyo   logístico  en eventos operativos y/o emergencias.</v>
      </c>
      <c r="U233" s="222" t="str">
        <f t="shared" si="12"/>
        <v>12-Servicio de apoyo   logístico  en eventos operativos y/o emergencias.</v>
      </c>
      <c r="V233" s="219" t="s">
        <v>232</v>
      </c>
      <c r="W233" s="221" t="str">
        <f>IFERROR(VLOOKUP(V233,TD!$N$34:$O$46,2,0)," ")</f>
        <v>Servicio de atención a emergencias y desastres</v>
      </c>
      <c r="X233" s="222" t="str">
        <f t="shared" si="13"/>
        <v>004_Servicio de atención a emergencias y desastres</v>
      </c>
      <c r="Y233" s="222" t="str">
        <f t="shared" si="14"/>
        <v>12-Servicio de apoyo   logístico  en eventos operativos y/o emergencias. 004_Servicio de atención a emergencias y desastres</v>
      </c>
      <c r="Z233" s="221" t="str">
        <f t="shared" si="15"/>
        <v>O23011745032024025512004</v>
      </c>
      <c r="AA233" s="221" t="str">
        <f>IFERROR(VLOOKUP(Y233,TD!$K$47:$L$65,2,0)," ")</f>
        <v>PM/0131/0112/45030040255</v>
      </c>
      <c r="AB233" s="53" t="s">
        <v>138</v>
      </c>
      <c r="AC233" s="223" t="s">
        <v>204</v>
      </c>
    </row>
    <row r="234" spans="2:29" s="28" customFormat="1" ht="99" customHeight="1" x14ac:dyDescent="0.35">
      <c r="B234" s="77">
        <v>20250184</v>
      </c>
      <c r="C234" s="50" t="s">
        <v>209</v>
      </c>
      <c r="D234" s="218" t="s">
        <v>168</v>
      </c>
      <c r="E234" s="219" t="s">
        <v>611</v>
      </c>
      <c r="F234" s="218" t="s">
        <v>755</v>
      </c>
      <c r="G234" s="218" t="s">
        <v>155</v>
      </c>
      <c r="H234" s="93">
        <v>80111600</v>
      </c>
      <c r="I234" s="220">
        <v>2</v>
      </c>
      <c r="J234" s="220">
        <v>10</v>
      </c>
      <c r="K234" s="52">
        <v>0</v>
      </c>
      <c r="L234" s="53">
        <v>70000000</v>
      </c>
      <c r="M234" s="218" t="s">
        <v>465</v>
      </c>
      <c r="N234" s="53" t="s">
        <v>113</v>
      </c>
      <c r="O234" s="219" t="s">
        <v>224</v>
      </c>
      <c r="P234" s="221" t="str">
        <f>IFERROR(VLOOKUP(C234,TD!$B$33:$F$37,2,0)," ")</f>
        <v>O230117</v>
      </c>
      <c r="Q234" s="221" t="str">
        <f>IFERROR(VLOOKUP(C234,TD!$B$33:$F$37,3,0)," ")</f>
        <v>4503</v>
      </c>
      <c r="R234" s="221">
        <f>IFERROR(VLOOKUP(C234,TD!$B$33:$F$37,4,0)," ")</f>
        <v>20240255</v>
      </c>
      <c r="S234" s="219" t="s">
        <v>191</v>
      </c>
      <c r="T234" s="221" t="str">
        <f>IFERROR(VLOOKUP(S234,TD!$J$34:$K$44,2,0)," ")</f>
        <v>Servicio de apoyo   logístico  en eventos operativos y/o emergencias.</v>
      </c>
      <c r="U234" s="222" t="str">
        <f t="shared" si="12"/>
        <v>12-Servicio de apoyo   logístico  en eventos operativos y/o emergencias.</v>
      </c>
      <c r="V234" s="219" t="s">
        <v>232</v>
      </c>
      <c r="W234" s="221" t="str">
        <f>IFERROR(VLOOKUP(V234,TD!$N$34:$O$46,2,0)," ")</f>
        <v>Servicio de atención a emergencias y desastres</v>
      </c>
      <c r="X234" s="222" t="str">
        <f t="shared" si="13"/>
        <v>004_Servicio de atención a emergencias y desastres</v>
      </c>
      <c r="Y234" s="222" t="str">
        <f t="shared" si="14"/>
        <v>12-Servicio de apoyo   logístico  en eventos operativos y/o emergencias. 004_Servicio de atención a emergencias y desastres</v>
      </c>
      <c r="Z234" s="221" t="str">
        <f t="shared" si="15"/>
        <v>O23011745032024025512004</v>
      </c>
      <c r="AA234" s="221" t="str">
        <f>IFERROR(VLOOKUP(Y234,TD!$K$47:$L$65,2,0)," ")</f>
        <v>PM/0131/0112/45030040255</v>
      </c>
      <c r="AB234" s="53" t="s">
        <v>138</v>
      </c>
      <c r="AC234" s="223" t="s">
        <v>204</v>
      </c>
    </row>
    <row r="235" spans="2:29" s="28" customFormat="1" ht="99" customHeight="1" x14ac:dyDescent="0.35">
      <c r="B235" s="77">
        <v>20250185</v>
      </c>
      <c r="C235" s="50" t="s">
        <v>209</v>
      </c>
      <c r="D235" s="218" t="s">
        <v>168</v>
      </c>
      <c r="E235" s="219" t="s">
        <v>611</v>
      </c>
      <c r="F235" s="218" t="s">
        <v>759</v>
      </c>
      <c r="G235" s="218" t="s">
        <v>156</v>
      </c>
      <c r="H235" s="93">
        <v>80111600</v>
      </c>
      <c r="I235" s="220">
        <v>2</v>
      </c>
      <c r="J235" s="220">
        <v>10</v>
      </c>
      <c r="K235" s="52">
        <v>0</v>
      </c>
      <c r="L235" s="53">
        <v>35000000</v>
      </c>
      <c r="M235" s="218" t="s">
        <v>465</v>
      </c>
      <c r="N235" s="53" t="s">
        <v>113</v>
      </c>
      <c r="O235" s="219" t="s">
        <v>224</v>
      </c>
      <c r="P235" s="221" t="str">
        <f>IFERROR(VLOOKUP(C235,TD!$B$33:$F$37,2,0)," ")</f>
        <v>O230117</v>
      </c>
      <c r="Q235" s="221" t="str">
        <f>IFERROR(VLOOKUP(C235,TD!$B$33:$F$37,3,0)," ")</f>
        <v>4503</v>
      </c>
      <c r="R235" s="221">
        <f>IFERROR(VLOOKUP(C235,TD!$B$33:$F$37,4,0)," ")</f>
        <v>20240255</v>
      </c>
      <c r="S235" s="219" t="s">
        <v>191</v>
      </c>
      <c r="T235" s="221" t="str">
        <f>IFERROR(VLOOKUP(S235,TD!$J$34:$K$44,2,0)," ")</f>
        <v>Servicio de apoyo   logístico  en eventos operativos y/o emergencias.</v>
      </c>
      <c r="U235" s="222" t="str">
        <f t="shared" si="12"/>
        <v>12-Servicio de apoyo   logístico  en eventos operativos y/o emergencias.</v>
      </c>
      <c r="V235" s="219" t="s">
        <v>232</v>
      </c>
      <c r="W235" s="221" t="str">
        <f>IFERROR(VLOOKUP(V235,TD!$N$34:$O$46,2,0)," ")</f>
        <v>Servicio de atención a emergencias y desastres</v>
      </c>
      <c r="X235" s="222" t="str">
        <f t="shared" si="13"/>
        <v>004_Servicio de atención a emergencias y desastres</v>
      </c>
      <c r="Y235" s="222" t="str">
        <f t="shared" si="14"/>
        <v>12-Servicio de apoyo   logístico  en eventos operativos y/o emergencias. 004_Servicio de atención a emergencias y desastres</v>
      </c>
      <c r="Z235" s="221" t="str">
        <f t="shared" si="15"/>
        <v>O23011745032024025512004</v>
      </c>
      <c r="AA235" s="221" t="str">
        <f>IFERROR(VLOOKUP(Y235,TD!$K$47:$L$65,2,0)," ")</f>
        <v>PM/0131/0112/45030040255</v>
      </c>
      <c r="AB235" s="53" t="s">
        <v>138</v>
      </c>
      <c r="AC235" s="223" t="s">
        <v>204</v>
      </c>
    </row>
    <row r="236" spans="2:29" s="28" customFormat="1" ht="99" customHeight="1" x14ac:dyDescent="0.35">
      <c r="B236" s="77">
        <v>20250186</v>
      </c>
      <c r="C236" s="50" t="s">
        <v>209</v>
      </c>
      <c r="D236" s="218" t="s">
        <v>168</v>
      </c>
      <c r="E236" s="219" t="s">
        <v>611</v>
      </c>
      <c r="F236" s="218" t="s">
        <v>756</v>
      </c>
      <c r="G236" s="218" t="s">
        <v>155</v>
      </c>
      <c r="H236" s="93">
        <v>80111600</v>
      </c>
      <c r="I236" s="220">
        <v>2</v>
      </c>
      <c r="J236" s="220">
        <v>10</v>
      </c>
      <c r="K236" s="52">
        <v>0</v>
      </c>
      <c r="L236" s="53">
        <v>55000000</v>
      </c>
      <c r="M236" s="218" t="s">
        <v>465</v>
      </c>
      <c r="N236" s="53" t="s">
        <v>113</v>
      </c>
      <c r="O236" s="219" t="s">
        <v>224</v>
      </c>
      <c r="P236" s="221" t="str">
        <f>IFERROR(VLOOKUP(C236,TD!$B$33:$F$37,2,0)," ")</f>
        <v>O230117</v>
      </c>
      <c r="Q236" s="221" t="str">
        <f>IFERROR(VLOOKUP(C236,TD!$B$33:$F$37,3,0)," ")</f>
        <v>4503</v>
      </c>
      <c r="R236" s="221">
        <f>IFERROR(VLOOKUP(C236,TD!$B$33:$F$37,4,0)," ")</f>
        <v>20240255</v>
      </c>
      <c r="S236" s="219" t="s">
        <v>191</v>
      </c>
      <c r="T236" s="221" t="str">
        <f>IFERROR(VLOOKUP(S236,TD!$J$34:$K$44,2,0)," ")</f>
        <v>Servicio de apoyo   logístico  en eventos operativos y/o emergencias.</v>
      </c>
      <c r="U236" s="222" t="str">
        <f t="shared" si="12"/>
        <v>12-Servicio de apoyo   logístico  en eventos operativos y/o emergencias.</v>
      </c>
      <c r="V236" s="219" t="s">
        <v>232</v>
      </c>
      <c r="W236" s="221" t="str">
        <f>IFERROR(VLOOKUP(V236,TD!$N$34:$O$46,2,0)," ")</f>
        <v>Servicio de atención a emergencias y desastres</v>
      </c>
      <c r="X236" s="222" t="str">
        <f t="shared" si="13"/>
        <v>004_Servicio de atención a emergencias y desastres</v>
      </c>
      <c r="Y236" s="222" t="str">
        <f t="shared" si="14"/>
        <v>12-Servicio de apoyo   logístico  en eventos operativos y/o emergencias. 004_Servicio de atención a emergencias y desastres</v>
      </c>
      <c r="Z236" s="221" t="str">
        <f t="shared" si="15"/>
        <v>O23011745032024025512004</v>
      </c>
      <c r="AA236" s="221" t="str">
        <f>IFERROR(VLOOKUP(Y236,TD!$K$47:$L$65,2,0)," ")</f>
        <v>PM/0131/0112/45030040255</v>
      </c>
      <c r="AB236" s="53" t="s">
        <v>138</v>
      </c>
      <c r="AC236" s="223" t="s">
        <v>204</v>
      </c>
    </row>
    <row r="237" spans="2:29" s="28" customFormat="1" ht="99" customHeight="1" x14ac:dyDescent="0.35">
      <c r="B237" s="77">
        <v>20250187</v>
      </c>
      <c r="C237" s="50" t="s">
        <v>209</v>
      </c>
      <c r="D237" s="218" t="s">
        <v>168</v>
      </c>
      <c r="E237" s="219" t="s">
        <v>611</v>
      </c>
      <c r="F237" s="218" t="s">
        <v>505</v>
      </c>
      <c r="G237" s="218" t="s">
        <v>155</v>
      </c>
      <c r="H237" s="93">
        <v>80111600</v>
      </c>
      <c r="I237" s="220">
        <v>2</v>
      </c>
      <c r="J237" s="220">
        <v>10</v>
      </c>
      <c r="K237" s="52">
        <v>0</v>
      </c>
      <c r="L237" s="53">
        <v>90000000</v>
      </c>
      <c r="M237" s="218" t="s">
        <v>465</v>
      </c>
      <c r="N237" s="53" t="s">
        <v>113</v>
      </c>
      <c r="O237" s="219" t="s">
        <v>224</v>
      </c>
      <c r="P237" s="221" t="str">
        <f>IFERROR(VLOOKUP(C237,TD!$B$33:$F$37,2,0)," ")</f>
        <v>O230117</v>
      </c>
      <c r="Q237" s="221" t="str">
        <f>IFERROR(VLOOKUP(C237,TD!$B$33:$F$37,3,0)," ")</f>
        <v>4503</v>
      </c>
      <c r="R237" s="221">
        <f>IFERROR(VLOOKUP(C237,TD!$B$33:$F$37,4,0)," ")</f>
        <v>20240255</v>
      </c>
      <c r="S237" s="219" t="s">
        <v>191</v>
      </c>
      <c r="T237" s="221" t="str">
        <f>IFERROR(VLOOKUP(S237,TD!$J$34:$K$44,2,0)," ")</f>
        <v>Servicio de apoyo   logístico  en eventos operativos y/o emergencias.</v>
      </c>
      <c r="U237" s="222" t="str">
        <f t="shared" si="12"/>
        <v>12-Servicio de apoyo   logístico  en eventos operativos y/o emergencias.</v>
      </c>
      <c r="V237" s="219" t="s">
        <v>232</v>
      </c>
      <c r="W237" s="221" t="str">
        <f>IFERROR(VLOOKUP(V237,TD!$N$34:$O$46,2,0)," ")</f>
        <v>Servicio de atención a emergencias y desastres</v>
      </c>
      <c r="X237" s="222" t="str">
        <f t="shared" si="13"/>
        <v>004_Servicio de atención a emergencias y desastres</v>
      </c>
      <c r="Y237" s="222" t="str">
        <f t="shared" si="14"/>
        <v>12-Servicio de apoyo   logístico  en eventos operativos y/o emergencias. 004_Servicio de atención a emergencias y desastres</v>
      </c>
      <c r="Z237" s="221" t="str">
        <f t="shared" si="15"/>
        <v>O23011745032024025512004</v>
      </c>
      <c r="AA237" s="221" t="str">
        <f>IFERROR(VLOOKUP(Y237,TD!$K$47:$L$65,2,0)," ")</f>
        <v>PM/0131/0112/45030040255</v>
      </c>
      <c r="AB237" s="53" t="s">
        <v>138</v>
      </c>
      <c r="AC237" s="223" t="s">
        <v>204</v>
      </c>
    </row>
    <row r="238" spans="2:29" s="28" customFormat="1" ht="99" customHeight="1" x14ac:dyDescent="0.35">
      <c r="B238" s="77">
        <v>20250188</v>
      </c>
      <c r="C238" s="50" t="s">
        <v>209</v>
      </c>
      <c r="D238" s="218" t="s">
        <v>168</v>
      </c>
      <c r="E238" s="219" t="s">
        <v>611</v>
      </c>
      <c r="F238" s="218" t="s">
        <v>757</v>
      </c>
      <c r="G238" s="218" t="s">
        <v>156</v>
      </c>
      <c r="H238" s="93">
        <v>80111600</v>
      </c>
      <c r="I238" s="220">
        <v>2</v>
      </c>
      <c r="J238" s="220">
        <v>9</v>
      </c>
      <c r="K238" s="52">
        <v>0</v>
      </c>
      <c r="L238" s="53">
        <v>28800000</v>
      </c>
      <c r="M238" s="218" t="s">
        <v>465</v>
      </c>
      <c r="N238" s="53" t="s">
        <v>113</v>
      </c>
      <c r="O238" s="219" t="s">
        <v>224</v>
      </c>
      <c r="P238" s="221" t="str">
        <f>IFERROR(VLOOKUP(C238,TD!$B$33:$F$37,2,0)," ")</f>
        <v>O230117</v>
      </c>
      <c r="Q238" s="221" t="str">
        <f>IFERROR(VLOOKUP(C238,TD!$B$33:$F$37,3,0)," ")</f>
        <v>4503</v>
      </c>
      <c r="R238" s="221">
        <f>IFERROR(VLOOKUP(C238,TD!$B$33:$F$37,4,0)," ")</f>
        <v>20240255</v>
      </c>
      <c r="S238" s="219" t="s">
        <v>187</v>
      </c>
      <c r="T238" s="221" t="str">
        <f>IFERROR(VLOOKUP(S238,TD!$J$34:$K$44,2,0)," ")</f>
        <v>Servicio de mantenimiento, dotación (HEA´s y equipo menor) y adquisición de vehiculos   especializados para la atención de emergencias.</v>
      </c>
      <c r="U238" s="222" t="str">
        <f t="shared" si="12"/>
        <v>09-Servicio de mantenimiento, dotación (HEA´s y equipo menor) y adquisición de vehiculos   especializados para la atención de emergencias.</v>
      </c>
      <c r="V238" s="219" t="s">
        <v>232</v>
      </c>
      <c r="W238" s="221" t="str">
        <f>IFERROR(VLOOKUP(V238,TD!$N$34:$O$46,2,0)," ")</f>
        <v>Servicio de atención a emergencias y desastres</v>
      </c>
      <c r="X238" s="222" t="str">
        <f t="shared" si="13"/>
        <v>004_Servicio de atención a emergencias y desastres</v>
      </c>
      <c r="Y238" s="222" t="str">
        <f t="shared" si="14"/>
        <v>09-Servicio de mantenimiento, dotación (HEA´s y equipo menor) y adquisición de vehiculos   especializados para la atención de emergencias. 004_Servicio de atención a emergencias y desastres</v>
      </c>
      <c r="Z238" s="221" t="str">
        <f t="shared" si="15"/>
        <v>O23011745032024025509004</v>
      </c>
      <c r="AA238" s="221" t="str">
        <f>IFERROR(VLOOKUP(Y238,TD!$K$47:$L$65,2,0)," ")</f>
        <v>PM/0131/0109/45030040255</v>
      </c>
      <c r="AB238" s="53" t="s">
        <v>138</v>
      </c>
      <c r="AC238" s="223" t="s">
        <v>204</v>
      </c>
    </row>
    <row r="239" spans="2:29" s="28" customFormat="1" ht="99" customHeight="1" x14ac:dyDescent="0.35">
      <c r="B239" s="77">
        <v>20250189</v>
      </c>
      <c r="C239" s="50" t="s">
        <v>209</v>
      </c>
      <c r="D239" s="218" t="s">
        <v>168</v>
      </c>
      <c r="E239" s="219" t="s">
        <v>611</v>
      </c>
      <c r="F239" s="218" t="s">
        <v>758</v>
      </c>
      <c r="G239" s="218" t="s">
        <v>156</v>
      </c>
      <c r="H239" s="93">
        <v>80111600</v>
      </c>
      <c r="I239" s="220">
        <v>2</v>
      </c>
      <c r="J239" s="220">
        <v>11</v>
      </c>
      <c r="K239" s="52">
        <v>0</v>
      </c>
      <c r="L239" s="53">
        <v>37400000</v>
      </c>
      <c r="M239" s="218" t="s">
        <v>465</v>
      </c>
      <c r="N239" s="53" t="s">
        <v>113</v>
      </c>
      <c r="O239" s="219" t="s">
        <v>224</v>
      </c>
      <c r="P239" s="221" t="str">
        <f>IFERROR(VLOOKUP(C239,TD!$B$33:$F$37,2,0)," ")</f>
        <v>O230117</v>
      </c>
      <c r="Q239" s="221" t="str">
        <f>IFERROR(VLOOKUP(C239,TD!$B$33:$F$37,3,0)," ")</f>
        <v>4503</v>
      </c>
      <c r="R239" s="221">
        <f>IFERROR(VLOOKUP(C239,TD!$B$33:$F$37,4,0)," ")</f>
        <v>20240255</v>
      </c>
      <c r="S239" s="219" t="s">
        <v>191</v>
      </c>
      <c r="T239" s="221" t="str">
        <f>IFERROR(VLOOKUP(S239,TD!$J$34:$K$44,2,0)," ")</f>
        <v>Servicio de apoyo   logístico  en eventos operativos y/o emergencias.</v>
      </c>
      <c r="U239" s="222" t="str">
        <f t="shared" si="12"/>
        <v>12-Servicio de apoyo   logístico  en eventos operativos y/o emergencias.</v>
      </c>
      <c r="V239" s="219" t="s">
        <v>232</v>
      </c>
      <c r="W239" s="221" t="str">
        <f>IFERROR(VLOOKUP(V239,TD!$N$34:$O$46,2,0)," ")</f>
        <v>Servicio de atención a emergencias y desastres</v>
      </c>
      <c r="X239" s="222" t="str">
        <f t="shared" si="13"/>
        <v>004_Servicio de atención a emergencias y desastres</v>
      </c>
      <c r="Y239" s="222" t="str">
        <f t="shared" si="14"/>
        <v>12-Servicio de apoyo   logístico  en eventos operativos y/o emergencias. 004_Servicio de atención a emergencias y desastres</v>
      </c>
      <c r="Z239" s="221" t="str">
        <f t="shared" si="15"/>
        <v>O23011745032024025512004</v>
      </c>
      <c r="AA239" s="221" t="str">
        <f>IFERROR(VLOOKUP(Y239,TD!$K$47:$L$65,2,0)," ")</f>
        <v>PM/0131/0112/45030040255</v>
      </c>
      <c r="AB239" s="53" t="s">
        <v>138</v>
      </c>
      <c r="AC239" s="223" t="s">
        <v>204</v>
      </c>
    </row>
    <row r="240" spans="2:29" s="28" customFormat="1" ht="99" customHeight="1" x14ac:dyDescent="0.35">
      <c r="B240" s="77">
        <v>20250190</v>
      </c>
      <c r="C240" s="50" t="s">
        <v>209</v>
      </c>
      <c r="D240" s="218" t="s">
        <v>168</v>
      </c>
      <c r="E240" s="219" t="s">
        <v>611</v>
      </c>
      <c r="F240" s="218" t="s">
        <v>832</v>
      </c>
      <c r="G240" s="218" t="s">
        <v>156</v>
      </c>
      <c r="H240" s="93">
        <v>80111600</v>
      </c>
      <c r="I240" s="220">
        <v>2</v>
      </c>
      <c r="J240" s="220">
        <v>10</v>
      </c>
      <c r="K240" s="52">
        <v>0</v>
      </c>
      <c r="L240" s="53">
        <v>35000000</v>
      </c>
      <c r="M240" s="218" t="s">
        <v>465</v>
      </c>
      <c r="N240" s="53" t="s">
        <v>113</v>
      </c>
      <c r="O240" s="219" t="s">
        <v>224</v>
      </c>
      <c r="P240" s="221" t="str">
        <f>IFERROR(VLOOKUP(C240,TD!$B$33:$F$37,2,0)," ")</f>
        <v>O230117</v>
      </c>
      <c r="Q240" s="221" t="str">
        <f>IFERROR(VLOOKUP(C240,TD!$B$33:$F$37,3,0)," ")</f>
        <v>4503</v>
      </c>
      <c r="R240" s="221">
        <f>IFERROR(VLOOKUP(C240,TD!$B$33:$F$37,4,0)," ")</f>
        <v>20240255</v>
      </c>
      <c r="S240" s="219" t="s">
        <v>191</v>
      </c>
      <c r="T240" s="221" t="str">
        <f>IFERROR(VLOOKUP(S240,TD!$J$34:$K$44,2,0)," ")</f>
        <v>Servicio de apoyo   logístico  en eventos operativos y/o emergencias.</v>
      </c>
      <c r="U240" s="222" t="str">
        <f t="shared" si="12"/>
        <v>12-Servicio de apoyo   logístico  en eventos operativos y/o emergencias.</v>
      </c>
      <c r="V240" s="219" t="s">
        <v>232</v>
      </c>
      <c r="W240" s="221" t="str">
        <f>IFERROR(VLOOKUP(V240,TD!$N$34:$O$46,2,0)," ")</f>
        <v>Servicio de atención a emergencias y desastres</v>
      </c>
      <c r="X240" s="222" t="str">
        <f t="shared" si="13"/>
        <v>004_Servicio de atención a emergencias y desastres</v>
      </c>
      <c r="Y240" s="222" t="str">
        <f t="shared" si="14"/>
        <v>12-Servicio de apoyo   logístico  en eventos operativos y/o emergencias. 004_Servicio de atención a emergencias y desastres</v>
      </c>
      <c r="Z240" s="221" t="str">
        <f t="shared" si="15"/>
        <v>O23011745032024025512004</v>
      </c>
      <c r="AA240" s="221" t="str">
        <f>IFERROR(VLOOKUP(Y240,TD!$K$47:$L$65,2,0)," ")</f>
        <v>PM/0131/0112/45030040255</v>
      </c>
      <c r="AB240" s="53" t="s">
        <v>138</v>
      </c>
      <c r="AC240" s="223" t="s">
        <v>204</v>
      </c>
    </row>
    <row r="241" spans="2:29" s="28" customFormat="1" ht="99" customHeight="1" x14ac:dyDescent="0.35">
      <c r="B241" s="77">
        <v>20250191</v>
      </c>
      <c r="C241" s="50" t="s">
        <v>209</v>
      </c>
      <c r="D241" s="218" t="s">
        <v>168</v>
      </c>
      <c r="E241" s="219" t="s">
        <v>611</v>
      </c>
      <c r="F241" s="218" t="s">
        <v>759</v>
      </c>
      <c r="G241" s="218" t="s">
        <v>156</v>
      </c>
      <c r="H241" s="93">
        <v>80111600</v>
      </c>
      <c r="I241" s="220">
        <v>2</v>
      </c>
      <c r="J241" s="220">
        <v>10</v>
      </c>
      <c r="K241" s="52">
        <v>0</v>
      </c>
      <c r="L241" s="53">
        <v>35000000</v>
      </c>
      <c r="M241" s="218" t="s">
        <v>465</v>
      </c>
      <c r="N241" s="53" t="s">
        <v>113</v>
      </c>
      <c r="O241" s="219" t="s">
        <v>224</v>
      </c>
      <c r="P241" s="221" t="str">
        <f>IFERROR(VLOOKUP(C241,TD!$B$33:$F$37,2,0)," ")</f>
        <v>O230117</v>
      </c>
      <c r="Q241" s="221" t="str">
        <f>IFERROR(VLOOKUP(C241,TD!$B$33:$F$37,3,0)," ")</f>
        <v>4503</v>
      </c>
      <c r="R241" s="221">
        <f>IFERROR(VLOOKUP(C241,TD!$B$33:$F$37,4,0)," ")</f>
        <v>20240255</v>
      </c>
      <c r="S241" s="219" t="s">
        <v>191</v>
      </c>
      <c r="T241" s="221" t="str">
        <f>IFERROR(VLOOKUP(S241,TD!$J$34:$K$44,2,0)," ")</f>
        <v>Servicio de apoyo   logístico  en eventos operativos y/o emergencias.</v>
      </c>
      <c r="U241" s="222" t="str">
        <f t="shared" si="12"/>
        <v>12-Servicio de apoyo   logístico  en eventos operativos y/o emergencias.</v>
      </c>
      <c r="V241" s="219" t="s">
        <v>232</v>
      </c>
      <c r="W241" s="221" t="str">
        <f>IFERROR(VLOOKUP(V241,TD!$N$34:$O$46,2,0)," ")</f>
        <v>Servicio de atención a emergencias y desastres</v>
      </c>
      <c r="X241" s="222" t="str">
        <f t="shared" si="13"/>
        <v>004_Servicio de atención a emergencias y desastres</v>
      </c>
      <c r="Y241" s="222" t="str">
        <f t="shared" si="14"/>
        <v>12-Servicio de apoyo   logístico  en eventos operativos y/o emergencias. 004_Servicio de atención a emergencias y desastres</v>
      </c>
      <c r="Z241" s="221" t="str">
        <f t="shared" si="15"/>
        <v>O23011745032024025512004</v>
      </c>
      <c r="AA241" s="221" t="str">
        <f>IFERROR(VLOOKUP(Y241,TD!$K$47:$L$65,2,0)," ")</f>
        <v>PM/0131/0112/45030040255</v>
      </c>
      <c r="AB241" s="53" t="s">
        <v>138</v>
      </c>
      <c r="AC241" s="223" t="s">
        <v>204</v>
      </c>
    </row>
    <row r="242" spans="2:29" s="28" customFormat="1" ht="99" customHeight="1" x14ac:dyDescent="0.35">
      <c r="B242" s="77">
        <v>20250192</v>
      </c>
      <c r="C242" s="50" t="s">
        <v>209</v>
      </c>
      <c r="D242" s="218" t="s">
        <v>168</v>
      </c>
      <c r="E242" s="219" t="s">
        <v>611</v>
      </c>
      <c r="F242" s="218" t="s">
        <v>760</v>
      </c>
      <c r="G242" s="218" t="s">
        <v>155</v>
      </c>
      <c r="H242" s="93">
        <v>80111600</v>
      </c>
      <c r="I242" s="220">
        <v>2</v>
      </c>
      <c r="J242" s="220">
        <v>11</v>
      </c>
      <c r="K242" s="52">
        <v>0</v>
      </c>
      <c r="L242" s="53">
        <v>102300000</v>
      </c>
      <c r="M242" s="218" t="s">
        <v>465</v>
      </c>
      <c r="N242" s="53" t="s">
        <v>113</v>
      </c>
      <c r="O242" s="219" t="s">
        <v>224</v>
      </c>
      <c r="P242" s="221" t="str">
        <f>IFERROR(VLOOKUP(C242,TD!$B$33:$F$37,2,0)," ")</f>
        <v>O230117</v>
      </c>
      <c r="Q242" s="221" t="str">
        <f>IFERROR(VLOOKUP(C242,TD!$B$33:$F$37,3,0)," ")</f>
        <v>4503</v>
      </c>
      <c r="R242" s="221">
        <f>IFERROR(VLOOKUP(C242,TD!$B$33:$F$37,4,0)," ")</f>
        <v>20240255</v>
      </c>
      <c r="S242" s="219" t="s">
        <v>187</v>
      </c>
      <c r="T242" s="221" t="str">
        <f>IFERROR(VLOOKUP(S242,TD!$J$34:$K$44,2,0)," ")</f>
        <v>Servicio de mantenimiento, dotación (HEA´s y equipo menor) y adquisición de vehiculos   especializados para la atención de emergencias.</v>
      </c>
      <c r="U242" s="222" t="str">
        <f t="shared" si="12"/>
        <v>09-Servicio de mantenimiento, dotación (HEA´s y equipo menor) y adquisición de vehiculos   especializados para la atención de emergencias.</v>
      </c>
      <c r="V242" s="219" t="s">
        <v>232</v>
      </c>
      <c r="W242" s="221" t="str">
        <f>IFERROR(VLOOKUP(V242,TD!$N$34:$O$46,2,0)," ")</f>
        <v>Servicio de atención a emergencias y desastres</v>
      </c>
      <c r="X242" s="222" t="str">
        <f t="shared" si="13"/>
        <v>004_Servicio de atención a emergencias y desastres</v>
      </c>
      <c r="Y242" s="222" t="str">
        <f t="shared" si="14"/>
        <v>09-Servicio de mantenimiento, dotación (HEA´s y equipo menor) y adquisición de vehiculos   especializados para la atención de emergencias. 004_Servicio de atención a emergencias y desastres</v>
      </c>
      <c r="Z242" s="221" t="str">
        <f t="shared" si="15"/>
        <v>O23011745032024025509004</v>
      </c>
      <c r="AA242" s="221" t="str">
        <f>IFERROR(VLOOKUP(Y242,TD!$K$47:$L$65,2,0)," ")</f>
        <v>PM/0131/0109/45030040255</v>
      </c>
      <c r="AB242" s="53" t="s">
        <v>138</v>
      </c>
      <c r="AC242" s="223" t="s">
        <v>204</v>
      </c>
    </row>
    <row r="243" spans="2:29" s="28" customFormat="1" ht="99" customHeight="1" x14ac:dyDescent="0.35">
      <c r="B243" s="77">
        <v>20250193</v>
      </c>
      <c r="C243" s="50" t="s">
        <v>209</v>
      </c>
      <c r="D243" s="218" t="s">
        <v>168</v>
      </c>
      <c r="E243" s="219" t="s">
        <v>611</v>
      </c>
      <c r="F243" s="218" t="s">
        <v>891</v>
      </c>
      <c r="G243" s="218" t="s">
        <v>156</v>
      </c>
      <c r="H243" s="93">
        <v>80111600</v>
      </c>
      <c r="I243" s="220">
        <v>3</v>
      </c>
      <c r="J243" s="220">
        <v>8</v>
      </c>
      <c r="K243" s="52">
        <v>0</v>
      </c>
      <c r="L243" s="53">
        <v>36104333</v>
      </c>
      <c r="M243" s="218" t="s">
        <v>465</v>
      </c>
      <c r="N243" s="53" t="s">
        <v>113</v>
      </c>
      <c r="O243" s="219" t="s">
        <v>224</v>
      </c>
      <c r="P243" s="221" t="str">
        <f>IFERROR(VLOOKUP(C243,TD!$B$33:$F$37,2,0)," ")</f>
        <v>O230117</v>
      </c>
      <c r="Q243" s="221" t="str">
        <f>IFERROR(VLOOKUP(C243,TD!$B$33:$F$37,3,0)," ")</f>
        <v>4503</v>
      </c>
      <c r="R243" s="221">
        <f>IFERROR(VLOOKUP(C243,TD!$B$33:$F$37,4,0)," ")</f>
        <v>20240255</v>
      </c>
      <c r="S243" s="219" t="s">
        <v>191</v>
      </c>
      <c r="T243" s="221" t="str">
        <f>IFERROR(VLOOKUP(S243,TD!$J$34:$K$44,2,0)," ")</f>
        <v>Servicio de apoyo   logístico  en eventos operativos y/o emergencias.</v>
      </c>
      <c r="U243" s="222" t="str">
        <f t="shared" si="12"/>
        <v>12-Servicio de apoyo   logístico  en eventos operativos y/o emergencias.</v>
      </c>
      <c r="V243" s="219" t="s">
        <v>232</v>
      </c>
      <c r="W243" s="221" t="str">
        <f>IFERROR(VLOOKUP(V243,TD!$N$34:$O$46,2,0)," ")</f>
        <v>Servicio de atención a emergencias y desastres</v>
      </c>
      <c r="X243" s="222" t="str">
        <f t="shared" si="13"/>
        <v>004_Servicio de atención a emergencias y desastres</v>
      </c>
      <c r="Y243" s="222" t="str">
        <f t="shared" si="14"/>
        <v>12-Servicio de apoyo   logístico  en eventos operativos y/o emergencias. 004_Servicio de atención a emergencias y desastres</v>
      </c>
      <c r="Z243" s="221" t="str">
        <f t="shared" si="15"/>
        <v>O23011745032024025512004</v>
      </c>
      <c r="AA243" s="221" t="str">
        <f>IFERROR(VLOOKUP(Y243,TD!$K$47:$L$65,2,0)," ")</f>
        <v>PM/0131/0112/45030040255</v>
      </c>
      <c r="AB243" s="53" t="s">
        <v>138</v>
      </c>
      <c r="AC243" s="223" t="s">
        <v>204</v>
      </c>
    </row>
    <row r="244" spans="2:29" s="28" customFormat="1" ht="99" customHeight="1" x14ac:dyDescent="0.35">
      <c r="B244" s="77">
        <v>20250194</v>
      </c>
      <c r="C244" s="50" t="s">
        <v>209</v>
      </c>
      <c r="D244" s="218" t="s">
        <v>168</v>
      </c>
      <c r="E244" s="219" t="s">
        <v>611</v>
      </c>
      <c r="F244" s="218" t="s">
        <v>506</v>
      </c>
      <c r="G244" s="218" t="s">
        <v>155</v>
      </c>
      <c r="H244" s="93">
        <v>80111600</v>
      </c>
      <c r="I244" s="220">
        <v>2</v>
      </c>
      <c r="J244" s="220">
        <v>11</v>
      </c>
      <c r="K244" s="52">
        <v>0</v>
      </c>
      <c r="L244" s="53">
        <v>61800000</v>
      </c>
      <c r="M244" s="218" t="s">
        <v>465</v>
      </c>
      <c r="N244" s="53" t="s">
        <v>113</v>
      </c>
      <c r="O244" s="219" t="s">
        <v>224</v>
      </c>
      <c r="P244" s="221" t="str">
        <f>IFERROR(VLOOKUP(C244,TD!$B$33:$F$37,2,0)," ")</f>
        <v>O230117</v>
      </c>
      <c r="Q244" s="221" t="str">
        <f>IFERROR(VLOOKUP(C244,TD!$B$33:$F$37,3,0)," ")</f>
        <v>4503</v>
      </c>
      <c r="R244" s="221">
        <f>IFERROR(VLOOKUP(C244,TD!$B$33:$F$37,4,0)," ")</f>
        <v>20240255</v>
      </c>
      <c r="S244" s="219" t="s">
        <v>191</v>
      </c>
      <c r="T244" s="221" t="str">
        <f>IFERROR(VLOOKUP(S244,TD!$J$34:$K$44,2,0)," ")</f>
        <v>Servicio de apoyo   logístico  en eventos operativos y/o emergencias.</v>
      </c>
      <c r="U244" s="222" t="str">
        <f t="shared" si="12"/>
        <v>12-Servicio de apoyo   logístico  en eventos operativos y/o emergencias.</v>
      </c>
      <c r="V244" s="219" t="s">
        <v>232</v>
      </c>
      <c r="W244" s="221" t="str">
        <f>IFERROR(VLOOKUP(V244,TD!$N$34:$O$46,2,0)," ")</f>
        <v>Servicio de atención a emergencias y desastres</v>
      </c>
      <c r="X244" s="222" t="str">
        <f t="shared" si="13"/>
        <v>004_Servicio de atención a emergencias y desastres</v>
      </c>
      <c r="Y244" s="222" t="str">
        <f t="shared" si="14"/>
        <v>12-Servicio de apoyo   logístico  en eventos operativos y/o emergencias. 004_Servicio de atención a emergencias y desastres</v>
      </c>
      <c r="Z244" s="221" t="str">
        <f t="shared" si="15"/>
        <v>O23011745032024025512004</v>
      </c>
      <c r="AA244" s="221" t="str">
        <f>IFERROR(VLOOKUP(Y244,TD!$K$47:$L$65,2,0)," ")</f>
        <v>PM/0131/0112/45030040255</v>
      </c>
      <c r="AB244" s="53" t="s">
        <v>138</v>
      </c>
      <c r="AC244" s="223" t="s">
        <v>204</v>
      </c>
    </row>
    <row r="245" spans="2:29" s="28" customFormat="1" ht="99" customHeight="1" x14ac:dyDescent="0.35">
      <c r="B245" s="77">
        <v>20250195</v>
      </c>
      <c r="C245" s="50" t="s">
        <v>209</v>
      </c>
      <c r="D245" s="218" t="s">
        <v>168</v>
      </c>
      <c r="E245" s="219" t="s">
        <v>611</v>
      </c>
      <c r="F245" s="218" t="s">
        <v>761</v>
      </c>
      <c r="G245" s="218" t="s">
        <v>155</v>
      </c>
      <c r="H245" s="93">
        <v>80111600</v>
      </c>
      <c r="I245" s="220">
        <v>2</v>
      </c>
      <c r="J245" s="220">
        <v>10</v>
      </c>
      <c r="K245" s="52">
        <v>0</v>
      </c>
      <c r="L245" s="53">
        <v>93000000</v>
      </c>
      <c r="M245" s="218" t="s">
        <v>465</v>
      </c>
      <c r="N245" s="53" t="s">
        <v>113</v>
      </c>
      <c r="O245" s="219" t="s">
        <v>224</v>
      </c>
      <c r="P245" s="221" t="str">
        <f>IFERROR(VLOOKUP(C245,TD!$B$33:$F$37,2,0)," ")</f>
        <v>O230117</v>
      </c>
      <c r="Q245" s="221" t="str">
        <f>IFERROR(VLOOKUP(C245,TD!$B$33:$F$37,3,0)," ")</f>
        <v>4503</v>
      </c>
      <c r="R245" s="221">
        <f>IFERROR(VLOOKUP(C245,TD!$B$33:$F$37,4,0)," ")</f>
        <v>20240255</v>
      </c>
      <c r="S245" s="219" t="s">
        <v>191</v>
      </c>
      <c r="T245" s="221" t="str">
        <f>IFERROR(VLOOKUP(S245,TD!$J$34:$K$44,2,0)," ")</f>
        <v>Servicio de apoyo   logístico  en eventos operativos y/o emergencias.</v>
      </c>
      <c r="U245" s="222" t="str">
        <f t="shared" si="12"/>
        <v>12-Servicio de apoyo   logístico  en eventos operativos y/o emergencias.</v>
      </c>
      <c r="V245" s="219" t="s">
        <v>232</v>
      </c>
      <c r="W245" s="221" t="str">
        <f>IFERROR(VLOOKUP(V245,TD!$N$34:$O$46,2,0)," ")</f>
        <v>Servicio de atención a emergencias y desastres</v>
      </c>
      <c r="X245" s="222" t="str">
        <f t="shared" si="13"/>
        <v>004_Servicio de atención a emergencias y desastres</v>
      </c>
      <c r="Y245" s="222" t="str">
        <f t="shared" si="14"/>
        <v>12-Servicio de apoyo   logístico  en eventos operativos y/o emergencias. 004_Servicio de atención a emergencias y desastres</v>
      </c>
      <c r="Z245" s="221" t="str">
        <f t="shared" si="15"/>
        <v>O23011745032024025512004</v>
      </c>
      <c r="AA245" s="221" t="str">
        <f>IFERROR(VLOOKUP(Y245,TD!$K$47:$L$65,2,0)," ")</f>
        <v>PM/0131/0112/45030040255</v>
      </c>
      <c r="AB245" s="53" t="s">
        <v>120</v>
      </c>
      <c r="AC245" s="223" t="s">
        <v>204</v>
      </c>
    </row>
    <row r="246" spans="2:29" s="28" customFormat="1" ht="99" customHeight="1" x14ac:dyDescent="0.35">
      <c r="B246" s="77">
        <v>20250196</v>
      </c>
      <c r="C246" s="50" t="s">
        <v>209</v>
      </c>
      <c r="D246" s="218" t="s">
        <v>168</v>
      </c>
      <c r="E246" s="219" t="s">
        <v>611</v>
      </c>
      <c r="F246" s="218" t="s">
        <v>507</v>
      </c>
      <c r="G246" s="218" t="s">
        <v>155</v>
      </c>
      <c r="H246" s="93">
        <v>80111600</v>
      </c>
      <c r="I246" s="220">
        <v>2</v>
      </c>
      <c r="J246" s="220">
        <v>11</v>
      </c>
      <c r="K246" s="52">
        <v>0</v>
      </c>
      <c r="L246" s="53">
        <v>49500000</v>
      </c>
      <c r="M246" s="218" t="s">
        <v>465</v>
      </c>
      <c r="N246" s="53" t="s">
        <v>113</v>
      </c>
      <c r="O246" s="219" t="s">
        <v>224</v>
      </c>
      <c r="P246" s="221" t="str">
        <f>IFERROR(VLOOKUP(C246,TD!$B$33:$F$37,2,0)," ")</f>
        <v>O230117</v>
      </c>
      <c r="Q246" s="221" t="str">
        <f>IFERROR(VLOOKUP(C246,TD!$B$33:$F$37,3,0)," ")</f>
        <v>4503</v>
      </c>
      <c r="R246" s="221">
        <f>IFERROR(VLOOKUP(C246,TD!$B$33:$F$37,4,0)," ")</f>
        <v>20240255</v>
      </c>
      <c r="S246" s="219" t="s">
        <v>191</v>
      </c>
      <c r="T246" s="221" t="str">
        <f>IFERROR(VLOOKUP(S246,TD!$J$34:$K$44,2,0)," ")</f>
        <v>Servicio de apoyo   logístico  en eventos operativos y/o emergencias.</v>
      </c>
      <c r="U246" s="222" t="str">
        <f t="shared" si="12"/>
        <v>12-Servicio de apoyo   logístico  en eventos operativos y/o emergencias.</v>
      </c>
      <c r="V246" s="219" t="s">
        <v>232</v>
      </c>
      <c r="W246" s="221" t="str">
        <f>IFERROR(VLOOKUP(V246,TD!$N$34:$O$46,2,0)," ")</f>
        <v>Servicio de atención a emergencias y desastres</v>
      </c>
      <c r="X246" s="222" t="str">
        <f t="shared" si="13"/>
        <v>004_Servicio de atención a emergencias y desastres</v>
      </c>
      <c r="Y246" s="222" t="str">
        <f t="shared" si="14"/>
        <v>12-Servicio de apoyo   logístico  en eventos operativos y/o emergencias. 004_Servicio de atención a emergencias y desastres</v>
      </c>
      <c r="Z246" s="221" t="str">
        <f t="shared" si="15"/>
        <v>O23011745032024025512004</v>
      </c>
      <c r="AA246" s="221" t="str">
        <f>IFERROR(VLOOKUP(Y246,TD!$K$47:$L$65,2,0)," ")</f>
        <v>PM/0131/0112/45030040255</v>
      </c>
      <c r="AB246" s="53" t="s">
        <v>138</v>
      </c>
      <c r="AC246" s="223" t="s">
        <v>204</v>
      </c>
    </row>
    <row r="247" spans="2:29" s="28" customFormat="1" ht="99" customHeight="1" x14ac:dyDescent="0.35">
      <c r="B247" s="77">
        <v>20250197</v>
      </c>
      <c r="C247" s="50" t="s">
        <v>209</v>
      </c>
      <c r="D247" s="218" t="s">
        <v>168</v>
      </c>
      <c r="E247" s="219" t="s">
        <v>611</v>
      </c>
      <c r="F247" s="218" t="s">
        <v>762</v>
      </c>
      <c r="G247" s="218" t="s">
        <v>155</v>
      </c>
      <c r="H247" s="93">
        <v>80111600</v>
      </c>
      <c r="I247" s="220">
        <v>2</v>
      </c>
      <c r="J247" s="220">
        <v>11</v>
      </c>
      <c r="K247" s="52">
        <v>0</v>
      </c>
      <c r="L247" s="53">
        <v>49500000</v>
      </c>
      <c r="M247" s="218" t="s">
        <v>465</v>
      </c>
      <c r="N247" s="53" t="s">
        <v>113</v>
      </c>
      <c r="O247" s="219" t="s">
        <v>224</v>
      </c>
      <c r="P247" s="221" t="str">
        <f>IFERROR(VLOOKUP(C247,TD!$B$33:$F$37,2,0)," ")</f>
        <v>O230117</v>
      </c>
      <c r="Q247" s="221" t="str">
        <f>IFERROR(VLOOKUP(C247,TD!$B$33:$F$37,3,0)," ")</f>
        <v>4503</v>
      </c>
      <c r="R247" s="221">
        <f>IFERROR(VLOOKUP(C247,TD!$B$33:$F$37,4,0)," ")</f>
        <v>20240255</v>
      </c>
      <c r="S247" s="219" t="s">
        <v>191</v>
      </c>
      <c r="T247" s="221" t="str">
        <f>IFERROR(VLOOKUP(S247,TD!$J$34:$K$44,2,0)," ")</f>
        <v>Servicio de apoyo   logístico  en eventos operativos y/o emergencias.</v>
      </c>
      <c r="U247" s="222" t="str">
        <f t="shared" si="12"/>
        <v>12-Servicio de apoyo   logístico  en eventos operativos y/o emergencias.</v>
      </c>
      <c r="V247" s="219" t="s">
        <v>232</v>
      </c>
      <c r="W247" s="221" t="str">
        <f>IFERROR(VLOOKUP(V247,TD!$N$34:$O$46,2,0)," ")</f>
        <v>Servicio de atención a emergencias y desastres</v>
      </c>
      <c r="X247" s="222" t="str">
        <f t="shared" si="13"/>
        <v>004_Servicio de atención a emergencias y desastres</v>
      </c>
      <c r="Y247" s="222" t="str">
        <f t="shared" si="14"/>
        <v>12-Servicio de apoyo   logístico  en eventos operativos y/o emergencias. 004_Servicio de atención a emergencias y desastres</v>
      </c>
      <c r="Z247" s="221" t="str">
        <f t="shared" si="15"/>
        <v>O23011745032024025512004</v>
      </c>
      <c r="AA247" s="221" t="str">
        <f>IFERROR(VLOOKUP(Y247,TD!$K$47:$L$65,2,0)," ")</f>
        <v>PM/0131/0112/45030040255</v>
      </c>
      <c r="AB247" s="53" t="s">
        <v>138</v>
      </c>
      <c r="AC247" s="223" t="s">
        <v>204</v>
      </c>
    </row>
    <row r="248" spans="2:29" s="28" customFormat="1" ht="99" customHeight="1" x14ac:dyDescent="0.35">
      <c r="B248" s="77">
        <v>20250198</v>
      </c>
      <c r="C248" s="50" t="s">
        <v>209</v>
      </c>
      <c r="D248" s="218" t="s">
        <v>168</v>
      </c>
      <c r="E248" s="219" t="s">
        <v>611</v>
      </c>
      <c r="F248" s="218" t="s">
        <v>763</v>
      </c>
      <c r="G248" s="218" t="s">
        <v>155</v>
      </c>
      <c r="H248" s="93">
        <v>80111600</v>
      </c>
      <c r="I248" s="220">
        <v>2</v>
      </c>
      <c r="J248" s="220">
        <v>11</v>
      </c>
      <c r="K248" s="52">
        <v>0</v>
      </c>
      <c r="L248" s="53">
        <v>93500000</v>
      </c>
      <c r="M248" s="218" t="s">
        <v>465</v>
      </c>
      <c r="N248" s="53" t="s">
        <v>113</v>
      </c>
      <c r="O248" s="219" t="s">
        <v>224</v>
      </c>
      <c r="P248" s="221" t="str">
        <f>IFERROR(VLOOKUP(C248,TD!$B$33:$F$37,2,0)," ")</f>
        <v>O230117</v>
      </c>
      <c r="Q248" s="221" t="str">
        <f>IFERROR(VLOOKUP(C248,TD!$B$33:$F$37,3,0)," ")</f>
        <v>4503</v>
      </c>
      <c r="R248" s="221">
        <f>IFERROR(VLOOKUP(C248,TD!$B$33:$F$37,4,0)," ")</f>
        <v>20240255</v>
      </c>
      <c r="S248" s="219" t="s">
        <v>187</v>
      </c>
      <c r="T248" s="221" t="str">
        <f>IFERROR(VLOOKUP(S248,TD!$J$34:$K$44,2,0)," ")</f>
        <v>Servicio de mantenimiento, dotación (HEA´s y equipo menor) y adquisición de vehiculos   especializados para la atención de emergencias.</v>
      </c>
      <c r="U248" s="222" t="str">
        <f t="shared" si="12"/>
        <v>09-Servicio de mantenimiento, dotación (HEA´s y equipo menor) y adquisición de vehiculos   especializados para la atención de emergencias.</v>
      </c>
      <c r="V248" s="219" t="s">
        <v>232</v>
      </c>
      <c r="W248" s="221" t="str">
        <f>IFERROR(VLOOKUP(V248,TD!$N$34:$O$46,2,0)," ")</f>
        <v>Servicio de atención a emergencias y desastres</v>
      </c>
      <c r="X248" s="222" t="str">
        <f t="shared" si="13"/>
        <v>004_Servicio de atención a emergencias y desastres</v>
      </c>
      <c r="Y248" s="222" t="str">
        <f t="shared" si="14"/>
        <v>09-Servicio de mantenimiento, dotación (HEA´s y equipo menor) y adquisición de vehiculos   especializados para la atención de emergencias. 004_Servicio de atención a emergencias y desastres</v>
      </c>
      <c r="Z248" s="221" t="str">
        <f t="shared" si="15"/>
        <v>O23011745032024025509004</v>
      </c>
      <c r="AA248" s="221" t="str">
        <f>IFERROR(VLOOKUP(Y248,TD!$K$47:$L$65,2,0)," ")</f>
        <v>PM/0131/0109/45030040255</v>
      </c>
      <c r="AB248" s="53" t="s">
        <v>138</v>
      </c>
      <c r="AC248" s="223" t="s">
        <v>204</v>
      </c>
    </row>
    <row r="249" spans="2:29" s="28" customFormat="1" ht="99" customHeight="1" x14ac:dyDescent="0.35">
      <c r="B249" s="77">
        <v>20250199</v>
      </c>
      <c r="C249" s="50" t="s">
        <v>209</v>
      </c>
      <c r="D249" s="218" t="s">
        <v>168</v>
      </c>
      <c r="E249" s="219" t="s">
        <v>611</v>
      </c>
      <c r="F249" s="218" t="s">
        <v>764</v>
      </c>
      <c r="G249" s="218" t="s">
        <v>155</v>
      </c>
      <c r="H249" s="93">
        <v>80111600</v>
      </c>
      <c r="I249" s="220">
        <v>2</v>
      </c>
      <c r="J249" s="220">
        <v>11</v>
      </c>
      <c r="K249" s="52">
        <v>0</v>
      </c>
      <c r="L249" s="53">
        <v>60500000</v>
      </c>
      <c r="M249" s="218" t="s">
        <v>465</v>
      </c>
      <c r="N249" s="53" t="s">
        <v>113</v>
      </c>
      <c r="O249" s="219" t="s">
        <v>224</v>
      </c>
      <c r="P249" s="221" t="str">
        <f>IFERROR(VLOOKUP(C249,TD!$B$33:$F$37,2,0)," ")</f>
        <v>O230117</v>
      </c>
      <c r="Q249" s="221" t="str">
        <f>IFERROR(VLOOKUP(C249,TD!$B$33:$F$37,3,0)," ")</f>
        <v>4503</v>
      </c>
      <c r="R249" s="221">
        <f>IFERROR(VLOOKUP(C249,TD!$B$33:$F$37,4,0)," ")</f>
        <v>20240255</v>
      </c>
      <c r="S249" s="219" t="s">
        <v>191</v>
      </c>
      <c r="T249" s="221" t="str">
        <f>IFERROR(VLOOKUP(S249,TD!$J$34:$K$44,2,0)," ")</f>
        <v>Servicio de apoyo   logístico  en eventos operativos y/o emergencias.</v>
      </c>
      <c r="U249" s="222" t="str">
        <f t="shared" si="12"/>
        <v>12-Servicio de apoyo   logístico  en eventos operativos y/o emergencias.</v>
      </c>
      <c r="V249" s="219" t="s">
        <v>232</v>
      </c>
      <c r="W249" s="221" t="str">
        <f>IFERROR(VLOOKUP(V249,TD!$N$34:$O$46,2,0)," ")</f>
        <v>Servicio de atención a emergencias y desastres</v>
      </c>
      <c r="X249" s="222" t="str">
        <f t="shared" si="13"/>
        <v>004_Servicio de atención a emergencias y desastres</v>
      </c>
      <c r="Y249" s="222" t="str">
        <f t="shared" si="14"/>
        <v>12-Servicio de apoyo   logístico  en eventos operativos y/o emergencias. 004_Servicio de atención a emergencias y desastres</v>
      </c>
      <c r="Z249" s="221" t="str">
        <f t="shared" si="15"/>
        <v>O23011745032024025512004</v>
      </c>
      <c r="AA249" s="221" t="str">
        <f>IFERROR(VLOOKUP(Y249,TD!$K$47:$L$65,2,0)," ")</f>
        <v>PM/0131/0112/45030040255</v>
      </c>
      <c r="AB249" s="53" t="s">
        <v>138</v>
      </c>
      <c r="AC249" s="223" t="s">
        <v>204</v>
      </c>
    </row>
    <row r="250" spans="2:29" s="28" customFormat="1" ht="99" customHeight="1" x14ac:dyDescent="0.35">
      <c r="B250" s="77">
        <v>20250200</v>
      </c>
      <c r="C250" s="50" t="s">
        <v>209</v>
      </c>
      <c r="D250" s="218" t="s">
        <v>168</v>
      </c>
      <c r="E250" s="219" t="s">
        <v>611</v>
      </c>
      <c r="F250" s="218" t="s">
        <v>765</v>
      </c>
      <c r="G250" s="218" t="s">
        <v>156</v>
      </c>
      <c r="H250" s="93">
        <v>80111600</v>
      </c>
      <c r="I250" s="220">
        <v>2</v>
      </c>
      <c r="J250" s="220">
        <v>10</v>
      </c>
      <c r="K250" s="52">
        <v>0</v>
      </c>
      <c r="L250" s="53">
        <v>33000000</v>
      </c>
      <c r="M250" s="218" t="s">
        <v>465</v>
      </c>
      <c r="N250" s="53" t="s">
        <v>113</v>
      </c>
      <c r="O250" s="219" t="s">
        <v>224</v>
      </c>
      <c r="P250" s="221" t="str">
        <f>IFERROR(VLOOKUP(C250,TD!$B$33:$F$37,2,0)," ")</f>
        <v>O230117</v>
      </c>
      <c r="Q250" s="221" t="str">
        <f>IFERROR(VLOOKUP(C250,TD!$B$33:$F$37,3,0)," ")</f>
        <v>4503</v>
      </c>
      <c r="R250" s="221">
        <f>IFERROR(VLOOKUP(C250,TD!$B$33:$F$37,4,0)," ")</f>
        <v>20240255</v>
      </c>
      <c r="S250" s="219" t="s">
        <v>191</v>
      </c>
      <c r="T250" s="221" t="str">
        <f>IFERROR(VLOOKUP(S250,TD!$J$34:$K$44,2,0)," ")</f>
        <v>Servicio de apoyo   logístico  en eventos operativos y/o emergencias.</v>
      </c>
      <c r="U250" s="222" t="str">
        <f t="shared" si="12"/>
        <v>12-Servicio de apoyo   logístico  en eventos operativos y/o emergencias.</v>
      </c>
      <c r="V250" s="219" t="s">
        <v>232</v>
      </c>
      <c r="W250" s="221" t="str">
        <f>IFERROR(VLOOKUP(V250,TD!$N$34:$O$46,2,0)," ")</f>
        <v>Servicio de atención a emergencias y desastres</v>
      </c>
      <c r="X250" s="222" t="str">
        <f t="shared" si="13"/>
        <v>004_Servicio de atención a emergencias y desastres</v>
      </c>
      <c r="Y250" s="222" t="str">
        <f t="shared" si="14"/>
        <v>12-Servicio de apoyo   logístico  en eventos operativos y/o emergencias. 004_Servicio de atención a emergencias y desastres</v>
      </c>
      <c r="Z250" s="221" t="str">
        <f t="shared" si="15"/>
        <v>O23011745032024025512004</v>
      </c>
      <c r="AA250" s="221" t="str">
        <f>IFERROR(VLOOKUP(Y250,TD!$K$47:$L$65,2,0)," ")</f>
        <v>PM/0131/0112/45030040255</v>
      </c>
      <c r="AB250" s="53" t="s">
        <v>138</v>
      </c>
      <c r="AC250" s="223" t="s">
        <v>204</v>
      </c>
    </row>
    <row r="251" spans="2:29" s="28" customFormat="1" ht="99" customHeight="1" x14ac:dyDescent="0.35">
      <c r="B251" s="77">
        <v>20250201</v>
      </c>
      <c r="C251" s="50" t="s">
        <v>209</v>
      </c>
      <c r="D251" s="218" t="s">
        <v>168</v>
      </c>
      <c r="E251" s="219" t="s">
        <v>611</v>
      </c>
      <c r="F251" s="218" t="s">
        <v>766</v>
      </c>
      <c r="G251" s="218" t="s">
        <v>155</v>
      </c>
      <c r="H251" s="93">
        <v>80111600</v>
      </c>
      <c r="I251" s="220">
        <v>2</v>
      </c>
      <c r="J251" s="220">
        <v>11</v>
      </c>
      <c r="K251" s="52">
        <v>0</v>
      </c>
      <c r="L251" s="53">
        <v>55000000</v>
      </c>
      <c r="M251" s="218" t="s">
        <v>465</v>
      </c>
      <c r="N251" s="53" t="s">
        <v>113</v>
      </c>
      <c r="O251" s="219" t="s">
        <v>224</v>
      </c>
      <c r="P251" s="221" t="str">
        <f>IFERROR(VLOOKUP(C251,TD!$B$33:$F$37,2,0)," ")</f>
        <v>O230117</v>
      </c>
      <c r="Q251" s="221" t="str">
        <f>IFERROR(VLOOKUP(C251,TD!$B$33:$F$37,3,0)," ")</f>
        <v>4503</v>
      </c>
      <c r="R251" s="221">
        <f>IFERROR(VLOOKUP(C251,TD!$B$33:$F$37,4,0)," ")</f>
        <v>20240255</v>
      </c>
      <c r="S251" s="219" t="s">
        <v>191</v>
      </c>
      <c r="T251" s="221" t="str">
        <f>IFERROR(VLOOKUP(S251,TD!$J$34:$K$44,2,0)," ")</f>
        <v>Servicio de apoyo   logístico  en eventos operativos y/o emergencias.</v>
      </c>
      <c r="U251" s="222" t="str">
        <f t="shared" si="12"/>
        <v>12-Servicio de apoyo   logístico  en eventos operativos y/o emergencias.</v>
      </c>
      <c r="V251" s="219" t="s">
        <v>232</v>
      </c>
      <c r="W251" s="221" t="str">
        <f>IFERROR(VLOOKUP(V251,TD!$N$34:$O$46,2,0)," ")</f>
        <v>Servicio de atención a emergencias y desastres</v>
      </c>
      <c r="X251" s="222" t="str">
        <f t="shared" si="13"/>
        <v>004_Servicio de atención a emergencias y desastres</v>
      </c>
      <c r="Y251" s="222" t="str">
        <f t="shared" si="14"/>
        <v>12-Servicio de apoyo   logístico  en eventos operativos y/o emergencias. 004_Servicio de atención a emergencias y desastres</v>
      </c>
      <c r="Z251" s="221" t="str">
        <f t="shared" si="15"/>
        <v>O23011745032024025512004</v>
      </c>
      <c r="AA251" s="221" t="str">
        <f>IFERROR(VLOOKUP(Y251,TD!$K$47:$L$65,2,0)," ")</f>
        <v>PM/0131/0112/45030040255</v>
      </c>
      <c r="AB251" s="53" t="s">
        <v>138</v>
      </c>
      <c r="AC251" s="223" t="s">
        <v>204</v>
      </c>
    </row>
    <row r="252" spans="2:29" s="28" customFormat="1" ht="99" customHeight="1" x14ac:dyDescent="0.35">
      <c r="B252" s="77">
        <v>20250202</v>
      </c>
      <c r="C252" s="50" t="s">
        <v>209</v>
      </c>
      <c r="D252" s="218" t="s">
        <v>168</v>
      </c>
      <c r="E252" s="219" t="s">
        <v>611</v>
      </c>
      <c r="F252" s="218" t="s">
        <v>832</v>
      </c>
      <c r="G252" s="218" t="s">
        <v>156</v>
      </c>
      <c r="H252" s="93">
        <v>80111600</v>
      </c>
      <c r="I252" s="220">
        <v>2</v>
      </c>
      <c r="J252" s="220">
        <v>9</v>
      </c>
      <c r="K252" s="52">
        <v>0</v>
      </c>
      <c r="L252" s="53">
        <v>31500000</v>
      </c>
      <c r="M252" s="218" t="s">
        <v>465</v>
      </c>
      <c r="N252" s="53" t="s">
        <v>113</v>
      </c>
      <c r="O252" s="219" t="s">
        <v>224</v>
      </c>
      <c r="P252" s="221" t="str">
        <f>IFERROR(VLOOKUP(C252,TD!$B$33:$F$37,2,0)," ")</f>
        <v>O230117</v>
      </c>
      <c r="Q252" s="221" t="str">
        <f>IFERROR(VLOOKUP(C252,TD!$B$33:$F$37,3,0)," ")</f>
        <v>4503</v>
      </c>
      <c r="R252" s="221">
        <f>IFERROR(VLOOKUP(C252,TD!$B$33:$F$37,4,0)," ")</f>
        <v>20240255</v>
      </c>
      <c r="S252" s="219" t="s">
        <v>191</v>
      </c>
      <c r="T252" s="221" t="str">
        <f>IFERROR(VLOOKUP(S252,TD!$J$34:$K$44,2,0)," ")</f>
        <v>Servicio de apoyo   logístico  en eventos operativos y/o emergencias.</v>
      </c>
      <c r="U252" s="222" t="str">
        <f t="shared" si="12"/>
        <v>12-Servicio de apoyo   logístico  en eventos operativos y/o emergencias.</v>
      </c>
      <c r="V252" s="219" t="s">
        <v>232</v>
      </c>
      <c r="W252" s="221" t="str">
        <f>IFERROR(VLOOKUP(V252,TD!$N$34:$O$46,2,0)," ")</f>
        <v>Servicio de atención a emergencias y desastres</v>
      </c>
      <c r="X252" s="222" t="str">
        <f t="shared" si="13"/>
        <v>004_Servicio de atención a emergencias y desastres</v>
      </c>
      <c r="Y252" s="222" t="str">
        <f t="shared" si="14"/>
        <v>12-Servicio de apoyo   logístico  en eventos operativos y/o emergencias. 004_Servicio de atención a emergencias y desastres</v>
      </c>
      <c r="Z252" s="221" t="str">
        <f t="shared" si="15"/>
        <v>O23011745032024025512004</v>
      </c>
      <c r="AA252" s="221" t="str">
        <f>IFERROR(VLOOKUP(Y252,TD!$K$47:$L$65,2,0)," ")</f>
        <v>PM/0131/0112/45030040255</v>
      </c>
      <c r="AB252" s="53" t="s">
        <v>138</v>
      </c>
      <c r="AC252" s="223" t="s">
        <v>204</v>
      </c>
    </row>
    <row r="253" spans="2:29" s="28" customFormat="1" ht="99" customHeight="1" x14ac:dyDescent="0.35">
      <c r="B253" s="77">
        <v>20250203</v>
      </c>
      <c r="C253" s="50" t="s">
        <v>209</v>
      </c>
      <c r="D253" s="218" t="s">
        <v>168</v>
      </c>
      <c r="E253" s="219" t="s">
        <v>611</v>
      </c>
      <c r="F253" s="218" t="s">
        <v>760</v>
      </c>
      <c r="G253" s="218" t="s">
        <v>155</v>
      </c>
      <c r="H253" s="93">
        <v>80111600</v>
      </c>
      <c r="I253" s="220">
        <v>2</v>
      </c>
      <c r="J253" s="220">
        <v>11</v>
      </c>
      <c r="K253" s="52">
        <v>0</v>
      </c>
      <c r="L253" s="53">
        <v>88000000</v>
      </c>
      <c r="M253" s="218" t="s">
        <v>465</v>
      </c>
      <c r="N253" s="53" t="s">
        <v>113</v>
      </c>
      <c r="O253" s="219" t="s">
        <v>224</v>
      </c>
      <c r="P253" s="221" t="str">
        <f>IFERROR(VLOOKUP(C253,TD!$B$33:$F$37,2,0)," ")</f>
        <v>O230117</v>
      </c>
      <c r="Q253" s="221" t="str">
        <f>IFERROR(VLOOKUP(C253,TD!$B$33:$F$37,3,0)," ")</f>
        <v>4503</v>
      </c>
      <c r="R253" s="221">
        <f>IFERROR(VLOOKUP(C253,TD!$B$33:$F$37,4,0)," ")</f>
        <v>20240255</v>
      </c>
      <c r="S253" s="219" t="s">
        <v>187</v>
      </c>
      <c r="T253" s="221" t="str">
        <f>IFERROR(VLOOKUP(S253,TD!$J$34:$K$44,2,0)," ")</f>
        <v>Servicio de mantenimiento, dotación (HEA´s y equipo menor) y adquisición de vehiculos   especializados para la atención de emergencias.</v>
      </c>
      <c r="U253" s="222" t="str">
        <f t="shared" si="12"/>
        <v>09-Servicio de mantenimiento, dotación (HEA´s y equipo menor) y adquisición de vehiculos   especializados para la atención de emergencias.</v>
      </c>
      <c r="V253" s="219" t="s">
        <v>232</v>
      </c>
      <c r="W253" s="221" t="str">
        <f>IFERROR(VLOOKUP(V253,TD!$N$34:$O$46,2,0)," ")</f>
        <v>Servicio de atención a emergencias y desastres</v>
      </c>
      <c r="X253" s="222" t="str">
        <f t="shared" si="13"/>
        <v>004_Servicio de atención a emergencias y desastres</v>
      </c>
      <c r="Y253" s="222" t="str">
        <f t="shared" si="14"/>
        <v>09-Servicio de mantenimiento, dotación (HEA´s y equipo menor) y adquisición de vehiculos   especializados para la atención de emergencias. 004_Servicio de atención a emergencias y desastres</v>
      </c>
      <c r="Z253" s="221" t="str">
        <f t="shared" si="15"/>
        <v>O23011745032024025509004</v>
      </c>
      <c r="AA253" s="221" t="str">
        <f>IFERROR(VLOOKUP(Y253,TD!$K$47:$L$65,2,0)," ")</f>
        <v>PM/0131/0109/45030040255</v>
      </c>
      <c r="AB253" s="53" t="s">
        <v>138</v>
      </c>
      <c r="AC253" s="223" t="s">
        <v>204</v>
      </c>
    </row>
    <row r="254" spans="2:29" s="28" customFormat="1" ht="99" customHeight="1" x14ac:dyDescent="0.35">
      <c r="B254" s="77">
        <v>20250204</v>
      </c>
      <c r="C254" s="50" t="s">
        <v>209</v>
      </c>
      <c r="D254" s="218" t="s">
        <v>168</v>
      </c>
      <c r="E254" s="219" t="s">
        <v>611</v>
      </c>
      <c r="F254" s="218" t="s">
        <v>914</v>
      </c>
      <c r="G254" s="218" t="s">
        <v>156</v>
      </c>
      <c r="H254" s="93">
        <v>80111600</v>
      </c>
      <c r="I254" s="220">
        <v>2</v>
      </c>
      <c r="J254" s="220">
        <v>9</v>
      </c>
      <c r="K254" s="52">
        <v>0</v>
      </c>
      <c r="L254" s="53">
        <v>29700000</v>
      </c>
      <c r="M254" s="218" t="s">
        <v>465</v>
      </c>
      <c r="N254" s="53" t="s">
        <v>113</v>
      </c>
      <c r="O254" s="219" t="s">
        <v>224</v>
      </c>
      <c r="P254" s="221" t="str">
        <f>IFERROR(VLOOKUP(C254,TD!$B$33:$F$37,2,0)," ")</f>
        <v>O230117</v>
      </c>
      <c r="Q254" s="221" t="str">
        <f>IFERROR(VLOOKUP(C254,TD!$B$33:$F$37,3,0)," ")</f>
        <v>4503</v>
      </c>
      <c r="R254" s="221">
        <f>IFERROR(VLOOKUP(C254,TD!$B$33:$F$37,4,0)," ")</f>
        <v>20240255</v>
      </c>
      <c r="S254" s="219" t="s">
        <v>191</v>
      </c>
      <c r="T254" s="221" t="str">
        <f>IFERROR(VLOOKUP(S254,TD!$J$34:$K$44,2,0)," ")</f>
        <v>Servicio de apoyo   logístico  en eventos operativos y/o emergencias.</v>
      </c>
      <c r="U254" s="222" t="str">
        <f t="shared" si="12"/>
        <v>12-Servicio de apoyo   logístico  en eventos operativos y/o emergencias.</v>
      </c>
      <c r="V254" s="219" t="s">
        <v>232</v>
      </c>
      <c r="W254" s="221" t="str">
        <f>IFERROR(VLOOKUP(V254,TD!$N$34:$O$46,2,0)," ")</f>
        <v>Servicio de atención a emergencias y desastres</v>
      </c>
      <c r="X254" s="222" t="str">
        <f t="shared" si="13"/>
        <v>004_Servicio de atención a emergencias y desastres</v>
      </c>
      <c r="Y254" s="222" t="str">
        <f t="shared" si="14"/>
        <v>12-Servicio de apoyo   logístico  en eventos operativos y/o emergencias. 004_Servicio de atención a emergencias y desastres</v>
      </c>
      <c r="Z254" s="221" t="str">
        <f t="shared" si="15"/>
        <v>O23011745032024025512004</v>
      </c>
      <c r="AA254" s="221" t="str">
        <f>IFERROR(VLOOKUP(Y254,TD!$K$47:$L$65,2,0)," ")</f>
        <v>PM/0131/0112/45030040255</v>
      </c>
      <c r="AB254" s="53" t="s">
        <v>138</v>
      </c>
      <c r="AC254" s="223" t="s">
        <v>204</v>
      </c>
    </row>
    <row r="255" spans="2:29" s="28" customFormat="1" ht="99" customHeight="1" x14ac:dyDescent="0.35">
      <c r="B255" s="77">
        <v>20250205</v>
      </c>
      <c r="C255" s="50" t="s">
        <v>209</v>
      </c>
      <c r="D255" s="218" t="s">
        <v>168</v>
      </c>
      <c r="E255" s="219" t="s">
        <v>611</v>
      </c>
      <c r="F255" s="218" t="s">
        <v>767</v>
      </c>
      <c r="G255" s="218" t="s">
        <v>155</v>
      </c>
      <c r="H255" s="93">
        <v>80111600</v>
      </c>
      <c r="I255" s="220">
        <v>2</v>
      </c>
      <c r="J255" s="220">
        <v>10</v>
      </c>
      <c r="K255" s="52">
        <v>0</v>
      </c>
      <c r="L255" s="53">
        <v>125000000</v>
      </c>
      <c r="M255" s="218" t="s">
        <v>465</v>
      </c>
      <c r="N255" s="53" t="s">
        <v>113</v>
      </c>
      <c r="O255" s="219" t="s">
        <v>224</v>
      </c>
      <c r="P255" s="221" t="str">
        <f>IFERROR(VLOOKUP(C255,TD!$B$33:$F$37,2,0)," ")</f>
        <v>O230117</v>
      </c>
      <c r="Q255" s="221" t="str">
        <f>IFERROR(VLOOKUP(C255,TD!$B$33:$F$37,3,0)," ")</f>
        <v>4503</v>
      </c>
      <c r="R255" s="221">
        <f>IFERROR(VLOOKUP(C255,TD!$B$33:$F$37,4,0)," ")</f>
        <v>20240255</v>
      </c>
      <c r="S255" s="219" t="s">
        <v>191</v>
      </c>
      <c r="T255" s="221" t="str">
        <f>IFERROR(VLOOKUP(S255,TD!$J$34:$K$44,2,0)," ")</f>
        <v>Servicio de apoyo   logístico  en eventos operativos y/o emergencias.</v>
      </c>
      <c r="U255" s="222" t="str">
        <f t="shared" si="12"/>
        <v>12-Servicio de apoyo   logístico  en eventos operativos y/o emergencias.</v>
      </c>
      <c r="V255" s="219" t="s">
        <v>232</v>
      </c>
      <c r="W255" s="221" t="str">
        <f>IFERROR(VLOOKUP(V255,TD!$N$34:$O$46,2,0)," ")</f>
        <v>Servicio de atención a emergencias y desastres</v>
      </c>
      <c r="X255" s="222" t="str">
        <f t="shared" si="13"/>
        <v>004_Servicio de atención a emergencias y desastres</v>
      </c>
      <c r="Y255" s="222" t="str">
        <f t="shared" si="14"/>
        <v>12-Servicio de apoyo   logístico  en eventos operativos y/o emergencias. 004_Servicio de atención a emergencias y desastres</v>
      </c>
      <c r="Z255" s="221" t="str">
        <f t="shared" si="15"/>
        <v>O23011745032024025512004</v>
      </c>
      <c r="AA255" s="221" t="str">
        <f>IFERROR(VLOOKUP(Y255,TD!$K$47:$L$65,2,0)," ")</f>
        <v>PM/0131/0112/45030040255</v>
      </c>
      <c r="AB255" s="53" t="s">
        <v>138</v>
      </c>
      <c r="AC255" s="223" t="s">
        <v>204</v>
      </c>
    </row>
    <row r="256" spans="2:29" s="28" customFormat="1" ht="99" customHeight="1" x14ac:dyDescent="0.35">
      <c r="B256" s="77">
        <v>20250206</v>
      </c>
      <c r="C256" s="50" t="s">
        <v>209</v>
      </c>
      <c r="D256" s="218" t="s">
        <v>168</v>
      </c>
      <c r="E256" s="219" t="s">
        <v>611</v>
      </c>
      <c r="F256" s="218" t="s">
        <v>768</v>
      </c>
      <c r="G256" s="218" t="s">
        <v>155</v>
      </c>
      <c r="H256" s="93">
        <v>80111600</v>
      </c>
      <c r="I256" s="220">
        <v>2</v>
      </c>
      <c r="J256" s="220">
        <v>11</v>
      </c>
      <c r="K256" s="52">
        <v>0</v>
      </c>
      <c r="L256" s="53">
        <v>88000000</v>
      </c>
      <c r="M256" s="218" t="s">
        <v>465</v>
      </c>
      <c r="N256" s="53" t="s">
        <v>113</v>
      </c>
      <c r="O256" s="219" t="s">
        <v>224</v>
      </c>
      <c r="P256" s="221" t="str">
        <f>IFERROR(VLOOKUP(C256,TD!$B$33:$F$37,2,0)," ")</f>
        <v>O230117</v>
      </c>
      <c r="Q256" s="221" t="str">
        <f>IFERROR(VLOOKUP(C256,TD!$B$33:$F$37,3,0)," ")</f>
        <v>4503</v>
      </c>
      <c r="R256" s="221">
        <f>IFERROR(VLOOKUP(C256,TD!$B$33:$F$37,4,0)," ")</f>
        <v>20240255</v>
      </c>
      <c r="S256" s="219" t="s">
        <v>191</v>
      </c>
      <c r="T256" s="221" t="str">
        <f>IFERROR(VLOOKUP(S256,TD!$J$34:$K$44,2,0)," ")</f>
        <v>Servicio de apoyo   logístico  en eventos operativos y/o emergencias.</v>
      </c>
      <c r="U256" s="222" t="str">
        <f t="shared" si="12"/>
        <v>12-Servicio de apoyo   logístico  en eventos operativos y/o emergencias.</v>
      </c>
      <c r="V256" s="219" t="s">
        <v>232</v>
      </c>
      <c r="W256" s="221" t="str">
        <f>IFERROR(VLOOKUP(V256,TD!$N$34:$O$46,2,0)," ")</f>
        <v>Servicio de atención a emergencias y desastres</v>
      </c>
      <c r="X256" s="222" t="str">
        <f t="shared" si="13"/>
        <v>004_Servicio de atención a emergencias y desastres</v>
      </c>
      <c r="Y256" s="222" t="str">
        <f t="shared" si="14"/>
        <v>12-Servicio de apoyo   logístico  en eventos operativos y/o emergencias. 004_Servicio de atención a emergencias y desastres</v>
      </c>
      <c r="Z256" s="221" t="str">
        <f t="shared" si="15"/>
        <v>O23011745032024025512004</v>
      </c>
      <c r="AA256" s="221" t="str">
        <f>IFERROR(VLOOKUP(Y256,TD!$K$47:$L$65,2,0)," ")</f>
        <v>PM/0131/0112/45030040255</v>
      </c>
      <c r="AB256" s="53" t="s">
        <v>138</v>
      </c>
      <c r="AC256" s="223" t="s">
        <v>204</v>
      </c>
    </row>
    <row r="257" spans="2:29" s="28" customFormat="1" ht="99" customHeight="1" x14ac:dyDescent="0.35">
      <c r="B257" s="77">
        <v>20250207</v>
      </c>
      <c r="C257" s="50" t="s">
        <v>209</v>
      </c>
      <c r="D257" s="218" t="s">
        <v>168</v>
      </c>
      <c r="E257" s="219" t="s">
        <v>611</v>
      </c>
      <c r="F257" s="218" t="s">
        <v>762</v>
      </c>
      <c r="G257" s="218" t="s">
        <v>155</v>
      </c>
      <c r="H257" s="93">
        <v>80111600</v>
      </c>
      <c r="I257" s="220">
        <v>2</v>
      </c>
      <c r="J257" s="220">
        <v>8</v>
      </c>
      <c r="K257" s="52">
        <v>0</v>
      </c>
      <c r="L257" s="53">
        <v>52000000</v>
      </c>
      <c r="M257" s="218" t="s">
        <v>465</v>
      </c>
      <c r="N257" s="53" t="s">
        <v>113</v>
      </c>
      <c r="O257" s="219" t="s">
        <v>224</v>
      </c>
      <c r="P257" s="221" t="str">
        <f>IFERROR(VLOOKUP(C257,TD!$B$33:$F$37,2,0)," ")</f>
        <v>O230117</v>
      </c>
      <c r="Q257" s="221" t="str">
        <f>IFERROR(VLOOKUP(C257,TD!$B$33:$F$37,3,0)," ")</f>
        <v>4503</v>
      </c>
      <c r="R257" s="221">
        <f>IFERROR(VLOOKUP(C257,TD!$B$33:$F$37,4,0)," ")</f>
        <v>20240255</v>
      </c>
      <c r="S257" s="219" t="s">
        <v>191</v>
      </c>
      <c r="T257" s="221" t="str">
        <f>IFERROR(VLOOKUP(S257,TD!$J$34:$K$44,2,0)," ")</f>
        <v>Servicio de apoyo   logístico  en eventos operativos y/o emergencias.</v>
      </c>
      <c r="U257" s="222" t="str">
        <f t="shared" si="12"/>
        <v>12-Servicio de apoyo   logístico  en eventos operativos y/o emergencias.</v>
      </c>
      <c r="V257" s="219" t="s">
        <v>232</v>
      </c>
      <c r="W257" s="221" t="str">
        <f>IFERROR(VLOOKUP(V257,TD!$N$34:$O$46,2,0)," ")</f>
        <v>Servicio de atención a emergencias y desastres</v>
      </c>
      <c r="X257" s="222" t="str">
        <f t="shared" si="13"/>
        <v>004_Servicio de atención a emergencias y desastres</v>
      </c>
      <c r="Y257" s="222" t="str">
        <f t="shared" si="14"/>
        <v>12-Servicio de apoyo   logístico  en eventos operativos y/o emergencias. 004_Servicio de atención a emergencias y desastres</v>
      </c>
      <c r="Z257" s="221" t="str">
        <f t="shared" si="15"/>
        <v>O23011745032024025512004</v>
      </c>
      <c r="AA257" s="221" t="str">
        <f>IFERROR(VLOOKUP(Y257,TD!$K$47:$L$65,2,0)," ")</f>
        <v>PM/0131/0112/45030040255</v>
      </c>
      <c r="AB257" s="53" t="s">
        <v>138</v>
      </c>
      <c r="AC257" s="223" t="s">
        <v>204</v>
      </c>
    </row>
    <row r="258" spans="2:29" s="28" customFormat="1" ht="99" customHeight="1" x14ac:dyDescent="0.35">
      <c r="B258" s="77">
        <v>20250208</v>
      </c>
      <c r="C258" s="50" t="s">
        <v>209</v>
      </c>
      <c r="D258" s="218" t="s">
        <v>168</v>
      </c>
      <c r="E258" s="219" t="s">
        <v>611</v>
      </c>
      <c r="F258" s="218" t="s">
        <v>755</v>
      </c>
      <c r="G258" s="218" t="s">
        <v>155</v>
      </c>
      <c r="H258" s="93">
        <v>80111600</v>
      </c>
      <c r="I258" s="220">
        <v>2</v>
      </c>
      <c r="J258" s="220">
        <v>9</v>
      </c>
      <c r="K258" s="52">
        <v>0</v>
      </c>
      <c r="L258" s="53">
        <v>65000000</v>
      </c>
      <c r="M258" s="218" t="s">
        <v>465</v>
      </c>
      <c r="N258" s="53" t="s">
        <v>113</v>
      </c>
      <c r="O258" s="219" t="s">
        <v>224</v>
      </c>
      <c r="P258" s="221" t="str">
        <f>IFERROR(VLOOKUP(C258,TD!$B$33:$F$37,2,0)," ")</f>
        <v>O230117</v>
      </c>
      <c r="Q258" s="221" t="str">
        <f>IFERROR(VLOOKUP(C258,TD!$B$33:$F$37,3,0)," ")</f>
        <v>4503</v>
      </c>
      <c r="R258" s="221">
        <f>IFERROR(VLOOKUP(C258,TD!$B$33:$F$37,4,0)," ")</f>
        <v>20240255</v>
      </c>
      <c r="S258" s="219" t="s">
        <v>191</v>
      </c>
      <c r="T258" s="221" t="str">
        <f>IFERROR(VLOOKUP(S258,TD!$J$34:$K$44,2,0)," ")</f>
        <v>Servicio de apoyo   logístico  en eventos operativos y/o emergencias.</v>
      </c>
      <c r="U258" s="222" t="str">
        <f t="shared" si="12"/>
        <v>12-Servicio de apoyo   logístico  en eventos operativos y/o emergencias.</v>
      </c>
      <c r="V258" s="219" t="s">
        <v>232</v>
      </c>
      <c r="W258" s="221" t="str">
        <f>IFERROR(VLOOKUP(V258,TD!$N$34:$O$46,2,0)," ")</f>
        <v>Servicio de atención a emergencias y desastres</v>
      </c>
      <c r="X258" s="222" t="str">
        <f t="shared" si="13"/>
        <v>004_Servicio de atención a emergencias y desastres</v>
      </c>
      <c r="Y258" s="222" t="str">
        <f t="shared" si="14"/>
        <v>12-Servicio de apoyo   logístico  en eventos operativos y/o emergencias. 004_Servicio de atención a emergencias y desastres</v>
      </c>
      <c r="Z258" s="221" t="str">
        <f t="shared" si="15"/>
        <v>O23011745032024025512004</v>
      </c>
      <c r="AA258" s="221" t="str">
        <f>IFERROR(VLOOKUP(Y258,TD!$K$47:$L$65,2,0)," ")</f>
        <v>PM/0131/0112/45030040255</v>
      </c>
      <c r="AB258" s="53" t="s">
        <v>138</v>
      </c>
      <c r="AC258" s="223" t="s">
        <v>204</v>
      </c>
    </row>
    <row r="259" spans="2:29" s="28" customFormat="1" ht="99" customHeight="1" x14ac:dyDescent="0.35">
      <c r="B259" s="77">
        <v>20250209</v>
      </c>
      <c r="C259" s="50" t="s">
        <v>209</v>
      </c>
      <c r="D259" s="218" t="s">
        <v>168</v>
      </c>
      <c r="E259" s="219" t="s">
        <v>611</v>
      </c>
      <c r="F259" s="218" t="s">
        <v>769</v>
      </c>
      <c r="G259" s="218" t="s">
        <v>156</v>
      </c>
      <c r="H259" s="93">
        <v>80111600</v>
      </c>
      <c r="I259" s="220">
        <v>2</v>
      </c>
      <c r="J259" s="220">
        <v>10</v>
      </c>
      <c r="K259" s="52">
        <v>0</v>
      </c>
      <c r="L259" s="53">
        <v>33000000</v>
      </c>
      <c r="M259" s="218" t="s">
        <v>465</v>
      </c>
      <c r="N259" s="53" t="s">
        <v>113</v>
      </c>
      <c r="O259" s="219" t="s">
        <v>224</v>
      </c>
      <c r="P259" s="221" t="str">
        <f>IFERROR(VLOOKUP(C259,TD!$B$33:$F$37,2,0)," ")</f>
        <v>O230117</v>
      </c>
      <c r="Q259" s="221" t="str">
        <f>IFERROR(VLOOKUP(C259,TD!$B$33:$F$37,3,0)," ")</f>
        <v>4503</v>
      </c>
      <c r="R259" s="221">
        <f>IFERROR(VLOOKUP(C259,TD!$B$33:$F$37,4,0)," ")</f>
        <v>20240255</v>
      </c>
      <c r="S259" s="219" t="s">
        <v>191</v>
      </c>
      <c r="T259" s="221" t="str">
        <f>IFERROR(VLOOKUP(S259,TD!$J$34:$K$44,2,0)," ")</f>
        <v>Servicio de apoyo   logístico  en eventos operativos y/o emergencias.</v>
      </c>
      <c r="U259" s="222" t="str">
        <f t="shared" si="12"/>
        <v>12-Servicio de apoyo   logístico  en eventos operativos y/o emergencias.</v>
      </c>
      <c r="V259" s="219" t="s">
        <v>232</v>
      </c>
      <c r="W259" s="221" t="str">
        <f>IFERROR(VLOOKUP(V259,TD!$N$34:$O$46,2,0)," ")</f>
        <v>Servicio de atención a emergencias y desastres</v>
      </c>
      <c r="X259" s="222" t="str">
        <f t="shared" si="13"/>
        <v>004_Servicio de atención a emergencias y desastres</v>
      </c>
      <c r="Y259" s="222" t="str">
        <f t="shared" si="14"/>
        <v>12-Servicio de apoyo   logístico  en eventos operativos y/o emergencias. 004_Servicio de atención a emergencias y desastres</v>
      </c>
      <c r="Z259" s="221" t="str">
        <f t="shared" si="15"/>
        <v>O23011745032024025512004</v>
      </c>
      <c r="AA259" s="221" t="str">
        <f>IFERROR(VLOOKUP(Y259,TD!$K$47:$L$65,2,0)," ")</f>
        <v>PM/0131/0112/45030040255</v>
      </c>
      <c r="AB259" s="53" t="s">
        <v>138</v>
      </c>
      <c r="AC259" s="223" t="s">
        <v>204</v>
      </c>
    </row>
    <row r="260" spans="2:29" s="28" customFormat="1" ht="99" customHeight="1" x14ac:dyDescent="0.35">
      <c r="B260" s="77">
        <v>20250210</v>
      </c>
      <c r="C260" s="50" t="s">
        <v>209</v>
      </c>
      <c r="D260" s="218" t="s">
        <v>168</v>
      </c>
      <c r="E260" s="219" t="s">
        <v>611</v>
      </c>
      <c r="F260" s="218" t="s">
        <v>770</v>
      </c>
      <c r="G260" s="218" t="s">
        <v>155</v>
      </c>
      <c r="H260" s="93">
        <v>80111600</v>
      </c>
      <c r="I260" s="220">
        <v>2</v>
      </c>
      <c r="J260" s="220">
        <v>10</v>
      </c>
      <c r="K260" s="52">
        <v>0</v>
      </c>
      <c r="L260" s="53">
        <v>70000000</v>
      </c>
      <c r="M260" s="218" t="s">
        <v>465</v>
      </c>
      <c r="N260" s="53" t="s">
        <v>113</v>
      </c>
      <c r="O260" s="219" t="s">
        <v>224</v>
      </c>
      <c r="P260" s="221" t="str">
        <f>IFERROR(VLOOKUP(C260,TD!$B$33:$F$37,2,0)," ")</f>
        <v>O230117</v>
      </c>
      <c r="Q260" s="221" t="str">
        <f>IFERROR(VLOOKUP(C260,TD!$B$33:$F$37,3,0)," ")</f>
        <v>4503</v>
      </c>
      <c r="R260" s="221">
        <f>IFERROR(VLOOKUP(C260,TD!$B$33:$F$37,4,0)," ")</f>
        <v>20240255</v>
      </c>
      <c r="S260" s="219" t="s">
        <v>191</v>
      </c>
      <c r="T260" s="221" t="str">
        <f>IFERROR(VLOOKUP(S260,TD!$J$34:$K$44,2,0)," ")</f>
        <v>Servicio de apoyo   logístico  en eventos operativos y/o emergencias.</v>
      </c>
      <c r="U260" s="222" t="str">
        <f t="shared" si="12"/>
        <v>12-Servicio de apoyo   logístico  en eventos operativos y/o emergencias.</v>
      </c>
      <c r="V260" s="219" t="s">
        <v>232</v>
      </c>
      <c r="W260" s="221" t="str">
        <f>IFERROR(VLOOKUP(V260,TD!$N$34:$O$46,2,0)," ")</f>
        <v>Servicio de atención a emergencias y desastres</v>
      </c>
      <c r="X260" s="222" t="str">
        <f t="shared" si="13"/>
        <v>004_Servicio de atención a emergencias y desastres</v>
      </c>
      <c r="Y260" s="222" t="str">
        <f t="shared" si="14"/>
        <v>12-Servicio de apoyo   logístico  en eventos operativos y/o emergencias. 004_Servicio de atención a emergencias y desastres</v>
      </c>
      <c r="Z260" s="221" t="str">
        <f t="shared" si="15"/>
        <v>O23011745032024025512004</v>
      </c>
      <c r="AA260" s="221" t="str">
        <f>IFERROR(VLOOKUP(Y260,TD!$K$47:$L$65,2,0)," ")</f>
        <v>PM/0131/0112/45030040255</v>
      </c>
      <c r="AB260" s="53" t="s">
        <v>138</v>
      </c>
      <c r="AC260" s="223" t="s">
        <v>204</v>
      </c>
    </row>
    <row r="261" spans="2:29" s="28" customFormat="1" ht="99" customHeight="1" x14ac:dyDescent="0.35">
      <c r="B261" s="77">
        <v>20250211</v>
      </c>
      <c r="C261" s="50" t="s">
        <v>209</v>
      </c>
      <c r="D261" s="218" t="s">
        <v>168</v>
      </c>
      <c r="E261" s="219" t="s">
        <v>611</v>
      </c>
      <c r="F261" s="218" t="s">
        <v>755</v>
      </c>
      <c r="G261" s="218" t="s">
        <v>156</v>
      </c>
      <c r="H261" s="93">
        <v>80111600</v>
      </c>
      <c r="I261" s="220">
        <v>2</v>
      </c>
      <c r="J261" s="220">
        <v>10</v>
      </c>
      <c r="K261" s="52">
        <v>0</v>
      </c>
      <c r="L261" s="53">
        <v>70000000</v>
      </c>
      <c r="M261" s="218" t="s">
        <v>465</v>
      </c>
      <c r="N261" s="53" t="s">
        <v>113</v>
      </c>
      <c r="O261" s="219" t="s">
        <v>224</v>
      </c>
      <c r="P261" s="221" t="str">
        <f>IFERROR(VLOOKUP(C261,TD!$B$33:$F$37,2,0)," ")</f>
        <v>O230117</v>
      </c>
      <c r="Q261" s="221" t="str">
        <f>IFERROR(VLOOKUP(C261,TD!$B$33:$F$37,3,0)," ")</f>
        <v>4503</v>
      </c>
      <c r="R261" s="221">
        <f>IFERROR(VLOOKUP(C261,TD!$B$33:$F$37,4,0)," ")</f>
        <v>20240255</v>
      </c>
      <c r="S261" s="219" t="s">
        <v>191</v>
      </c>
      <c r="T261" s="221" t="str">
        <f>IFERROR(VLOOKUP(S261,TD!$J$34:$K$44,2,0)," ")</f>
        <v>Servicio de apoyo   logístico  en eventos operativos y/o emergencias.</v>
      </c>
      <c r="U261" s="222" t="str">
        <f t="shared" si="12"/>
        <v>12-Servicio de apoyo   logístico  en eventos operativos y/o emergencias.</v>
      </c>
      <c r="V261" s="219" t="s">
        <v>232</v>
      </c>
      <c r="W261" s="221" t="str">
        <f>IFERROR(VLOOKUP(V261,TD!$N$34:$O$46,2,0)," ")</f>
        <v>Servicio de atención a emergencias y desastres</v>
      </c>
      <c r="X261" s="222" t="str">
        <f t="shared" si="13"/>
        <v>004_Servicio de atención a emergencias y desastres</v>
      </c>
      <c r="Y261" s="222" t="str">
        <f t="shared" si="14"/>
        <v>12-Servicio de apoyo   logístico  en eventos operativos y/o emergencias. 004_Servicio de atención a emergencias y desastres</v>
      </c>
      <c r="Z261" s="221" t="str">
        <f t="shared" si="15"/>
        <v>O23011745032024025512004</v>
      </c>
      <c r="AA261" s="221" t="str">
        <f>IFERROR(VLOOKUP(Y261,TD!$K$47:$L$65,2,0)," ")</f>
        <v>PM/0131/0112/45030040255</v>
      </c>
      <c r="AB261" s="53" t="s">
        <v>138</v>
      </c>
      <c r="AC261" s="223" t="s">
        <v>204</v>
      </c>
    </row>
    <row r="262" spans="2:29" s="28" customFormat="1" ht="99" customHeight="1" x14ac:dyDescent="0.35">
      <c r="B262" s="77">
        <v>20250212</v>
      </c>
      <c r="C262" s="50" t="s">
        <v>209</v>
      </c>
      <c r="D262" s="218" t="s">
        <v>168</v>
      </c>
      <c r="E262" s="219" t="s">
        <v>611</v>
      </c>
      <c r="F262" s="218" t="s">
        <v>833</v>
      </c>
      <c r="G262" s="218" t="s">
        <v>155</v>
      </c>
      <c r="H262" s="93">
        <v>80111600</v>
      </c>
      <c r="I262" s="220">
        <v>2</v>
      </c>
      <c r="J262" s="220">
        <v>7</v>
      </c>
      <c r="K262" s="52">
        <v>0</v>
      </c>
      <c r="L262" s="53">
        <v>56000000</v>
      </c>
      <c r="M262" s="218" t="s">
        <v>465</v>
      </c>
      <c r="N262" s="53" t="s">
        <v>113</v>
      </c>
      <c r="O262" s="219" t="s">
        <v>224</v>
      </c>
      <c r="P262" s="221" t="str">
        <f>IFERROR(VLOOKUP(C262,TD!$B$33:$F$37,2,0)," ")</f>
        <v>O230117</v>
      </c>
      <c r="Q262" s="221" t="str">
        <f>IFERROR(VLOOKUP(C262,TD!$B$33:$F$37,3,0)," ")</f>
        <v>4503</v>
      </c>
      <c r="R262" s="221">
        <f>IFERROR(VLOOKUP(C262,TD!$B$33:$F$37,4,0)," ")</f>
        <v>20240255</v>
      </c>
      <c r="S262" s="219" t="s">
        <v>191</v>
      </c>
      <c r="T262" s="221" t="str">
        <f>IFERROR(VLOOKUP(S262,TD!$J$34:$K$44,2,0)," ")</f>
        <v>Servicio de apoyo   logístico  en eventos operativos y/o emergencias.</v>
      </c>
      <c r="U262" s="222" t="str">
        <f t="shared" si="12"/>
        <v>12-Servicio de apoyo   logístico  en eventos operativos y/o emergencias.</v>
      </c>
      <c r="V262" s="219" t="s">
        <v>232</v>
      </c>
      <c r="W262" s="221" t="str">
        <f>IFERROR(VLOOKUP(V262,TD!$N$34:$O$46,2,0)," ")</f>
        <v>Servicio de atención a emergencias y desastres</v>
      </c>
      <c r="X262" s="222" t="str">
        <f t="shared" si="13"/>
        <v>004_Servicio de atención a emergencias y desastres</v>
      </c>
      <c r="Y262" s="222" t="str">
        <f t="shared" si="14"/>
        <v>12-Servicio de apoyo   logístico  en eventos operativos y/o emergencias. 004_Servicio de atención a emergencias y desastres</v>
      </c>
      <c r="Z262" s="221" t="str">
        <f t="shared" si="15"/>
        <v>O23011745032024025512004</v>
      </c>
      <c r="AA262" s="221" t="str">
        <f>IFERROR(VLOOKUP(Y262,TD!$K$47:$L$65,2,0)," ")</f>
        <v>PM/0131/0112/45030040255</v>
      </c>
      <c r="AB262" s="53" t="s">
        <v>138</v>
      </c>
      <c r="AC262" s="223" t="s">
        <v>204</v>
      </c>
    </row>
    <row r="263" spans="2:29" s="28" customFormat="1" ht="99" customHeight="1" x14ac:dyDescent="0.35">
      <c r="B263" s="77">
        <v>20250213</v>
      </c>
      <c r="C263" s="50" t="s">
        <v>209</v>
      </c>
      <c r="D263" s="218" t="s">
        <v>168</v>
      </c>
      <c r="E263" s="219" t="s">
        <v>611</v>
      </c>
      <c r="F263" s="218" t="s">
        <v>771</v>
      </c>
      <c r="G263" s="218" t="s">
        <v>155</v>
      </c>
      <c r="H263" s="93">
        <v>80111600</v>
      </c>
      <c r="I263" s="220">
        <v>2</v>
      </c>
      <c r="J263" s="220">
        <v>11</v>
      </c>
      <c r="K263" s="52">
        <v>0</v>
      </c>
      <c r="L263" s="53">
        <v>55000000</v>
      </c>
      <c r="M263" s="218" t="s">
        <v>465</v>
      </c>
      <c r="N263" s="53" t="s">
        <v>113</v>
      </c>
      <c r="O263" s="219" t="s">
        <v>224</v>
      </c>
      <c r="P263" s="221" t="str">
        <f>IFERROR(VLOOKUP(C263,TD!$B$33:$F$37,2,0)," ")</f>
        <v>O230117</v>
      </c>
      <c r="Q263" s="221" t="str">
        <f>IFERROR(VLOOKUP(C263,TD!$B$33:$F$37,3,0)," ")</f>
        <v>4503</v>
      </c>
      <c r="R263" s="221">
        <f>IFERROR(VLOOKUP(C263,TD!$B$33:$F$37,4,0)," ")</f>
        <v>20240255</v>
      </c>
      <c r="S263" s="219" t="s">
        <v>187</v>
      </c>
      <c r="T263" s="221" t="str">
        <f>IFERROR(VLOOKUP(S263,TD!$J$34:$K$44,2,0)," ")</f>
        <v>Servicio de mantenimiento, dotación (HEA´s y equipo menor) y adquisición de vehiculos   especializados para la atención de emergencias.</v>
      </c>
      <c r="U263" s="222" t="str">
        <f t="shared" si="12"/>
        <v>09-Servicio de mantenimiento, dotación (HEA´s y equipo menor) y adquisición de vehiculos   especializados para la atención de emergencias.</v>
      </c>
      <c r="V263" s="219" t="s">
        <v>232</v>
      </c>
      <c r="W263" s="221" t="str">
        <f>IFERROR(VLOOKUP(V263,TD!$N$34:$O$46,2,0)," ")</f>
        <v>Servicio de atención a emergencias y desastres</v>
      </c>
      <c r="X263" s="222" t="str">
        <f t="shared" si="13"/>
        <v>004_Servicio de atención a emergencias y desastres</v>
      </c>
      <c r="Y263" s="222" t="str">
        <f t="shared" si="14"/>
        <v>09-Servicio de mantenimiento, dotación (HEA´s y equipo menor) y adquisición de vehiculos   especializados para la atención de emergencias. 004_Servicio de atención a emergencias y desastres</v>
      </c>
      <c r="Z263" s="221" t="str">
        <f t="shared" si="15"/>
        <v>O23011745032024025509004</v>
      </c>
      <c r="AA263" s="221" t="str">
        <f>IFERROR(VLOOKUP(Y263,TD!$K$47:$L$65,2,0)," ")</f>
        <v>PM/0131/0109/45030040255</v>
      </c>
      <c r="AB263" s="53" t="s">
        <v>138</v>
      </c>
      <c r="AC263" s="223" t="s">
        <v>204</v>
      </c>
    </row>
    <row r="264" spans="2:29" s="28" customFormat="1" ht="99" customHeight="1" x14ac:dyDescent="0.35">
      <c r="B264" s="77">
        <v>20250214</v>
      </c>
      <c r="C264" s="50" t="s">
        <v>209</v>
      </c>
      <c r="D264" s="218" t="s">
        <v>168</v>
      </c>
      <c r="E264" s="219" t="s">
        <v>611</v>
      </c>
      <c r="F264" s="218" t="s">
        <v>772</v>
      </c>
      <c r="G264" s="218" t="s">
        <v>155</v>
      </c>
      <c r="H264" s="93">
        <v>80111600</v>
      </c>
      <c r="I264" s="220">
        <v>2</v>
      </c>
      <c r="J264" s="220">
        <v>9</v>
      </c>
      <c r="K264" s="52">
        <v>0</v>
      </c>
      <c r="L264" s="53">
        <v>40500000</v>
      </c>
      <c r="M264" s="218" t="s">
        <v>465</v>
      </c>
      <c r="N264" s="53" t="s">
        <v>113</v>
      </c>
      <c r="O264" s="219" t="s">
        <v>224</v>
      </c>
      <c r="P264" s="221" t="str">
        <f>IFERROR(VLOOKUP(C264,TD!$B$33:$F$37,2,0)," ")</f>
        <v>O230117</v>
      </c>
      <c r="Q264" s="221" t="str">
        <f>IFERROR(VLOOKUP(C264,TD!$B$33:$F$37,3,0)," ")</f>
        <v>4503</v>
      </c>
      <c r="R264" s="221">
        <f>IFERROR(VLOOKUP(C264,TD!$B$33:$F$37,4,0)," ")</f>
        <v>20240255</v>
      </c>
      <c r="S264" s="219" t="s">
        <v>191</v>
      </c>
      <c r="T264" s="221" t="str">
        <f>IFERROR(VLOOKUP(S264,TD!$J$34:$K$44,2,0)," ")</f>
        <v>Servicio de apoyo   logístico  en eventos operativos y/o emergencias.</v>
      </c>
      <c r="U264" s="222" t="str">
        <f t="shared" si="12"/>
        <v>12-Servicio de apoyo   logístico  en eventos operativos y/o emergencias.</v>
      </c>
      <c r="V264" s="219" t="s">
        <v>232</v>
      </c>
      <c r="W264" s="221" t="str">
        <f>IFERROR(VLOOKUP(V264,TD!$N$34:$O$46,2,0)," ")</f>
        <v>Servicio de atención a emergencias y desastres</v>
      </c>
      <c r="X264" s="222" t="str">
        <f t="shared" si="13"/>
        <v>004_Servicio de atención a emergencias y desastres</v>
      </c>
      <c r="Y264" s="222" t="str">
        <f t="shared" si="14"/>
        <v>12-Servicio de apoyo   logístico  en eventos operativos y/o emergencias. 004_Servicio de atención a emergencias y desastres</v>
      </c>
      <c r="Z264" s="221" t="str">
        <f t="shared" si="15"/>
        <v>O23011745032024025512004</v>
      </c>
      <c r="AA264" s="221" t="str">
        <f>IFERROR(VLOOKUP(Y264,TD!$K$47:$L$65,2,0)," ")</f>
        <v>PM/0131/0112/45030040255</v>
      </c>
      <c r="AB264" s="53" t="s">
        <v>138</v>
      </c>
      <c r="AC264" s="223" t="s">
        <v>204</v>
      </c>
    </row>
    <row r="265" spans="2:29" s="28" customFormat="1" ht="99" customHeight="1" x14ac:dyDescent="0.35">
      <c r="B265" s="77">
        <v>20250215</v>
      </c>
      <c r="C265" s="50" t="s">
        <v>209</v>
      </c>
      <c r="D265" s="218" t="s">
        <v>168</v>
      </c>
      <c r="E265" s="219" t="s">
        <v>611</v>
      </c>
      <c r="F265" s="218" t="s">
        <v>773</v>
      </c>
      <c r="G265" s="218" t="s">
        <v>155</v>
      </c>
      <c r="H265" s="93">
        <v>80111600</v>
      </c>
      <c r="I265" s="220">
        <v>2</v>
      </c>
      <c r="J265" s="220">
        <v>10</v>
      </c>
      <c r="K265" s="52">
        <v>0</v>
      </c>
      <c r="L265" s="53">
        <v>60000000</v>
      </c>
      <c r="M265" s="218" t="s">
        <v>465</v>
      </c>
      <c r="N265" s="53" t="s">
        <v>113</v>
      </c>
      <c r="O265" s="219" t="s">
        <v>224</v>
      </c>
      <c r="P265" s="221" t="str">
        <f>IFERROR(VLOOKUP(C265,TD!$B$33:$F$37,2,0)," ")</f>
        <v>O230117</v>
      </c>
      <c r="Q265" s="221" t="str">
        <f>IFERROR(VLOOKUP(C265,TD!$B$33:$F$37,3,0)," ")</f>
        <v>4503</v>
      </c>
      <c r="R265" s="221">
        <f>IFERROR(VLOOKUP(C265,TD!$B$33:$F$37,4,0)," ")</f>
        <v>20240255</v>
      </c>
      <c r="S265" s="219" t="s">
        <v>191</v>
      </c>
      <c r="T265" s="221" t="str">
        <f>IFERROR(VLOOKUP(S265,TD!$J$34:$K$44,2,0)," ")</f>
        <v>Servicio de apoyo   logístico  en eventos operativos y/o emergencias.</v>
      </c>
      <c r="U265" s="222" t="str">
        <f t="shared" si="12"/>
        <v>12-Servicio de apoyo   logístico  en eventos operativos y/o emergencias.</v>
      </c>
      <c r="V265" s="219" t="s">
        <v>232</v>
      </c>
      <c r="W265" s="221" t="str">
        <f>IFERROR(VLOOKUP(V265,TD!$N$34:$O$46,2,0)," ")</f>
        <v>Servicio de atención a emergencias y desastres</v>
      </c>
      <c r="X265" s="222" t="str">
        <f t="shared" si="13"/>
        <v>004_Servicio de atención a emergencias y desastres</v>
      </c>
      <c r="Y265" s="222" t="str">
        <f t="shared" si="14"/>
        <v>12-Servicio de apoyo   logístico  en eventos operativos y/o emergencias. 004_Servicio de atención a emergencias y desastres</v>
      </c>
      <c r="Z265" s="221" t="str">
        <f t="shared" si="15"/>
        <v>O23011745032024025512004</v>
      </c>
      <c r="AA265" s="221" t="str">
        <f>IFERROR(VLOOKUP(Y265,TD!$K$47:$L$65,2,0)," ")</f>
        <v>PM/0131/0112/45030040255</v>
      </c>
      <c r="AB265" s="53" t="s">
        <v>138</v>
      </c>
      <c r="AC265" s="223" t="s">
        <v>204</v>
      </c>
    </row>
    <row r="266" spans="2:29" s="28" customFormat="1" ht="99" customHeight="1" x14ac:dyDescent="0.35">
      <c r="B266" s="77">
        <v>20250216</v>
      </c>
      <c r="C266" s="50" t="s">
        <v>209</v>
      </c>
      <c r="D266" s="218" t="s">
        <v>168</v>
      </c>
      <c r="E266" s="219" t="s">
        <v>611</v>
      </c>
      <c r="F266" s="218" t="s">
        <v>774</v>
      </c>
      <c r="G266" s="218" t="s">
        <v>155</v>
      </c>
      <c r="H266" s="93">
        <v>80111600</v>
      </c>
      <c r="I266" s="220">
        <v>2</v>
      </c>
      <c r="J266" s="220">
        <v>10</v>
      </c>
      <c r="K266" s="52">
        <v>0</v>
      </c>
      <c r="L266" s="53">
        <v>75000000</v>
      </c>
      <c r="M266" s="218" t="s">
        <v>465</v>
      </c>
      <c r="N266" s="53" t="s">
        <v>113</v>
      </c>
      <c r="O266" s="219" t="s">
        <v>224</v>
      </c>
      <c r="P266" s="221" t="str">
        <f>IFERROR(VLOOKUP(C266,TD!$B$33:$F$37,2,0)," ")</f>
        <v>O230117</v>
      </c>
      <c r="Q266" s="221" t="str">
        <f>IFERROR(VLOOKUP(C266,TD!$B$33:$F$37,3,0)," ")</f>
        <v>4503</v>
      </c>
      <c r="R266" s="221">
        <f>IFERROR(VLOOKUP(C266,TD!$B$33:$F$37,4,0)," ")</f>
        <v>20240255</v>
      </c>
      <c r="S266" s="219" t="s">
        <v>191</v>
      </c>
      <c r="T266" s="221" t="str">
        <f>IFERROR(VLOOKUP(S266,TD!$J$34:$K$44,2,0)," ")</f>
        <v>Servicio de apoyo   logístico  en eventos operativos y/o emergencias.</v>
      </c>
      <c r="U266" s="222" t="str">
        <f t="shared" si="12"/>
        <v>12-Servicio de apoyo   logístico  en eventos operativos y/o emergencias.</v>
      </c>
      <c r="V266" s="219" t="s">
        <v>232</v>
      </c>
      <c r="W266" s="221" t="str">
        <f>IFERROR(VLOOKUP(V266,TD!$N$34:$O$46,2,0)," ")</f>
        <v>Servicio de atención a emergencias y desastres</v>
      </c>
      <c r="X266" s="222" t="str">
        <f t="shared" si="13"/>
        <v>004_Servicio de atención a emergencias y desastres</v>
      </c>
      <c r="Y266" s="222" t="str">
        <f t="shared" si="14"/>
        <v>12-Servicio de apoyo   logístico  en eventos operativos y/o emergencias. 004_Servicio de atención a emergencias y desastres</v>
      </c>
      <c r="Z266" s="221" t="str">
        <f t="shared" si="15"/>
        <v>O23011745032024025512004</v>
      </c>
      <c r="AA266" s="221" t="str">
        <f>IFERROR(VLOOKUP(Y266,TD!$K$47:$L$65,2,0)," ")</f>
        <v>PM/0131/0112/45030040255</v>
      </c>
      <c r="AB266" s="53" t="s">
        <v>138</v>
      </c>
      <c r="AC266" s="223" t="s">
        <v>204</v>
      </c>
    </row>
    <row r="267" spans="2:29" s="28" customFormat="1" ht="99" customHeight="1" x14ac:dyDescent="0.35">
      <c r="B267" s="77">
        <v>20250217</v>
      </c>
      <c r="C267" s="50" t="s">
        <v>209</v>
      </c>
      <c r="D267" s="218" t="s">
        <v>168</v>
      </c>
      <c r="E267" s="219" t="s">
        <v>611</v>
      </c>
      <c r="F267" s="218" t="s">
        <v>915</v>
      </c>
      <c r="G267" s="218" t="s">
        <v>155</v>
      </c>
      <c r="H267" s="93">
        <v>80111600</v>
      </c>
      <c r="I267" s="220">
        <v>2</v>
      </c>
      <c r="J267" s="220">
        <v>9</v>
      </c>
      <c r="K267" s="52">
        <v>0</v>
      </c>
      <c r="L267" s="53">
        <v>40500000</v>
      </c>
      <c r="M267" s="218" t="s">
        <v>465</v>
      </c>
      <c r="N267" s="53" t="s">
        <v>113</v>
      </c>
      <c r="O267" s="219" t="s">
        <v>224</v>
      </c>
      <c r="P267" s="221" t="str">
        <f>IFERROR(VLOOKUP(C267,TD!$B$33:$F$37,2,0)," ")</f>
        <v>O230117</v>
      </c>
      <c r="Q267" s="221" t="str">
        <f>IFERROR(VLOOKUP(C267,TD!$B$33:$F$37,3,0)," ")</f>
        <v>4503</v>
      </c>
      <c r="R267" s="221">
        <f>IFERROR(VLOOKUP(C267,TD!$B$33:$F$37,4,0)," ")</f>
        <v>20240255</v>
      </c>
      <c r="S267" s="219" t="s">
        <v>191</v>
      </c>
      <c r="T267" s="221" t="str">
        <f>IFERROR(VLOOKUP(S267,TD!$J$34:$K$44,2,0)," ")</f>
        <v>Servicio de apoyo   logístico  en eventos operativos y/o emergencias.</v>
      </c>
      <c r="U267" s="222" t="str">
        <f t="shared" si="12"/>
        <v>12-Servicio de apoyo   logístico  en eventos operativos y/o emergencias.</v>
      </c>
      <c r="V267" s="219" t="s">
        <v>232</v>
      </c>
      <c r="W267" s="221" t="str">
        <f>IFERROR(VLOOKUP(V267,TD!$N$34:$O$46,2,0)," ")</f>
        <v>Servicio de atención a emergencias y desastres</v>
      </c>
      <c r="X267" s="222" t="str">
        <f t="shared" si="13"/>
        <v>004_Servicio de atención a emergencias y desastres</v>
      </c>
      <c r="Y267" s="222" t="str">
        <f t="shared" si="14"/>
        <v>12-Servicio de apoyo   logístico  en eventos operativos y/o emergencias. 004_Servicio de atención a emergencias y desastres</v>
      </c>
      <c r="Z267" s="221" t="str">
        <f t="shared" si="15"/>
        <v>O23011745032024025512004</v>
      </c>
      <c r="AA267" s="221" t="str">
        <f>IFERROR(VLOOKUP(Y267,TD!$K$47:$L$65,2,0)," ")</f>
        <v>PM/0131/0112/45030040255</v>
      </c>
      <c r="AB267" s="53" t="s">
        <v>138</v>
      </c>
      <c r="AC267" s="223" t="s">
        <v>204</v>
      </c>
    </row>
    <row r="268" spans="2:29" s="28" customFormat="1" ht="99" customHeight="1" x14ac:dyDescent="0.35">
      <c r="B268" s="77">
        <v>20250218</v>
      </c>
      <c r="C268" s="50" t="s">
        <v>209</v>
      </c>
      <c r="D268" s="218" t="s">
        <v>168</v>
      </c>
      <c r="E268" s="219" t="s">
        <v>611</v>
      </c>
      <c r="F268" s="218" t="s">
        <v>834</v>
      </c>
      <c r="G268" s="218" t="s">
        <v>156</v>
      </c>
      <c r="H268" s="93">
        <v>80111600</v>
      </c>
      <c r="I268" s="220">
        <v>2</v>
      </c>
      <c r="J268" s="220">
        <v>9</v>
      </c>
      <c r="K268" s="52">
        <v>0</v>
      </c>
      <c r="L268" s="53">
        <v>29700000</v>
      </c>
      <c r="M268" s="218" t="s">
        <v>465</v>
      </c>
      <c r="N268" s="53" t="s">
        <v>113</v>
      </c>
      <c r="O268" s="219" t="s">
        <v>224</v>
      </c>
      <c r="P268" s="221" t="str">
        <f>IFERROR(VLOOKUP(C268,TD!$B$33:$F$37,2,0)," ")</f>
        <v>O230117</v>
      </c>
      <c r="Q268" s="221" t="str">
        <f>IFERROR(VLOOKUP(C268,TD!$B$33:$F$37,3,0)," ")</f>
        <v>4503</v>
      </c>
      <c r="R268" s="221">
        <f>IFERROR(VLOOKUP(C268,TD!$B$33:$F$37,4,0)," ")</f>
        <v>20240255</v>
      </c>
      <c r="S268" s="219" t="s">
        <v>191</v>
      </c>
      <c r="T268" s="221" t="str">
        <f>IFERROR(VLOOKUP(S268,TD!$J$34:$K$44,2,0)," ")</f>
        <v>Servicio de apoyo   logístico  en eventos operativos y/o emergencias.</v>
      </c>
      <c r="U268" s="222" t="str">
        <f t="shared" ref="U268:U331" si="16">CONCATENATE(S268,"-",T268)</f>
        <v>12-Servicio de apoyo   logístico  en eventos operativos y/o emergencias.</v>
      </c>
      <c r="V268" s="219" t="s">
        <v>232</v>
      </c>
      <c r="W268" s="221" t="str">
        <f>IFERROR(VLOOKUP(V268,TD!$N$34:$O$46,2,0)," ")</f>
        <v>Servicio de atención a emergencias y desastres</v>
      </c>
      <c r="X268" s="222" t="str">
        <f t="shared" ref="X268:X331" si="17">CONCATENATE(V268,"_",W268)</f>
        <v>004_Servicio de atención a emergencias y desastres</v>
      </c>
      <c r="Y268" s="222" t="str">
        <f t="shared" ref="Y268:Y331" si="18">CONCATENATE(U268," ",X268)</f>
        <v>12-Servicio de apoyo   logístico  en eventos operativos y/o emergencias. 004_Servicio de atención a emergencias y desastres</v>
      </c>
      <c r="Z268" s="221" t="str">
        <f t="shared" ref="Z268:Z331" si="19">CONCATENATE(P268,Q268,R268,S268,V268)</f>
        <v>O23011745032024025512004</v>
      </c>
      <c r="AA268" s="221" t="str">
        <f>IFERROR(VLOOKUP(Y268,TD!$K$47:$L$65,2,0)," ")</f>
        <v>PM/0131/0112/45030040255</v>
      </c>
      <c r="AB268" s="53" t="s">
        <v>138</v>
      </c>
      <c r="AC268" s="223" t="s">
        <v>204</v>
      </c>
    </row>
    <row r="269" spans="2:29" s="28" customFormat="1" ht="99" customHeight="1" x14ac:dyDescent="0.35">
      <c r="B269" s="77">
        <v>20250220</v>
      </c>
      <c r="C269" s="50" t="s">
        <v>209</v>
      </c>
      <c r="D269" s="218" t="s">
        <v>168</v>
      </c>
      <c r="E269" s="219" t="s">
        <v>611</v>
      </c>
      <c r="F269" s="218" t="s">
        <v>775</v>
      </c>
      <c r="G269" s="218" t="s">
        <v>155</v>
      </c>
      <c r="H269" s="93">
        <v>80111600</v>
      </c>
      <c r="I269" s="220">
        <v>2</v>
      </c>
      <c r="J269" s="220">
        <v>11</v>
      </c>
      <c r="K269" s="52">
        <v>0</v>
      </c>
      <c r="L269" s="53">
        <v>49500000</v>
      </c>
      <c r="M269" s="218" t="s">
        <v>465</v>
      </c>
      <c r="N269" s="53" t="s">
        <v>113</v>
      </c>
      <c r="O269" s="219" t="s">
        <v>224</v>
      </c>
      <c r="P269" s="221" t="str">
        <f>IFERROR(VLOOKUP(C269,TD!$B$33:$F$37,2,0)," ")</f>
        <v>O230117</v>
      </c>
      <c r="Q269" s="221" t="str">
        <f>IFERROR(VLOOKUP(C269,TD!$B$33:$F$37,3,0)," ")</f>
        <v>4503</v>
      </c>
      <c r="R269" s="221">
        <f>IFERROR(VLOOKUP(C269,TD!$B$33:$F$37,4,0)," ")</f>
        <v>20240255</v>
      </c>
      <c r="S269" s="219" t="s">
        <v>191</v>
      </c>
      <c r="T269" s="221" t="str">
        <f>IFERROR(VLOOKUP(S269,TD!$J$34:$K$44,2,0)," ")</f>
        <v>Servicio de apoyo   logístico  en eventos operativos y/o emergencias.</v>
      </c>
      <c r="U269" s="222" t="str">
        <f t="shared" si="16"/>
        <v>12-Servicio de apoyo   logístico  en eventos operativos y/o emergencias.</v>
      </c>
      <c r="V269" s="219" t="s">
        <v>232</v>
      </c>
      <c r="W269" s="221" t="str">
        <f>IFERROR(VLOOKUP(V269,TD!$N$34:$O$46,2,0)," ")</f>
        <v>Servicio de atención a emergencias y desastres</v>
      </c>
      <c r="X269" s="222" t="str">
        <f t="shared" si="17"/>
        <v>004_Servicio de atención a emergencias y desastres</v>
      </c>
      <c r="Y269" s="222" t="str">
        <f t="shared" si="18"/>
        <v>12-Servicio de apoyo   logístico  en eventos operativos y/o emergencias. 004_Servicio de atención a emergencias y desastres</v>
      </c>
      <c r="Z269" s="221" t="str">
        <f t="shared" si="19"/>
        <v>O23011745032024025512004</v>
      </c>
      <c r="AA269" s="221" t="str">
        <f>IFERROR(VLOOKUP(Y269,TD!$K$47:$L$65,2,0)," ")</f>
        <v>PM/0131/0112/45030040255</v>
      </c>
      <c r="AB269" s="53" t="s">
        <v>138</v>
      </c>
      <c r="AC269" s="223" t="s">
        <v>204</v>
      </c>
    </row>
    <row r="270" spans="2:29" s="28" customFormat="1" ht="99" customHeight="1" x14ac:dyDescent="0.35">
      <c r="B270" s="77">
        <v>20250221</v>
      </c>
      <c r="C270" s="50" t="s">
        <v>209</v>
      </c>
      <c r="D270" s="218" t="s">
        <v>168</v>
      </c>
      <c r="E270" s="219" t="s">
        <v>611</v>
      </c>
      <c r="F270" s="218" t="s">
        <v>776</v>
      </c>
      <c r="G270" s="218" t="s">
        <v>155</v>
      </c>
      <c r="H270" s="93">
        <v>80111600</v>
      </c>
      <c r="I270" s="220">
        <v>2</v>
      </c>
      <c r="J270" s="220">
        <v>9</v>
      </c>
      <c r="K270" s="52">
        <v>0</v>
      </c>
      <c r="L270" s="53">
        <v>49500000</v>
      </c>
      <c r="M270" s="218" t="s">
        <v>465</v>
      </c>
      <c r="N270" s="53" t="s">
        <v>113</v>
      </c>
      <c r="O270" s="219" t="s">
        <v>224</v>
      </c>
      <c r="P270" s="221" t="str">
        <f>IFERROR(VLOOKUP(C270,TD!$B$33:$F$37,2,0)," ")</f>
        <v>O230117</v>
      </c>
      <c r="Q270" s="221" t="str">
        <f>IFERROR(VLOOKUP(C270,TD!$B$33:$F$37,3,0)," ")</f>
        <v>4503</v>
      </c>
      <c r="R270" s="221">
        <f>IFERROR(VLOOKUP(C270,TD!$B$33:$F$37,4,0)," ")</f>
        <v>20240255</v>
      </c>
      <c r="S270" s="219" t="s">
        <v>191</v>
      </c>
      <c r="T270" s="221" t="str">
        <f>IFERROR(VLOOKUP(S270,TD!$J$34:$K$44,2,0)," ")</f>
        <v>Servicio de apoyo   logístico  en eventos operativos y/o emergencias.</v>
      </c>
      <c r="U270" s="222" t="str">
        <f t="shared" si="16"/>
        <v>12-Servicio de apoyo   logístico  en eventos operativos y/o emergencias.</v>
      </c>
      <c r="V270" s="219" t="s">
        <v>232</v>
      </c>
      <c r="W270" s="221" t="str">
        <f>IFERROR(VLOOKUP(V270,TD!$N$34:$O$46,2,0)," ")</f>
        <v>Servicio de atención a emergencias y desastres</v>
      </c>
      <c r="X270" s="222" t="str">
        <f t="shared" si="17"/>
        <v>004_Servicio de atención a emergencias y desastres</v>
      </c>
      <c r="Y270" s="222" t="str">
        <f t="shared" si="18"/>
        <v>12-Servicio de apoyo   logístico  en eventos operativos y/o emergencias. 004_Servicio de atención a emergencias y desastres</v>
      </c>
      <c r="Z270" s="221" t="str">
        <f t="shared" si="19"/>
        <v>O23011745032024025512004</v>
      </c>
      <c r="AA270" s="221" t="str">
        <f>IFERROR(VLOOKUP(Y270,TD!$K$47:$L$65,2,0)," ")</f>
        <v>PM/0131/0112/45030040255</v>
      </c>
      <c r="AB270" s="53" t="s">
        <v>138</v>
      </c>
      <c r="AC270" s="223" t="s">
        <v>204</v>
      </c>
    </row>
    <row r="271" spans="2:29" s="28" customFormat="1" ht="99" customHeight="1" x14ac:dyDescent="0.35">
      <c r="B271" s="77">
        <v>20250222</v>
      </c>
      <c r="C271" s="50" t="s">
        <v>209</v>
      </c>
      <c r="D271" s="218" t="s">
        <v>168</v>
      </c>
      <c r="E271" s="219" t="s">
        <v>611</v>
      </c>
      <c r="F271" s="218" t="s">
        <v>508</v>
      </c>
      <c r="G271" s="218" t="s">
        <v>155</v>
      </c>
      <c r="H271" s="93">
        <v>80111600</v>
      </c>
      <c r="I271" s="220">
        <v>2</v>
      </c>
      <c r="J271" s="220">
        <v>9</v>
      </c>
      <c r="K271" s="52">
        <v>0</v>
      </c>
      <c r="L271" s="53">
        <v>56835680</v>
      </c>
      <c r="M271" s="218" t="s">
        <v>465</v>
      </c>
      <c r="N271" s="53" t="s">
        <v>113</v>
      </c>
      <c r="O271" s="219" t="s">
        <v>224</v>
      </c>
      <c r="P271" s="221" t="str">
        <f>IFERROR(VLOOKUP(C271,TD!$B$33:$F$37,2,0)," ")</f>
        <v>O230117</v>
      </c>
      <c r="Q271" s="221" t="str">
        <f>IFERROR(VLOOKUP(C271,TD!$B$33:$F$37,3,0)," ")</f>
        <v>4503</v>
      </c>
      <c r="R271" s="221">
        <f>IFERROR(VLOOKUP(C271,TD!$B$33:$F$37,4,0)," ")</f>
        <v>20240255</v>
      </c>
      <c r="S271" s="219" t="s">
        <v>191</v>
      </c>
      <c r="T271" s="221" t="str">
        <f>IFERROR(VLOOKUP(S271,TD!$J$34:$K$44,2,0)," ")</f>
        <v>Servicio de apoyo   logístico  en eventos operativos y/o emergencias.</v>
      </c>
      <c r="U271" s="222" t="str">
        <f t="shared" si="16"/>
        <v>12-Servicio de apoyo   logístico  en eventos operativos y/o emergencias.</v>
      </c>
      <c r="V271" s="219" t="s">
        <v>232</v>
      </c>
      <c r="W271" s="221" t="str">
        <f>IFERROR(VLOOKUP(V271,TD!$N$34:$O$46,2,0)," ")</f>
        <v>Servicio de atención a emergencias y desastres</v>
      </c>
      <c r="X271" s="222" t="str">
        <f t="shared" si="17"/>
        <v>004_Servicio de atención a emergencias y desastres</v>
      </c>
      <c r="Y271" s="222" t="str">
        <f t="shared" si="18"/>
        <v>12-Servicio de apoyo   logístico  en eventos operativos y/o emergencias. 004_Servicio de atención a emergencias y desastres</v>
      </c>
      <c r="Z271" s="221" t="str">
        <f t="shared" si="19"/>
        <v>O23011745032024025512004</v>
      </c>
      <c r="AA271" s="221" t="str">
        <f>IFERROR(VLOOKUP(Y271,TD!$K$47:$L$65,2,0)," ")</f>
        <v>PM/0131/0112/45030040255</v>
      </c>
      <c r="AB271" s="53" t="s">
        <v>138</v>
      </c>
      <c r="AC271" s="223" t="s">
        <v>204</v>
      </c>
    </row>
    <row r="272" spans="2:29" s="28" customFormat="1" ht="99" customHeight="1" x14ac:dyDescent="0.35">
      <c r="B272" s="77">
        <v>20250223</v>
      </c>
      <c r="C272" s="110" t="s">
        <v>346</v>
      </c>
      <c r="D272" s="240" t="s">
        <v>168</v>
      </c>
      <c r="E272" s="241" t="s">
        <v>611</v>
      </c>
      <c r="F272" s="218" t="s">
        <v>612</v>
      </c>
      <c r="G272" s="240" t="s">
        <v>96</v>
      </c>
      <c r="H272" s="93">
        <v>78181505</v>
      </c>
      <c r="I272" s="242">
        <v>3</v>
      </c>
      <c r="J272" s="242">
        <v>3</v>
      </c>
      <c r="K272" s="111">
        <v>0</v>
      </c>
      <c r="L272" s="112">
        <v>46795000</v>
      </c>
      <c r="M272" s="240" t="s">
        <v>172</v>
      </c>
      <c r="N272" s="112" t="s">
        <v>100</v>
      </c>
      <c r="O272" s="241" t="s">
        <v>347</v>
      </c>
      <c r="P272" s="243" t="str">
        <f>IFERROR(VLOOKUP(C272,TD!$B$33:$F$37,2,0)," ")</f>
        <v>NA</v>
      </c>
      <c r="Q272" s="243" t="str">
        <f>IFERROR(VLOOKUP(C272,TD!$B$33:$F$37,3,0)," ")</f>
        <v>NA</v>
      </c>
      <c r="R272" s="243" t="str">
        <f>IFERROR(VLOOKUP(C272,TD!$B$33:$F$37,4,0)," ")</f>
        <v>NA</v>
      </c>
      <c r="S272" s="241" t="s">
        <v>406</v>
      </c>
      <c r="T272" s="221" t="str">
        <f>IFERROR(VLOOKUP(S272,TD!$J$34:$K$44,2,0)," ")</f>
        <v>N/A</v>
      </c>
      <c r="U272" s="222" t="str">
        <f t="shared" si="16"/>
        <v>N/A-N/A</v>
      </c>
      <c r="V272" s="219" t="s">
        <v>406</v>
      </c>
      <c r="W272" s="221" t="str">
        <f>IFERROR(VLOOKUP(V272,TD!$N$34:$O$46,2,0)," ")</f>
        <v>N/A</v>
      </c>
      <c r="X272" s="222" t="str">
        <f t="shared" si="17"/>
        <v>N/A_N/A</v>
      </c>
      <c r="Y272" s="222" t="str">
        <f t="shared" si="18"/>
        <v>N/A-N/A N/A_N/A</v>
      </c>
      <c r="Z272" s="243" t="str">
        <f t="shared" si="19"/>
        <v>NANANAN/AN/A</v>
      </c>
      <c r="AA272" s="221" t="str">
        <f>IFERROR(VLOOKUP(Y272,TD!$K$47:$L$65,2,0)," ")</f>
        <v>N/A</v>
      </c>
      <c r="AB272" s="128" t="s">
        <v>453</v>
      </c>
      <c r="AC272" s="223" t="s">
        <v>204</v>
      </c>
    </row>
    <row r="273" spans="2:29" s="28" customFormat="1" ht="99" customHeight="1" x14ac:dyDescent="0.35">
      <c r="B273" s="77">
        <v>20250224</v>
      </c>
      <c r="C273" s="50" t="s">
        <v>209</v>
      </c>
      <c r="D273" s="218" t="s">
        <v>167</v>
      </c>
      <c r="E273" s="219" t="s">
        <v>509</v>
      </c>
      <c r="F273" s="218" t="s">
        <v>371</v>
      </c>
      <c r="G273" s="218" t="s">
        <v>109</v>
      </c>
      <c r="H273" s="93" t="s">
        <v>942</v>
      </c>
      <c r="I273" s="220">
        <v>1</v>
      </c>
      <c r="J273" s="220">
        <v>3</v>
      </c>
      <c r="K273" s="52">
        <v>0</v>
      </c>
      <c r="L273" s="53">
        <v>10000000</v>
      </c>
      <c r="M273" s="218" t="s">
        <v>465</v>
      </c>
      <c r="N273" s="53" t="s">
        <v>510</v>
      </c>
      <c r="O273" s="219" t="s">
        <v>221</v>
      </c>
      <c r="P273" s="221" t="str">
        <f>IFERROR(VLOOKUP(C273,TD!$B$33:$F$37,2,0)," ")</f>
        <v>O230117</v>
      </c>
      <c r="Q273" s="221" t="str">
        <f>IFERROR(VLOOKUP(C273,TD!$B$33:$F$37,3,0)," ")</f>
        <v>4503</v>
      </c>
      <c r="R273" s="221">
        <f>IFERROR(VLOOKUP(C273,TD!$B$33:$F$37,4,0)," ")</f>
        <v>20240255</v>
      </c>
      <c r="S273" s="219" t="s">
        <v>177</v>
      </c>
      <c r="T273" s="221" t="str">
        <f>IFERROR(VLOOKUP(S273,TD!$J$34:$K$44,2,0)," ")</f>
        <v>Servicio de capacitaciones en gestión del riesgo de incendios  a la ciudadania.</v>
      </c>
      <c r="U273" s="222" t="str">
        <f t="shared" si="16"/>
        <v>05-Servicio de capacitaciones en gestión del riesgo de incendios  a la ciudadania.</v>
      </c>
      <c r="V273" s="219" t="s">
        <v>234</v>
      </c>
      <c r="W273" s="221" t="str">
        <f>IFERROR(VLOOKUP(V273,TD!$N$34:$O$46,2,0)," ")</f>
        <v>Servicio prevención y control de incendios</v>
      </c>
      <c r="X273" s="222" t="str">
        <f t="shared" si="17"/>
        <v>035_Servicio prevención y control de incendios</v>
      </c>
      <c r="Y273" s="222" t="str">
        <f t="shared" si="18"/>
        <v>05-Servicio de capacitaciones en gestión del riesgo de incendios  a la ciudadania. 035_Servicio prevención y control de incendios</v>
      </c>
      <c r="Z273" s="221" t="str">
        <f t="shared" si="19"/>
        <v>O23011745032024025505035</v>
      </c>
      <c r="AA273" s="221" t="str">
        <f>IFERROR(VLOOKUP(Y273,TD!$K$47:$L$65,2,0)," ")</f>
        <v>PM/0131/0105/45030350255</v>
      </c>
      <c r="AB273" s="53" t="s">
        <v>138</v>
      </c>
      <c r="AC273" s="223" t="s">
        <v>204</v>
      </c>
    </row>
    <row r="274" spans="2:29" s="28" customFormat="1" ht="99" customHeight="1" x14ac:dyDescent="0.35">
      <c r="B274" s="77">
        <v>20250225</v>
      </c>
      <c r="C274" s="50" t="s">
        <v>209</v>
      </c>
      <c r="D274" s="218" t="s">
        <v>167</v>
      </c>
      <c r="E274" s="219" t="s">
        <v>509</v>
      </c>
      <c r="F274" s="218" t="s">
        <v>838</v>
      </c>
      <c r="G274" s="218" t="s">
        <v>109</v>
      </c>
      <c r="H274" s="93" t="s">
        <v>943</v>
      </c>
      <c r="I274" s="220">
        <v>1</v>
      </c>
      <c r="J274" s="220">
        <v>3</v>
      </c>
      <c r="K274" s="52">
        <v>0</v>
      </c>
      <c r="L274" s="53">
        <v>33000000</v>
      </c>
      <c r="M274" s="218" t="s">
        <v>465</v>
      </c>
      <c r="N274" s="53" t="s">
        <v>511</v>
      </c>
      <c r="O274" s="219" t="s">
        <v>221</v>
      </c>
      <c r="P274" s="221" t="str">
        <f>IFERROR(VLOOKUP(C274,TD!$B$33:$F$37,2,0)," ")</f>
        <v>O230117</v>
      </c>
      <c r="Q274" s="221" t="str">
        <f>IFERROR(VLOOKUP(C274,TD!$B$33:$F$37,3,0)," ")</f>
        <v>4503</v>
      </c>
      <c r="R274" s="221">
        <f>IFERROR(VLOOKUP(C274,TD!$B$33:$F$37,4,0)," ")</f>
        <v>20240255</v>
      </c>
      <c r="S274" s="219" t="s">
        <v>179</v>
      </c>
      <c r="T274" s="221" t="str">
        <f>IFERROR(VLOOKUP(S274,TD!$J$34:$K$44,2,0)," ")</f>
        <v>Infraestructura Tecnológica   (Sistemas de Información y Tecnologia)</v>
      </c>
      <c r="U274" s="222" t="str">
        <f t="shared" si="16"/>
        <v>11-Infraestructura Tecnológica   (Sistemas de Información y Tecnologia)</v>
      </c>
      <c r="V274" s="219" t="s">
        <v>235</v>
      </c>
      <c r="W274" s="221" t="str">
        <f>IFERROR(VLOOKUP(V274,TD!$N$34:$O$46,2,0)," ")</f>
        <v>"Servicio de monitoreo y seguimiento para la gestión del riesgo"</v>
      </c>
      <c r="X274" s="222" t="str">
        <f t="shared" si="17"/>
        <v>018_"Servicio de monitoreo y seguimiento para la gestión del riesgo"</v>
      </c>
      <c r="Y274" s="222" t="str">
        <f t="shared" si="18"/>
        <v>11-Infraestructura Tecnológica   (Sistemas de Información y Tecnologia) 018_"Servicio de monitoreo y seguimiento para la gestión del riesgo"</v>
      </c>
      <c r="Z274" s="221" t="str">
        <f t="shared" si="19"/>
        <v>O23011745032024025511018</v>
      </c>
      <c r="AA274" s="221" t="str">
        <f>IFERROR(VLOOKUP(Y274,TD!$K$47:$L$65,2,0)," ")</f>
        <v>PM/0131/0111/45030180255</v>
      </c>
      <c r="AB274" s="53" t="s">
        <v>138</v>
      </c>
      <c r="AC274" s="223" t="s">
        <v>204</v>
      </c>
    </row>
    <row r="275" spans="2:29" s="28" customFormat="1" ht="99" customHeight="1" x14ac:dyDescent="0.35">
      <c r="B275" s="77">
        <v>20250226</v>
      </c>
      <c r="C275" s="50" t="s">
        <v>209</v>
      </c>
      <c r="D275" s="218" t="s">
        <v>167</v>
      </c>
      <c r="E275" s="219" t="s">
        <v>509</v>
      </c>
      <c r="F275" s="218" t="s">
        <v>688</v>
      </c>
      <c r="G275" s="218" t="s">
        <v>155</v>
      </c>
      <c r="H275" s="93">
        <v>80111600</v>
      </c>
      <c r="I275" s="220">
        <v>1</v>
      </c>
      <c r="J275" s="226">
        <v>10</v>
      </c>
      <c r="K275" s="129">
        <v>0</v>
      </c>
      <c r="L275" s="128">
        <f>100000000-36300000</f>
        <v>63700000</v>
      </c>
      <c r="M275" s="218" t="s">
        <v>465</v>
      </c>
      <c r="N275" s="53" t="s">
        <v>113</v>
      </c>
      <c r="O275" s="219" t="s">
        <v>221</v>
      </c>
      <c r="P275" s="221" t="str">
        <f>IFERROR(VLOOKUP(C275,TD!$B$33:$F$37,2,0)," ")</f>
        <v>O230117</v>
      </c>
      <c r="Q275" s="221" t="str">
        <f>IFERROR(VLOOKUP(C275,TD!$B$33:$F$37,3,0)," ")</f>
        <v>4503</v>
      </c>
      <c r="R275" s="221">
        <f>IFERROR(VLOOKUP(C275,TD!$B$33:$F$37,4,0)," ")</f>
        <v>20240255</v>
      </c>
      <c r="S275" s="219" t="s">
        <v>181</v>
      </c>
      <c r="T275" s="221" t="str">
        <f>IFERROR(VLOOKUP(S275,TD!$J$34:$K$44,2,0)," ")</f>
        <v>Servicio de inspecciones técnicas realizadas</v>
      </c>
      <c r="U275" s="222" t="str">
        <f t="shared" si="16"/>
        <v>06-Servicio de inspecciones técnicas realizadas</v>
      </c>
      <c r="V275" s="219" t="s">
        <v>234</v>
      </c>
      <c r="W275" s="221" t="str">
        <f>IFERROR(VLOOKUP(V275,TD!$N$34:$O$46,2,0)," ")</f>
        <v>Servicio prevención y control de incendios</v>
      </c>
      <c r="X275" s="222" t="str">
        <f t="shared" si="17"/>
        <v>035_Servicio prevención y control de incendios</v>
      </c>
      <c r="Y275" s="222" t="str">
        <f t="shared" si="18"/>
        <v>06-Servicio de inspecciones técnicas realizadas 035_Servicio prevención y control de incendios</v>
      </c>
      <c r="Z275" s="221" t="str">
        <f t="shared" si="19"/>
        <v>O23011745032024025506035</v>
      </c>
      <c r="AA275" s="221" t="str">
        <f>IFERROR(VLOOKUP(Y275,TD!$K$47:$L$65,2,0)," ")</f>
        <v>PM/0131/0106/45030350255</v>
      </c>
      <c r="AB275" s="53" t="s">
        <v>138</v>
      </c>
      <c r="AC275" s="223" t="s">
        <v>204</v>
      </c>
    </row>
    <row r="276" spans="2:29" s="28" customFormat="1" ht="99" customHeight="1" x14ac:dyDescent="0.35">
      <c r="B276" s="77">
        <v>20250229</v>
      </c>
      <c r="C276" s="50" t="s">
        <v>209</v>
      </c>
      <c r="D276" s="218" t="s">
        <v>167</v>
      </c>
      <c r="E276" s="219" t="s">
        <v>509</v>
      </c>
      <c r="F276" s="218" t="s">
        <v>513</v>
      </c>
      <c r="G276" s="218" t="s">
        <v>155</v>
      </c>
      <c r="H276" s="93">
        <v>80111600</v>
      </c>
      <c r="I276" s="220">
        <v>1</v>
      </c>
      <c r="J276" s="226">
        <v>10</v>
      </c>
      <c r="K276" s="129">
        <v>0</v>
      </c>
      <c r="L276" s="128">
        <f>90000000+10000000-3700000</f>
        <v>96300000</v>
      </c>
      <c r="M276" s="218" t="s">
        <v>465</v>
      </c>
      <c r="N276" s="53" t="s">
        <v>512</v>
      </c>
      <c r="O276" s="219" t="s">
        <v>225</v>
      </c>
      <c r="P276" s="221" t="str">
        <f>IFERROR(VLOOKUP(C276,TD!$B$33:$F$37,2,0)," ")</f>
        <v>O230117</v>
      </c>
      <c r="Q276" s="221" t="str">
        <f>IFERROR(VLOOKUP(C276,TD!$B$33:$F$37,3,0)," ")</f>
        <v>4503</v>
      </c>
      <c r="R276" s="221">
        <f>IFERROR(VLOOKUP(C276,TD!$B$33:$F$37,4,0)," ")</f>
        <v>20240255</v>
      </c>
      <c r="S276" s="219" t="s">
        <v>179</v>
      </c>
      <c r="T276" s="221" t="str">
        <f>IFERROR(VLOOKUP(S276,TD!$J$34:$K$44,2,0)," ")</f>
        <v>Infraestructura Tecnológica   (Sistemas de Información y Tecnologia)</v>
      </c>
      <c r="U276" s="222" t="str">
        <f t="shared" si="16"/>
        <v>11-Infraestructura Tecnológica   (Sistemas de Información y Tecnologia)</v>
      </c>
      <c r="V276" s="219" t="s">
        <v>235</v>
      </c>
      <c r="W276" s="221" t="str">
        <f>IFERROR(VLOOKUP(V276,TD!$N$34:$O$46,2,0)," ")</f>
        <v>"Servicio de monitoreo y seguimiento para la gestión del riesgo"</v>
      </c>
      <c r="X276" s="222" t="str">
        <f t="shared" si="17"/>
        <v>018_"Servicio de monitoreo y seguimiento para la gestión del riesgo"</v>
      </c>
      <c r="Y276" s="222" t="str">
        <f t="shared" si="18"/>
        <v>11-Infraestructura Tecnológica   (Sistemas de Información y Tecnologia) 018_"Servicio de monitoreo y seguimiento para la gestión del riesgo"</v>
      </c>
      <c r="Z276" s="221" t="str">
        <f t="shared" si="19"/>
        <v>O23011745032024025511018</v>
      </c>
      <c r="AA276" s="221" t="str">
        <f>IFERROR(VLOOKUP(Y276,TD!$K$47:$L$65,2,0)," ")</f>
        <v>PM/0131/0111/45030180255</v>
      </c>
      <c r="AB276" s="53" t="s">
        <v>138</v>
      </c>
      <c r="AC276" s="223" t="s">
        <v>204</v>
      </c>
    </row>
    <row r="277" spans="2:29" s="28" customFormat="1" ht="99" customHeight="1" x14ac:dyDescent="0.35">
      <c r="B277" s="77">
        <v>20250230</v>
      </c>
      <c r="C277" s="50" t="s">
        <v>209</v>
      </c>
      <c r="D277" s="218" t="s">
        <v>167</v>
      </c>
      <c r="E277" s="219" t="s">
        <v>509</v>
      </c>
      <c r="F277" s="218" t="s">
        <v>689</v>
      </c>
      <c r="G277" s="218" t="s">
        <v>155</v>
      </c>
      <c r="H277" s="93">
        <v>80111600</v>
      </c>
      <c r="I277" s="220">
        <v>1</v>
      </c>
      <c r="J277" s="226">
        <v>10</v>
      </c>
      <c r="K277" s="129">
        <v>0</v>
      </c>
      <c r="L277" s="128">
        <v>85567820</v>
      </c>
      <c r="M277" s="218" t="s">
        <v>465</v>
      </c>
      <c r="N277" s="53" t="s">
        <v>512</v>
      </c>
      <c r="O277" s="219" t="s">
        <v>221</v>
      </c>
      <c r="P277" s="221" t="str">
        <f>IFERROR(VLOOKUP(C277,TD!$B$33:$F$37,2,0)," ")</f>
        <v>O230117</v>
      </c>
      <c r="Q277" s="221" t="str">
        <f>IFERROR(VLOOKUP(C277,TD!$B$33:$F$37,3,0)," ")</f>
        <v>4503</v>
      </c>
      <c r="R277" s="221">
        <f>IFERROR(VLOOKUP(C277,TD!$B$33:$F$37,4,0)," ")</f>
        <v>20240255</v>
      </c>
      <c r="S277" s="219" t="s">
        <v>177</v>
      </c>
      <c r="T277" s="221" t="str">
        <f>IFERROR(VLOOKUP(S277,TD!$J$34:$K$44,2,0)," ")</f>
        <v>Servicio de capacitaciones en gestión del riesgo de incendios  a la ciudadania.</v>
      </c>
      <c r="U277" s="222" t="str">
        <f t="shared" si="16"/>
        <v>05-Servicio de capacitaciones en gestión del riesgo de incendios  a la ciudadania.</v>
      </c>
      <c r="V277" s="219" t="s">
        <v>233</v>
      </c>
      <c r="W277" s="221" t="str">
        <f>IFERROR(VLOOKUP(V277,TD!$N$34:$O$46,2,0)," ")</f>
        <v>Servicio de educación informal</v>
      </c>
      <c r="X277" s="222" t="str">
        <f t="shared" si="17"/>
        <v>002_Servicio de educación informal</v>
      </c>
      <c r="Y277" s="222" t="str">
        <f t="shared" si="18"/>
        <v>05-Servicio de capacitaciones en gestión del riesgo de incendios  a la ciudadania. 002_Servicio de educación informal</v>
      </c>
      <c r="Z277" s="221" t="str">
        <f t="shared" si="19"/>
        <v>O23011745032024025505002</v>
      </c>
      <c r="AA277" s="221" t="str">
        <f>IFERROR(VLOOKUP(Y277,TD!$K$47:$L$65,2,0)," ")</f>
        <v>PM/0131/0105/45030020255</v>
      </c>
      <c r="AB277" s="53" t="s">
        <v>138</v>
      </c>
      <c r="AC277" s="223" t="s">
        <v>204</v>
      </c>
    </row>
    <row r="278" spans="2:29" s="28" customFormat="1" ht="99" customHeight="1" x14ac:dyDescent="0.35">
      <c r="B278" s="77">
        <v>20250231</v>
      </c>
      <c r="C278" s="50" t="s">
        <v>209</v>
      </c>
      <c r="D278" s="218" t="s">
        <v>167</v>
      </c>
      <c r="E278" s="219" t="s">
        <v>509</v>
      </c>
      <c r="F278" s="218" t="s">
        <v>690</v>
      </c>
      <c r="G278" s="218" t="s">
        <v>155</v>
      </c>
      <c r="H278" s="93">
        <v>80111600</v>
      </c>
      <c r="I278" s="220">
        <v>1</v>
      </c>
      <c r="J278" s="226">
        <v>10</v>
      </c>
      <c r="K278" s="129">
        <v>0</v>
      </c>
      <c r="L278" s="128">
        <v>70000000</v>
      </c>
      <c r="M278" s="218" t="s">
        <v>465</v>
      </c>
      <c r="N278" s="53" t="s">
        <v>512</v>
      </c>
      <c r="O278" s="219" t="s">
        <v>221</v>
      </c>
      <c r="P278" s="221" t="str">
        <f>IFERROR(VLOOKUP(C278,TD!$B$33:$F$37,2,0)," ")</f>
        <v>O230117</v>
      </c>
      <c r="Q278" s="221" t="str">
        <f>IFERROR(VLOOKUP(C278,TD!$B$33:$F$37,3,0)," ")</f>
        <v>4503</v>
      </c>
      <c r="R278" s="221">
        <f>IFERROR(VLOOKUP(C278,TD!$B$33:$F$37,4,0)," ")</f>
        <v>20240255</v>
      </c>
      <c r="S278" s="219" t="s">
        <v>177</v>
      </c>
      <c r="T278" s="221" t="str">
        <f>IFERROR(VLOOKUP(S278,TD!$J$34:$K$44,2,0)," ")</f>
        <v>Servicio de capacitaciones en gestión del riesgo de incendios  a la ciudadania.</v>
      </c>
      <c r="U278" s="222" t="str">
        <f t="shared" si="16"/>
        <v>05-Servicio de capacitaciones en gestión del riesgo de incendios  a la ciudadania.</v>
      </c>
      <c r="V278" s="219" t="s">
        <v>234</v>
      </c>
      <c r="W278" s="221" t="str">
        <f>IFERROR(VLOOKUP(V278,TD!$N$34:$O$46,2,0)," ")</f>
        <v>Servicio prevención y control de incendios</v>
      </c>
      <c r="X278" s="222" t="str">
        <f t="shared" si="17"/>
        <v>035_Servicio prevención y control de incendios</v>
      </c>
      <c r="Y278" s="222" t="str">
        <f t="shared" si="18"/>
        <v>05-Servicio de capacitaciones en gestión del riesgo de incendios  a la ciudadania. 035_Servicio prevención y control de incendios</v>
      </c>
      <c r="Z278" s="221" t="str">
        <f t="shared" si="19"/>
        <v>O23011745032024025505035</v>
      </c>
      <c r="AA278" s="221" t="str">
        <f>IFERROR(VLOOKUP(Y278,TD!$K$47:$L$65,2,0)," ")</f>
        <v>PM/0131/0105/45030350255</v>
      </c>
      <c r="AB278" s="53" t="s">
        <v>138</v>
      </c>
      <c r="AC278" s="223" t="s">
        <v>204</v>
      </c>
    </row>
    <row r="279" spans="2:29" s="28" customFormat="1" ht="99" customHeight="1" x14ac:dyDescent="0.35">
      <c r="B279" s="77">
        <v>20250232</v>
      </c>
      <c r="C279" s="50" t="s">
        <v>209</v>
      </c>
      <c r="D279" s="218" t="s">
        <v>167</v>
      </c>
      <c r="E279" s="219" t="s">
        <v>509</v>
      </c>
      <c r="F279" s="218" t="s">
        <v>377</v>
      </c>
      <c r="G279" s="218" t="s">
        <v>155</v>
      </c>
      <c r="H279" s="93">
        <v>80111600</v>
      </c>
      <c r="I279" s="220">
        <v>1</v>
      </c>
      <c r="J279" s="226">
        <v>10</v>
      </c>
      <c r="K279" s="129">
        <v>0</v>
      </c>
      <c r="L279" s="128">
        <v>70000000</v>
      </c>
      <c r="M279" s="218" t="s">
        <v>465</v>
      </c>
      <c r="N279" s="53" t="s">
        <v>512</v>
      </c>
      <c r="O279" s="219" t="s">
        <v>221</v>
      </c>
      <c r="P279" s="221" t="str">
        <f>IFERROR(VLOOKUP(C279,TD!$B$33:$F$37,2,0)," ")</f>
        <v>O230117</v>
      </c>
      <c r="Q279" s="221" t="str">
        <f>IFERROR(VLOOKUP(C279,TD!$B$33:$F$37,3,0)," ")</f>
        <v>4503</v>
      </c>
      <c r="R279" s="221">
        <f>IFERROR(VLOOKUP(C279,TD!$B$33:$F$37,4,0)," ")</f>
        <v>20240255</v>
      </c>
      <c r="S279" s="219" t="s">
        <v>177</v>
      </c>
      <c r="T279" s="221" t="str">
        <f>IFERROR(VLOOKUP(S279,TD!$J$34:$K$44,2,0)," ")</f>
        <v>Servicio de capacitaciones en gestión del riesgo de incendios  a la ciudadania.</v>
      </c>
      <c r="U279" s="222" t="str">
        <f t="shared" si="16"/>
        <v>05-Servicio de capacitaciones en gestión del riesgo de incendios  a la ciudadania.</v>
      </c>
      <c r="V279" s="219" t="s">
        <v>233</v>
      </c>
      <c r="W279" s="221" t="str">
        <f>IFERROR(VLOOKUP(V279,TD!$N$34:$O$46,2,0)," ")</f>
        <v>Servicio de educación informal</v>
      </c>
      <c r="X279" s="222" t="str">
        <f t="shared" si="17"/>
        <v>002_Servicio de educación informal</v>
      </c>
      <c r="Y279" s="222" t="str">
        <f t="shared" si="18"/>
        <v>05-Servicio de capacitaciones en gestión del riesgo de incendios  a la ciudadania. 002_Servicio de educación informal</v>
      </c>
      <c r="Z279" s="221" t="str">
        <f t="shared" si="19"/>
        <v>O23011745032024025505002</v>
      </c>
      <c r="AA279" s="221" t="str">
        <f>IFERROR(VLOOKUP(Y279,TD!$K$47:$L$65,2,0)," ")</f>
        <v>PM/0131/0105/45030020255</v>
      </c>
      <c r="AB279" s="53" t="s">
        <v>120</v>
      </c>
      <c r="AC279" s="223" t="s">
        <v>204</v>
      </c>
    </row>
    <row r="280" spans="2:29" s="28" customFormat="1" ht="99" customHeight="1" x14ac:dyDescent="0.35">
      <c r="B280" s="77">
        <v>20250233</v>
      </c>
      <c r="C280" s="50" t="s">
        <v>209</v>
      </c>
      <c r="D280" s="218" t="s">
        <v>167</v>
      </c>
      <c r="E280" s="219" t="s">
        <v>509</v>
      </c>
      <c r="F280" s="218" t="s">
        <v>691</v>
      </c>
      <c r="G280" s="218" t="s">
        <v>155</v>
      </c>
      <c r="H280" s="93">
        <v>80111600</v>
      </c>
      <c r="I280" s="220">
        <v>1</v>
      </c>
      <c r="J280" s="226">
        <v>10</v>
      </c>
      <c r="K280" s="129">
        <v>0</v>
      </c>
      <c r="L280" s="128">
        <f>70000000-21000000</f>
        <v>49000000</v>
      </c>
      <c r="M280" s="218" t="s">
        <v>465</v>
      </c>
      <c r="N280" s="53" t="s">
        <v>512</v>
      </c>
      <c r="O280" s="219" t="s">
        <v>221</v>
      </c>
      <c r="P280" s="221" t="str">
        <f>IFERROR(VLOOKUP(C280,TD!$B$33:$F$37,2,0)," ")</f>
        <v>O230117</v>
      </c>
      <c r="Q280" s="221" t="str">
        <f>IFERROR(VLOOKUP(C280,TD!$B$33:$F$37,3,0)," ")</f>
        <v>4503</v>
      </c>
      <c r="R280" s="221">
        <f>IFERROR(VLOOKUP(C280,TD!$B$33:$F$37,4,0)," ")</f>
        <v>20240255</v>
      </c>
      <c r="S280" s="219" t="s">
        <v>177</v>
      </c>
      <c r="T280" s="221" t="str">
        <f>IFERROR(VLOOKUP(S280,TD!$J$34:$K$44,2,0)," ")</f>
        <v>Servicio de capacitaciones en gestión del riesgo de incendios  a la ciudadania.</v>
      </c>
      <c r="U280" s="222" t="str">
        <f t="shared" si="16"/>
        <v>05-Servicio de capacitaciones en gestión del riesgo de incendios  a la ciudadania.</v>
      </c>
      <c r="V280" s="219" t="s">
        <v>233</v>
      </c>
      <c r="W280" s="221" t="str">
        <f>IFERROR(VLOOKUP(V280,TD!$N$34:$O$46,2,0)," ")</f>
        <v>Servicio de educación informal</v>
      </c>
      <c r="X280" s="222" t="str">
        <f t="shared" si="17"/>
        <v>002_Servicio de educación informal</v>
      </c>
      <c r="Y280" s="222" t="str">
        <f t="shared" si="18"/>
        <v>05-Servicio de capacitaciones en gestión del riesgo de incendios  a la ciudadania. 002_Servicio de educación informal</v>
      </c>
      <c r="Z280" s="221" t="str">
        <f t="shared" si="19"/>
        <v>O23011745032024025505002</v>
      </c>
      <c r="AA280" s="221" t="str">
        <f>IFERROR(VLOOKUP(Y280,TD!$K$47:$L$65,2,0)," ")</f>
        <v>PM/0131/0105/45030020255</v>
      </c>
      <c r="AB280" s="53" t="s">
        <v>138</v>
      </c>
      <c r="AC280" s="223" t="s">
        <v>204</v>
      </c>
    </row>
    <row r="281" spans="2:29" s="28" customFormat="1" ht="99" customHeight="1" x14ac:dyDescent="0.35">
      <c r="B281" s="77">
        <v>20250234</v>
      </c>
      <c r="C281" s="50" t="s">
        <v>209</v>
      </c>
      <c r="D281" s="218" t="s">
        <v>167</v>
      </c>
      <c r="E281" s="219" t="s">
        <v>509</v>
      </c>
      <c r="F281" s="218" t="s">
        <v>514</v>
      </c>
      <c r="G281" s="218" t="s">
        <v>155</v>
      </c>
      <c r="H281" s="93">
        <v>80111600</v>
      </c>
      <c r="I281" s="220">
        <v>1</v>
      </c>
      <c r="J281" s="226">
        <v>10</v>
      </c>
      <c r="K281" s="129">
        <v>0</v>
      </c>
      <c r="L281" s="128">
        <f>60000000-10000000-14000000</f>
        <v>36000000</v>
      </c>
      <c r="M281" s="218" t="s">
        <v>465</v>
      </c>
      <c r="N281" s="53" t="s">
        <v>512</v>
      </c>
      <c r="O281" s="219" t="s">
        <v>221</v>
      </c>
      <c r="P281" s="221" t="str">
        <f>IFERROR(VLOOKUP(C281,TD!$B$33:$F$37,2,0)," ")</f>
        <v>O230117</v>
      </c>
      <c r="Q281" s="221" t="str">
        <f>IFERROR(VLOOKUP(C281,TD!$B$33:$F$37,3,0)," ")</f>
        <v>4503</v>
      </c>
      <c r="R281" s="221">
        <f>IFERROR(VLOOKUP(C281,TD!$B$33:$F$37,4,0)," ")</f>
        <v>20240255</v>
      </c>
      <c r="S281" s="219" t="s">
        <v>177</v>
      </c>
      <c r="T281" s="221" t="str">
        <f>IFERROR(VLOOKUP(S281,TD!$J$34:$K$44,2,0)," ")</f>
        <v>Servicio de capacitaciones en gestión del riesgo de incendios  a la ciudadania.</v>
      </c>
      <c r="U281" s="222" t="str">
        <f t="shared" si="16"/>
        <v>05-Servicio de capacitaciones en gestión del riesgo de incendios  a la ciudadania.</v>
      </c>
      <c r="V281" s="219" t="s">
        <v>233</v>
      </c>
      <c r="W281" s="221" t="str">
        <f>IFERROR(VLOOKUP(V281,TD!$N$34:$O$46,2,0)," ")</f>
        <v>Servicio de educación informal</v>
      </c>
      <c r="X281" s="222" t="str">
        <f t="shared" si="17"/>
        <v>002_Servicio de educación informal</v>
      </c>
      <c r="Y281" s="222" t="str">
        <f t="shared" si="18"/>
        <v>05-Servicio de capacitaciones en gestión del riesgo de incendios  a la ciudadania. 002_Servicio de educación informal</v>
      </c>
      <c r="Z281" s="221" t="str">
        <f t="shared" si="19"/>
        <v>O23011745032024025505002</v>
      </c>
      <c r="AA281" s="221" t="str">
        <f>IFERROR(VLOOKUP(Y281,TD!$K$47:$L$65,2,0)," ")</f>
        <v>PM/0131/0105/45030020255</v>
      </c>
      <c r="AB281" s="53" t="s">
        <v>120</v>
      </c>
      <c r="AC281" s="223" t="s">
        <v>204</v>
      </c>
    </row>
    <row r="282" spans="2:29" s="28" customFormat="1" ht="99" customHeight="1" x14ac:dyDescent="0.35">
      <c r="B282" s="77">
        <v>20250235</v>
      </c>
      <c r="C282" s="50" t="s">
        <v>209</v>
      </c>
      <c r="D282" s="218" t="s">
        <v>167</v>
      </c>
      <c r="E282" s="219" t="s">
        <v>509</v>
      </c>
      <c r="F282" s="218" t="s">
        <v>711</v>
      </c>
      <c r="G282" s="218" t="s">
        <v>155</v>
      </c>
      <c r="H282" s="93">
        <v>80111600</v>
      </c>
      <c r="I282" s="220">
        <v>1</v>
      </c>
      <c r="J282" s="226">
        <v>10</v>
      </c>
      <c r="K282" s="129">
        <v>0</v>
      </c>
      <c r="L282" s="128">
        <v>10500000</v>
      </c>
      <c r="M282" s="218" t="s">
        <v>465</v>
      </c>
      <c r="N282" s="53" t="s">
        <v>512</v>
      </c>
      <c r="O282" s="219" t="s">
        <v>221</v>
      </c>
      <c r="P282" s="221" t="str">
        <f>IFERROR(VLOOKUP(C282,TD!$B$33:$F$37,2,0)," ")</f>
        <v>O230117</v>
      </c>
      <c r="Q282" s="221" t="str">
        <f>IFERROR(VLOOKUP(C282,TD!$B$33:$F$37,3,0)," ")</f>
        <v>4503</v>
      </c>
      <c r="R282" s="221">
        <f>IFERROR(VLOOKUP(C282,TD!$B$33:$F$37,4,0)," ")</f>
        <v>20240255</v>
      </c>
      <c r="S282" s="219" t="s">
        <v>177</v>
      </c>
      <c r="T282" s="221" t="str">
        <f>IFERROR(VLOOKUP(S282,TD!$J$34:$K$44,2,0)," ")</f>
        <v>Servicio de capacitaciones en gestión del riesgo de incendios  a la ciudadania.</v>
      </c>
      <c r="U282" s="222" t="str">
        <f t="shared" si="16"/>
        <v>05-Servicio de capacitaciones en gestión del riesgo de incendios  a la ciudadania.</v>
      </c>
      <c r="V282" s="219" t="s">
        <v>233</v>
      </c>
      <c r="W282" s="221" t="str">
        <f>IFERROR(VLOOKUP(V282,TD!$N$34:$O$46,2,0)," ")</f>
        <v>Servicio de educación informal</v>
      </c>
      <c r="X282" s="222" t="str">
        <f t="shared" si="17"/>
        <v>002_Servicio de educación informal</v>
      </c>
      <c r="Y282" s="222" t="str">
        <f t="shared" si="18"/>
        <v>05-Servicio de capacitaciones en gestión del riesgo de incendios  a la ciudadania. 002_Servicio de educación informal</v>
      </c>
      <c r="Z282" s="221" t="str">
        <f t="shared" si="19"/>
        <v>O23011745032024025505002</v>
      </c>
      <c r="AA282" s="221" t="str">
        <f>IFERROR(VLOOKUP(Y282,TD!$K$47:$L$65,2,0)," ")</f>
        <v>PM/0131/0105/45030020255</v>
      </c>
      <c r="AB282" s="53" t="s">
        <v>138</v>
      </c>
      <c r="AC282" s="223" t="s">
        <v>204</v>
      </c>
    </row>
    <row r="283" spans="2:29" s="28" customFormat="1" ht="99" customHeight="1" x14ac:dyDescent="0.35">
      <c r="B283" s="77">
        <v>20250237</v>
      </c>
      <c r="C283" s="50" t="s">
        <v>209</v>
      </c>
      <c r="D283" s="218" t="s">
        <v>167</v>
      </c>
      <c r="E283" s="219" t="s">
        <v>509</v>
      </c>
      <c r="F283" s="218" t="s">
        <v>516</v>
      </c>
      <c r="G283" s="218" t="s">
        <v>155</v>
      </c>
      <c r="H283" s="93">
        <v>80111600</v>
      </c>
      <c r="I283" s="220">
        <v>1</v>
      </c>
      <c r="J283" s="226">
        <v>10</v>
      </c>
      <c r="K283" s="129">
        <v>0</v>
      </c>
      <c r="L283" s="128">
        <f>55000000-15000000</f>
        <v>40000000</v>
      </c>
      <c r="M283" s="218" t="s">
        <v>465</v>
      </c>
      <c r="N283" s="53" t="s">
        <v>512</v>
      </c>
      <c r="O283" s="219" t="s">
        <v>221</v>
      </c>
      <c r="P283" s="221" t="str">
        <f>IFERROR(VLOOKUP(C283,TD!$B$33:$F$37,2,0)," ")</f>
        <v>O230117</v>
      </c>
      <c r="Q283" s="221" t="str">
        <f>IFERROR(VLOOKUP(C283,TD!$B$33:$F$37,3,0)," ")</f>
        <v>4503</v>
      </c>
      <c r="R283" s="221">
        <f>IFERROR(VLOOKUP(C283,TD!$B$33:$F$37,4,0)," ")</f>
        <v>20240255</v>
      </c>
      <c r="S283" s="219" t="s">
        <v>177</v>
      </c>
      <c r="T283" s="221" t="str">
        <f>IFERROR(VLOOKUP(S283,TD!$J$34:$K$44,2,0)," ")</f>
        <v>Servicio de capacitaciones en gestión del riesgo de incendios  a la ciudadania.</v>
      </c>
      <c r="U283" s="222" t="str">
        <f t="shared" si="16"/>
        <v>05-Servicio de capacitaciones en gestión del riesgo de incendios  a la ciudadania.</v>
      </c>
      <c r="V283" s="219" t="s">
        <v>233</v>
      </c>
      <c r="W283" s="221" t="str">
        <f>IFERROR(VLOOKUP(V283,TD!$N$34:$O$46,2,0)," ")</f>
        <v>Servicio de educación informal</v>
      </c>
      <c r="X283" s="222" t="str">
        <f t="shared" si="17"/>
        <v>002_Servicio de educación informal</v>
      </c>
      <c r="Y283" s="222" t="str">
        <f t="shared" si="18"/>
        <v>05-Servicio de capacitaciones en gestión del riesgo de incendios  a la ciudadania. 002_Servicio de educación informal</v>
      </c>
      <c r="Z283" s="221" t="str">
        <f t="shared" si="19"/>
        <v>O23011745032024025505002</v>
      </c>
      <c r="AA283" s="221" t="str">
        <f>IFERROR(VLOOKUP(Y283,TD!$K$47:$L$65,2,0)," ")</f>
        <v>PM/0131/0105/45030020255</v>
      </c>
      <c r="AB283" s="53" t="s">
        <v>138</v>
      </c>
      <c r="AC283" s="223" t="s">
        <v>204</v>
      </c>
    </row>
    <row r="284" spans="2:29" s="28" customFormat="1" ht="99" customHeight="1" x14ac:dyDescent="0.35">
      <c r="B284" s="77">
        <v>20250238</v>
      </c>
      <c r="C284" s="50" t="s">
        <v>209</v>
      </c>
      <c r="D284" s="218" t="s">
        <v>167</v>
      </c>
      <c r="E284" s="219" t="s">
        <v>509</v>
      </c>
      <c r="F284" s="218" t="s">
        <v>517</v>
      </c>
      <c r="G284" s="218" t="s">
        <v>156</v>
      </c>
      <c r="H284" s="93">
        <v>80111600</v>
      </c>
      <c r="I284" s="220">
        <v>1</v>
      </c>
      <c r="J284" s="226">
        <v>10</v>
      </c>
      <c r="K284" s="129">
        <v>0</v>
      </c>
      <c r="L284" s="128">
        <f>42000000-7000000</f>
        <v>35000000</v>
      </c>
      <c r="M284" s="218" t="s">
        <v>465</v>
      </c>
      <c r="N284" s="53" t="s">
        <v>512</v>
      </c>
      <c r="O284" s="219" t="s">
        <v>221</v>
      </c>
      <c r="P284" s="221" t="str">
        <f>IFERROR(VLOOKUP(C284,TD!$B$33:$F$37,2,0)," ")</f>
        <v>O230117</v>
      </c>
      <c r="Q284" s="221" t="str">
        <f>IFERROR(VLOOKUP(C284,TD!$B$33:$F$37,3,0)," ")</f>
        <v>4503</v>
      </c>
      <c r="R284" s="221">
        <f>IFERROR(VLOOKUP(C284,TD!$B$33:$F$37,4,0)," ")</f>
        <v>20240255</v>
      </c>
      <c r="S284" s="219" t="s">
        <v>179</v>
      </c>
      <c r="T284" s="221" t="str">
        <f>IFERROR(VLOOKUP(S284,TD!$J$34:$K$44,2,0)," ")</f>
        <v>Infraestructura Tecnológica   (Sistemas de Información y Tecnologia)</v>
      </c>
      <c r="U284" s="222" t="str">
        <f t="shared" si="16"/>
        <v>11-Infraestructura Tecnológica   (Sistemas de Información y Tecnologia)</v>
      </c>
      <c r="V284" s="219" t="s">
        <v>235</v>
      </c>
      <c r="W284" s="221" t="str">
        <f>IFERROR(VLOOKUP(V284,TD!$N$34:$O$46,2,0)," ")</f>
        <v>"Servicio de monitoreo y seguimiento para la gestión del riesgo"</v>
      </c>
      <c r="X284" s="222" t="str">
        <f t="shared" si="17"/>
        <v>018_"Servicio de monitoreo y seguimiento para la gestión del riesgo"</v>
      </c>
      <c r="Y284" s="222" t="str">
        <f t="shared" si="18"/>
        <v>11-Infraestructura Tecnológica   (Sistemas de Información y Tecnologia) 018_"Servicio de monitoreo y seguimiento para la gestión del riesgo"</v>
      </c>
      <c r="Z284" s="221" t="str">
        <f t="shared" si="19"/>
        <v>O23011745032024025511018</v>
      </c>
      <c r="AA284" s="221" t="str">
        <f>IFERROR(VLOOKUP(Y284,TD!$K$47:$L$65,2,0)," ")</f>
        <v>PM/0131/0111/45030180255</v>
      </c>
      <c r="AB284" s="53" t="s">
        <v>138</v>
      </c>
      <c r="AC284" s="223" t="s">
        <v>204</v>
      </c>
    </row>
    <row r="285" spans="2:29" s="28" customFormat="1" ht="99" customHeight="1" x14ac:dyDescent="0.35">
      <c r="B285" s="77">
        <v>20250240</v>
      </c>
      <c r="C285" s="50" t="s">
        <v>209</v>
      </c>
      <c r="D285" s="218" t="s">
        <v>167</v>
      </c>
      <c r="E285" s="219" t="s">
        <v>509</v>
      </c>
      <c r="F285" s="218" t="s">
        <v>519</v>
      </c>
      <c r="G285" s="218" t="s">
        <v>155</v>
      </c>
      <c r="H285" s="93">
        <v>80111600</v>
      </c>
      <c r="I285" s="220">
        <v>1</v>
      </c>
      <c r="J285" s="226">
        <v>10</v>
      </c>
      <c r="K285" s="129">
        <v>0</v>
      </c>
      <c r="L285" s="128">
        <f>77000000+3000000</f>
        <v>80000000</v>
      </c>
      <c r="M285" s="218" t="s">
        <v>465</v>
      </c>
      <c r="N285" s="53" t="s">
        <v>512</v>
      </c>
      <c r="O285" s="219" t="s">
        <v>225</v>
      </c>
      <c r="P285" s="221" t="str">
        <f>IFERROR(VLOOKUP(C285,TD!$B$33:$F$37,2,0)," ")</f>
        <v>O230117</v>
      </c>
      <c r="Q285" s="221" t="str">
        <f>IFERROR(VLOOKUP(C285,TD!$B$33:$F$37,3,0)," ")</f>
        <v>4503</v>
      </c>
      <c r="R285" s="221">
        <f>IFERROR(VLOOKUP(C285,TD!$B$33:$F$37,4,0)," ")</f>
        <v>20240255</v>
      </c>
      <c r="S285" s="219" t="s">
        <v>179</v>
      </c>
      <c r="T285" s="221" t="str">
        <f>IFERROR(VLOOKUP(S285,TD!$J$34:$K$44,2,0)," ")</f>
        <v>Infraestructura Tecnológica   (Sistemas de Información y Tecnologia)</v>
      </c>
      <c r="U285" s="222" t="str">
        <f t="shared" si="16"/>
        <v>11-Infraestructura Tecnológica   (Sistemas de Información y Tecnologia)</v>
      </c>
      <c r="V285" s="219" t="s">
        <v>235</v>
      </c>
      <c r="W285" s="221" t="str">
        <f>IFERROR(VLOOKUP(V285,TD!$N$34:$O$46,2,0)," ")</f>
        <v>"Servicio de monitoreo y seguimiento para la gestión del riesgo"</v>
      </c>
      <c r="X285" s="222" t="str">
        <f t="shared" si="17"/>
        <v>018_"Servicio de monitoreo y seguimiento para la gestión del riesgo"</v>
      </c>
      <c r="Y285" s="222" t="str">
        <f t="shared" si="18"/>
        <v>11-Infraestructura Tecnológica   (Sistemas de Información y Tecnologia) 018_"Servicio de monitoreo y seguimiento para la gestión del riesgo"</v>
      </c>
      <c r="Z285" s="221" t="str">
        <f t="shared" si="19"/>
        <v>O23011745032024025511018</v>
      </c>
      <c r="AA285" s="221" t="str">
        <f>IFERROR(VLOOKUP(Y285,TD!$K$47:$L$65,2,0)," ")</f>
        <v>PM/0131/0111/45030180255</v>
      </c>
      <c r="AB285" s="53" t="s">
        <v>138</v>
      </c>
      <c r="AC285" s="223" t="s">
        <v>204</v>
      </c>
    </row>
    <row r="286" spans="2:29" s="28" customFormat="1" ht="99" customHeight="1" x14ac:dyDescent="0.35">
      <c r="B286" s="77">
        <v>20250241</v>
      </c>
      <c r="C286" s="50" t="s">
        <v>209</v>
      </c>
      <c r="D286" s="218" t="s">
        <v>167</v>
      </c>
      <c r="E286" s="219" t="s">
        <v>509</v>
      </c>
      <c r="F286" s="218" t="s">
        <v>519</v>
      </c>
      <c r="G286" s="218" t="s">
        <v>155</v>
      </c>
      <c r="H286" s="93">
        <v>80111600</v>
      </c>
      <c r="I286" s="220">
        <v>1</v>
      </c>
      <c r="J286" s="226">
        <v>10</v>
      </c>
      <c r="K286" s="129">
        <v>0</v>
      </c>
      <c r="L286" s="128">
        <f>77000000+3000000-24000000</f>
        <v>56000000</v>
      </c>
      <c r="M286" s="218" t="s">
        <v>465</v>
      </c>
      <c r="N286" s="53" t="s">
        <v>512</v>
      </c>
      <c r="O286" s="219" t="s">
        <v>225</v>
      </c>
      <c r="P286" s="221" t="str">
        <f>IFERROR(VLOOKUP(C286,TD!$B$33:$F$37,2,0)," ")</f>
        <v>O230117</v>
      </c>
      <c r="Q286" s="221" t="str">
        <f>IFERROR(VLOOKUP(C286,TD!$B$33:$F$37,3,0)," ")</f>
        <v>4503</v>
      </c>
      <c r="R286" s="221">
        <f>IFERROR(VLOOKUP(C286,TD!$B$33:$F$37,4,0)," ")</f>
        <v>20240255</v>
      </c>
      <c r="S286" s="219" t="s">
        <v>179</v>
      </c>
      <c r="T286" s="221" t="str">
        <f>IFERROR(VLOOKUP(S286,TD!$J$34:$K$44,2,0)," ")</f>
        <v>Infraestructura Tecnológica   (Sistemas de Información y Tecnologia)</v>
      </c>
      <c r="U286" s="222" t="str">
        <f t="shared" si="16"/>
        <v>11-Infraestructura Tecnológica   (Sistemas de Información y Tecnologia)</v>
      </c>
      <c r="V286" s="219" t="s">
        <v>235</v>
      </c>
      <c r="W286" s="221" t="str">
        <f>IFERROR(VLOOKUP(V286,TD!$N$34:$O$46,2,0)," ")</f>
        <v>"Servicio de monitoreo y seguimiento para la gestión del riesgo"</v>
      </c>
      <c r="X286" s="222" t="str">
        <f t="shared" si="17"/>
        <v>018_"Servicio de monitoreo y seguimiento para la gestión del riesgo"</v>
      </c>
      <c r="Y286" s="222" t="str">
        <f t="shared" si="18"/>
        <v>11-Infraestructura Tecnológica   (Sistemas de Información y Tecnologia) 018_"Servicio de monitoreo y seguimiento para la gestión del riesgo"</v>
      </c>
      <c r="Z286" s="221" t="str">
        <f t="shared" si="19"/>
        <v>O23011745032024025511018</v>
      </c>
      <c r="AA286" s="221" t="str">
        <f>IFERROR(VLOOKUP(Y286,TD!$K$47:$L$65,2,0)," ")</f>
        <v>PM/0131/0111/45030180255</v>
      </c>
      <c r="AB286" s="53" t="s">
        <v>138</v>
      </c>
      <c r="AC286" s="223" t="s">
        <v>204</v>
      </c>
    </row>
    <row r="287" spans="2:29" s="28" customFormat="1" ht="99" customHeight="1" x14ac:dyDescent="0.35">
      <c r="B287" s="77">
        <v>20250242</v>
      </c>
      <c r="C287" s="50" t="s">
        <v>209</v>
      </c>
      <c r="D287" s="218" t="s">
        <v>167</v>
      </c>
      <c r="E287" s="219" t="s">
        <v>509</v>
      </c>
      <c r="F287" s="218" t="s">
        <v>519</v>
      </c>
      <c r="G287" s="218" t="s">
        <v>155</v>
      </c>
      <c r="H287" s="93">
        <v>80111600</v>
      </c>
      <c r="I287" s="220">
        <v>1</v>
      </c>
      <c r="J287" s="226">
        <v>10</v>
      </c>
      <c r="K287" s="129">
        <v>0</v>
      </c>
      <c r="L287" s="128">
        <f>77000000+3000000-24000000</f>
        <v>56000000</v>
      </c>
      <c r="M287" s="218" t="s">
        <v>465</v>
      </c>
      <c r="N287" s="53" t="s">
        <v>512</v>
      </c>
      <c r="O287" s="219" t="s">
        <v>225</v>
      </c>
      <c r="P287" s="221" t="str">
        <f>IFERROR(VLOOKUP(C287,TD!$B$33:$F$37,2,0)," ")</f>
        <v>O230117</v>
      </c>
      <c r="Q287" s="221" t="str">
        <f>IFERROR(VLOOKUP(C287,TD!$B$33:$F$37,3,0)," ")</f>
        <v>4503</v>
      </c>
      <c r="R287" s="221">
        <f>IFERROR(VLOOKUP(C287,TD!$B$33:$F$37,4,0)," ")</f>
        <v>20240255</v>
      </c>
      <c r="S287" s="219" t="s">
        <v>179</v>
      </c>
      <c r="T287" s="221" t="str">
        <f>IFERROR(VLOOKUP(S287,TD!$J$34:$K$44,2,0)," ")</f>
        <v>Infraestructura Tecnológica   (Sistemas de Información y Tecnologia)</v>
      </c>
      <c r="U287" s="222" t="str">
        <f t="shared" si="16"/>
        <v>11-Infraestructura Tecnológica   (Sistemas de Información y Tecnologia)</v>
      </c>
      <c r="V287" s="219" t="s">
        <v>235</v>
      </c>
      <c r="W287" s="221" t="str">
        <f>IFERROR(VLOOKUP(V287,TD!$N$34:$O$46,2,0)," ")</f>
        <v>"Servicio de monitoreo y seguimiento para la gestión del riesgo"</v>
      </c>
      <c r="X287" s="222" t="str">
        <f t="shared" si="17"/>
        <v>018_"Servicio de monitoreo y seguimiento para la gestión del riesgo"</v>
      </c>
      <c r="Y287" s="222" t="str">
        <f t="shared" si="18"/>
        <v>11-Infraestructura Tecnológica   (Sistemas de Información y Tecnologia) 018_"Servicio de monitoreo y seguimiento para la gestión del riesgo"</v>
      </c>
      <c r="Z287" s="221" t="str">
        <f t="shared" si="19"/>
        <v>O23011745032024025511018</v>
      </c>
      <c r="AA287" s="221" t="str">
        <f>IFERROR(VLOOKUP(Y287,TD!$K$47:$L$65,2,0)," ")</f>
        <v>PM/0131/0111/45030180255</v>
      </c>
      <c r="AB287" s="53" t="s">
        <v>138</v>
      </c>
      <c r="AC287" s="223" t="s">
        <v>204</v>
      </c>
    </row>
    <row r="288" spans="2:29" s="28" customFormat="1" ht="99" customHeight="1" x14ac:dyDescent="0.35">
      <c r="B288" s="77">
        <v>20250243</v>
      </c>
      <c r="C288" s="50" t="s">
        <v>209</v>
      </c>
      <c r="D288" s="218" t="s">
        <v>167</v>
      </c>
      <c r="E288" s="219" t="s">
        <v>509</v>
      </c>
      <c r="F288" s="218" t="s">
        <v>373</v>
      </c>
      <c r="G288" s="218" t="s">
        <v>155</v>
      </c>
      <c r="H288" s="93">
        <v>80111600</v>
      </c>
      <c r="I288" s="220">
        <v>1</v>
      </c>
      <c r="J288" s="226">
        <v>10</v>
      </c>
      <c r="K288" s="129">
        <v>0</v>
      </c>
      <c r="L288" s="128">
        <f>77000000-7000000</f>
        <v>70000000</v>
      </c>
      <c r="M288" s="218" t="s">
        <v>465</v>
      </c>
      <c r="N288" s="53" t="s">
        <v>512</v>
      </c>
      <c r="O288" s="219" t="s">
        <v>221</v>
      </c>
      <c r="P288" s="221" t="str">
        <f>IFERROR(VLOOKUP(C288,TD!$B$33:$F$37,2,0)," ")</f>
        <v>O230117</v>
      </c>
      <c r="Q288" s="221" t="str">
        <f>IFERROR(VLOOKUP(C288,TD!$B$33:$F$37,3,0)," ")</f>
        <v>4503</v>
      </c>
      <c r="R288" s="221">
        <f>IFERROR(VLOOKUP(C288,TD!$B$33:$F$37,4,0)," ")</f>
        <v>20240255</v>
      </c>
      <c r="S288" s="219" t="s">
        <v>181</v>
      </c>
      <c r="T288" s="221" t="str">
        <f>IFERROR(VLOOKUP(S288,TD!$J$34:$K$44,2,0)," ")</f>
        <v>Servicio de inspecciones técnicas realizadas</v>
      </c>
      <c r="U288" s="222" t="str">
        <f t="shared" si="16"/>
        <v>06-Servicio de inspecciones técnicas realizadas</v>
      </c>
      <c r="V288" s="219" t="s">
        <v>234</v>
      </c>
      <c r="W288" s="221" t="str">
        <f>IFERROR(VLOOKUP(V288,TD!$N$34:$O$46,2,0)," ")</f>
        <v>Servicio prevención y control de incendios</v>
      </c>
      <c r="X288" s="222" t="str">
        <f t="shared" si="17"/>
        <v>035_Servicio prevención y control de incendios</v>
      </c>
      <c r="Y288" s="222" t="str">
        <f t="shared" si="18"/>
        <v>06-Servicio de inspecciones técnicas realizadas 035_Servicio prevención y control de incendios</v>
      </c>
      <c r="Z288" s="221" t="str">
        <f t="shared" si="19"/>
        <v>O23011745032024025506035</v>
      </c>
      <c r="AA288" s="221" t="str">
        <f>IFERROR(VLOOKUP(Y288,TD!$K$47:$L$65,2,0)," ")</f>
        <v>PM/0131/0106/45030350255</v>
      </c>
      <c r="AB288" s="53" t="s">
        <v>138</v>
      </c>
      <c r="AC288" s="223" t="s">
        <v>204</v>
      </c>
    </row>
    <row r="289" spans="2:29" s="28" customFormat="1" ht="99" customHeight="1" x14ac:dyDescent="0.35">
      <c r="B289" s="77">
        <v>20250245</v>
      </c>
      <c r="C289" s="50" t="s">
        <v>209</v>
      </c>
      <c r="D289" s="218" t="s">
        <v>167</v>
      </c>
      <c r="E289" s="219" t="s">
        <v>509</v>
      </c>
      <c r="F289" s="218" t="s">
        <v>519</v>
      </c>
      <c r="G289" s="218" t="s">
        <v>155</v>
      </c>
      <c r="H289" s="93">
        <v>80111600</v>
      </c>
      <c r="I289" s="220">
        <v>1</v>
      </c>
      <c r="J289" s="226">
        <v>10</v>
      </c>
      <c r="K289" s="129">
        <v>0</v>
      </c>
      <c r="L289" s="128">
        <f>55000000-5000000</f>
        <v>50000000</v>
      </c>
      <c r="M289" s="218" t="s">
        <v>465</v>
      </c>
      <c r="N289" s="53" t="s">
        <v>512</v>
      </c>
      <c r="O289" s="219" t="s">
        <v>225</v>
      </c>
      <c r="P289" s="221" t="str">
        <f>IFERROR(VLOOKUP(C289,TD!$B$33:$F$37,2,0)," ")</f>
        <v>O230117</v>
      </c>
      <c r="Q289" s="221" t="str">
        <f>IFERROR(VLOOKUP(C289,TD!$B$33:$F$37,3,0)," ")</f>
        <v>4503</v>
      </c>
      <c r="R289" s="221">
        <f>IFERROR(VLOOKUP(C289,TD!$B$33:$F$37,4,0)," ")</f>
        <v>20240255</v>
      </c>
      <c r="S289" s="219" t="s">
        <v>179</v>
      </c>
      <c r="T289" s="221" t="str">
        <f>IFERROR(VLOOKUP(S289,TD!$J$34:$K$44,2,0)," ")</f>
        <v>Infraestructura Tecnológica   (Sistemas de Información y Tecnologia)</v>
      </c>
      <c r="U289" s="222" t="str">
        <f t="shared" si="16"/>
        <v>11-Infraestructura Tecnológica   (Sistemas de Información y Tecnologia)</v>
      </c>
      <c r="V289" s="219" t="s">
        <v>235</v>
      </c>
      <c r="W289" s="221" t="str">
        <f>IFERROR(VLOOKUP(V289,TD!$N$34:$O$46,2,0)," ")</f>
        <v>"Servicio de monitoreo y seguimiento para la gestión del riesgo"</v>
      </c>
      <c r="X289" s="222" t="str">
        <f t="shared" si="17"/>
        <v>018_"Servicio de monitoreo y seguimiento para la gestión del riesgo"</v>
      </c>
      <c r="Y289" s="222" t="str">
        <f t="shared" si="18"/>
        <v>11-Infraestructura Tecnológica   (Sistemas de Información y Tecnologia) 018_"Servicio de monitoreo y seguimiento para la gestión del riesgo"</v>
      </c>
      <c r="Z289" s="221" t="str">
        <f t="shared" si="19"/>
        <v>O23011745032024025511018</v>
      </c>
      <c r="AA289" s="221" t="str">
        <f>IFERROR(VLOOKUP(Y289,TD!$K$47:$L$65,2,0)," ")</f>
        <v>PM/0131/0111/45030180255</v>
      </c>
      <c r="AB289" s="53" t="s">
        <v>138</v>
      </c>
      <c r="AC289" s="223" t="s">
        <v>204</v>
      </c>
    </row>
    <row r="290" spans="2:29" s="28" customFormat="1" ht="99" customHeight="1" x14ac:dyDescent="0.35">
      <c r="B290" s="77">
        <v>20250250</v>
      </c>
      <c r="C290" s="50" t="s">
        <v>209</v>
      </c>
      <c r="D290" s="218" t="s">
        <v>167</v>
      </c>
      <c r="E290" s="219" t="s">
        <v>509</v>
      </c>
      <c r="F290" s="218" t="s">
        <v>372</v>
      </c>
      <c r="G290" s="218" t="s">
        <v>156</v>
      </c>
      <c r="H290" s="93">
        <v>80111600</v>
      </c>
      <c r="I290" s="220">
        <v>1</v>
      </c>
      <c r="J290" s="226">
        <v>10</v>
      </c>
      <c r="K290" s="129">
        <v>0</v>
      </c>
      <c r="L290" s="128">
        <f>49500000-5500000</f>
        <v>44000000</v>
      </c>
      <c r="M290" s="218" t="s">
        <v>465</v>
      </c>
      <c r="N290" s="53" t="s">
        <v>512</v>
      </c>
      <c r="O290" s="219" t="s">
        <v>221</v>
      </c>
      <c r="P290" s="221" t="str">
        <f>IFERROR(VLOOKUP(C290,TD!$B$33:$F$37,2,0)," ")</f>
        <v>O230117</v>
      </c>
      <c r="Q290" s="221" t="str">
        <f>IFERROR(VLOOKUP(C290,TD!$B$33:$F$37,3,0)," ")</f>
        <v>4503</v>
      </c>
      <c r="R290" s="221">
        <f>IFERROR(VLOOKUP(C290,TD!$B$33:$F$37,4,0)," ")</f>
        <v>20240255</v>
      </c>
      <c r="S290" s="219" t="s">
        <v>181</v>
      </c>
      <c r="T290" s="221" t="str">
        <f>IFERROR(VLOOKUP(S290,TD!$J$34:$K$44,2,0)," ")</f>
        <v>Servicio de inspecciones técnicas realizadas</v>
      </c>
      <c r="U290" s="222" t="str">
        <f t="shared" si="16"/>
        <v>06-Servicio de inspecciones técnicas realizadas</v>
      </c>
      <c r="V290" s="219" t="s">
        <v>234</v>
      </c>
      <c r="W290" s="221" t="str">
        <f>IFERROR(VLOOKUP(V290,TD!$N$34:$O$46,2,0)," ")</f>
        <v>Servicio prevención y control de incendios</v>
      </c>
      <c r="X290" s="222" t="str">
        <f t="shared" si="17"/>
        <v>035_Servicio prevención y control de incendios</v>
      </c>
      <c r="Y290" s="222" t="str">
        <f t="shared" si="18"/>
        <v>06-Servicio de inspecciones técnicas realizadas 035_Servicio prevención y control de incendios</v>
      </c>
      <c r="Z290" s="221" t="str">
        <f t="shared" si="19"/>
        <v>O23011745032024025506035</v>
      </c>
      <c r="AA290" s="221" t="str">
        <f>IFERROR(VLOOKUP(Y290,TD!$K$47:$L$65,2,0)," ")</f>
        <v>PM/0131/0106/45030350255</v>
      </c>
      <c r="AB290" s="53" t="s">
        <v>138</v>
      </c>
      <c r="AC290" s="223" t="s">
        <v>204</v>
      </c>
    </row>
    <row r="291" spans="2:29" s="28" customFormat="1" ht="99" customHeight="1" x14ac:dyDescent="0.35">
      <c r="B291" s="77">
        <v>20250252</v>
      </c>
      <c r="C291" s="50" t="s">
        <v>209</v>
      </c>
      <c r="D291" s="218" t="s">
        <v>167</v>
      </c>
      <c r="E291" s="219" t="s">
        <v>509</v>
      </c>
      <c r="F291" s="218" t="s">
        <v>521</v>
      </c>
      <c r="G291" s="218" t="s">
        <v>155</v>
      </c>
      <c r="H291" s="93">
        <v>80111600</v>
      </c>
      <c r="I291" s="220">
        <v>1</v>
      </c>
      <c r="J291" s="226">
        <v>10</v>
      </c>
      <c r="K291" s="129">
        <v>0</v>
      </c>
      <c r="L291" s="128">
        <v>60000000</v>
      </c>
      <c r="M291" s="218" t="s">
        <v>465</v>
      </c>
      <c r="N291" s="53" t="s">
        <v>512</v>
      </c>
      <c r="O291" s="219" t="s">
        <v>226</v>
      </c>
      <c r="P291" s="221" t="str">
        <f>IFERROR(VLOOKUP(C291,TD!$B$33:$F$37,2,0)," ")</f>
        <v>O230117</v>
      </c>
      <c r="Q291" s="221" t="str">
        <f>IFERROR(VLOOKUP(C291,TD!$B$33:$F$37,3,0)," ")</f>
        <v>4503</v>
      </c>
      <c r="R291" s="221">
        <f>IFERROR(VLOOKUP(C291,TD!$B$33:$F$37,4,0)," ")</f>
        <v>20240255</v>
      </c>
      <c r="S291" s="219" t="s">
        <v>179</v>
      </c>
      <c r="T291" s="221" t="str">
        <f>IFERROR(VLOOKUP(S291,TD!$J$34:$K$44,2,0)," ")</f>
        <v>Infraestructura Tecnológica   (Sistemas de Información y Tecnologia)</v>
      </c>
      <c r="U291" s="222" t="str">
        <f t="shared" si="16"/>
        <v>11-Infraestructura Tecnológica   (Sistemas de Información y Tecnologia)</v>
      </c>
      <c r="V291" s="219" t="s">
        <v>235</v>
      </c>
      <c r="W291" s="221" t="str">
        <f>IFERROR(VLOOKUP(V291,TD!$N$34:$O$46,2,0)," ")</f>
        <v>"Servicio de monitoreo y seguimiento para la gestión del riesgo"</v>
      </c>
      <c r="X291" s="222" t="str">
        <f t="shared" si="17"/>
        <v>018_"Servicio de monitoreo y seguimiento para la gestión del riesgo"</v>
      </c>
      <c r="Y291" s="222" t="str">
        <f t="shared" si="18"/>
        <v>11-Infraestructura Tecnológica   (Sistemas de Información y Tecnologia) 018_"Servicio de monitoreo y seguimiento para la gestión del riesgo"</v>
      </c>
      <c r="Z291" s="221" t="str">
        <f t="shared" si="19"/>
        <v>O23011745032024025511018</v>
      </c>
      <c r="AA291" s="221" t="str">
        <f>IFERROR(VLOOKUP(Y291,TD!$K$47:$L$65,2,0)," ")</f>
        <v>PM/0131/0111/45030180255</v>
      </c>
      <c r="AB291" s="53" t="s">
        <v>138</v>
      </c>
      <c r="AC291" s="223" t="s">
        <v>204</v>
      </c>
    </row>
    <row r="292" spans="2:29" s="28" customFormat="1" ht="99" customHeight="1" x14ac:dyDescent="0.35">
      <c r="B292" s="77">
        <v>20250253</v>
      </c>
      <c r="C292" s="50" t="s">
        <v>209</v>
      </c>
      <c r="D292" s="218" t="s">
        <v>167</v>
      </c>
      <c r="E292" s="219" t="s">
        <v>509</v>
      </c>
      <c r="F292" s="218" t="s">
        <v>521</v>
      </c>
      <c r="G292" s="218" t="s">
        <v>155</v>
      </c>
      <c r="H292" s="93">
        <v>80111600</v>
      </c>
      <c r="I292" s="220">
        <v>1</v>
      </c>
      <c r="J292" s="226">
        <v>10</v>
      </c>
      <c r="K292" s="129">
        <v>0</v>
      </c>
      <c r="L292" s="128">
        <f>33000000+7000000+10000000</f>
        <v>50000000</v>
      </c>
      <c r="M292" s="218" t="s">
        <v>465</v>
      </c>
      <c r="N292" s="53" t="s">
        <v>512</v>
      </c>
      <c r="O292" s="219" t="s">
        <v>226</v>
      </c>
      <c r="P292" s="221" t="str">
        <f>IFERROR(VLOOKUP(C292,TD!$B$33:$F$37,2,0)," ")</f>
        <v>O230117</v>
      </c>
      <c r="Q292" s="221" t="str">
        <f>IFERROR(VLOOKUP(C292,TD!$B$33:$F$37,3,0)," ")</f>
        <v>4503</v>
      </c>
      <c r="R292" s="221">
        <f>IFERROR(VLOOKUP(C292,TD!$B$33:$F$37,4,0)," ")</f>
        <v>20240255</v>
      </c>
      <c r="S292" s="219" t="s">
        <v>179</v>
      </c>
      <c r="T292" s="221" t="str">
        <f>IFERROR(VLOOKUP(S292,TD!$J$34:$K$44,2,0)," ")</f>
        <v>Infraestructura Tecnológica   (Sistemas de Información y Tecnologia)</v>
      </c>
      <c r="U292" s="222" t="str">
        <f t="shared" si="16"/>
        <v>11-Infraestructura Tecnológica   (Sistemas de Información y Tecnologia)</v>
      </c>
      <c r="V292" s="219" t="s">
        <v>235</v>
      </c>
      <c r="W292" s="221" t="str">
        <f>IFERROR(VLOOKUP(V292,TD!$N$34:$O$46,2,0)," ")</f>
        <v>"Servicio de monitoreo y seguimiento para la gestión del riesgo"</v>
      </c>
      <c r="X292" s="222" t="str">
        <f t="shared" si="17"/>
        <v>018_"Servicio de monitoreo y seguimiento para la gestión del riesgo"</v>
      </c>
      <c r="Y292" s="222" t="str">
        <f t="shared" si="18"/>
        <v>11-Infraestructura Tecnológica   (Sistemas de Información y Tecnologia) 018_"Servicio de monitoreo y seguimiento para la gestión del riesgo"</v>
      </c>
      <c r="Z292" s="221" t="str">
        <f t="shared" si="19"/>
        <v>O23011745032024025511018</v>
      </c>
      <c r="AA292" s="221" t="str">
        <f>IFERROR(VLOOKUP(Y292,TD!$K$47:$L$65,2,0)," ")</f>
        <v>PM/0131/0111/45030180255</v>
      </c>
      <c r="AB292" s="53" t="s">
        <v>138</v>
      </c>
      <c r="AC292" s="223" t="s">
        <v>204</v>
      </c>
    </row>
    <row r="293" spans="2:29" s="28" customFormat="1" ht="99" customHeight="1" x14ac:dyDescent="0.35">
      <c r="B293" s="77">
        <v>20250254</v>
      </c>
      <c r="C293" s="50" t="s">
        <v>209</v>
      </c>
      <c r="D293" s="218" t="s">
        <v>167</v>
      </c>
      <c r="E293" s="219" t="s">
        <v>509</v>
      </c>
      <c r="F293" s="218" t="s">
        <v>521</v>
      </c>
      <c r="G293" s="218" t="s">
        <v>155</v>
      </c>
      <c r="H293" s="93">
        <v>80111600</v>
      </c>
      <c r="I293" s="220">
        <v>1</v>
      </c>
      <c r="J293" s="226">
        <v>10</v>
      </c>
      <c r="K293" s="129">
        <v>0</v>
      </c>
      <c r="L293" s="128">
        <f>33000000+7000000+10000000</f>
        <v>50000000</v>
      </c>
      <c r="M293" s="218" t="s">
        <v>465</v>
      </c>
      <c r="N293" s="53" t="s">
        <v>512</v>
      </c>
      <c r="O293" s="219" t="s">
        <v>226</v>
      </c>
      <c r="P293" s="221" t="str">
        <f>IFERROR(VLOOKUP(C293,TD!$B$33:$F$37,2,0)," ")</f>
        <v>O230117</v>
      </c>
      <c r="Q293" s="221" t="str">
        <f>IFERROR(VLOOKUP(C293,TD!$B$33:$F$37,3,0)," ")</f>
        <v>4503</v>
      </c>
      <c r="R293" s="221">
        <f>IFERROR(VLOOKUP(C293,TD!$B$33:$F$37,4,0)," ")</f>
        <v>20240255</v>
      </c>
      <c r="S293" s="219" t="s">
        <v>179</v>
      </c>
      <c r="T293" s="221" t="str">
        <f>IFERROR(VLOOKUP(S293,TD!$J$34:$K$44,2,0)," ")</f>
        <v>Infraestructura Tecnológica   (Sistemas de Información y Tecnologia)</v>
      </c>
      <c r="U293" s="222" t="str">
        <f t="shared" si="16"/>
        <v>11-Infraestructura Tecnológica   (Sistemas de Información y Tecnologia)</v>
      </c>
      <c r="V293" s="219" t="s">
        <v>235</v>
      </c>
      <c r="W293" s="221" t="str">
        <f>IFERROR(VLOOKUP(V293,TD!$N$34:$O$46,2,0)," ")</f>
        <v>"Servicio de monitoreo y seguimiento para la gestión del riesgo"</v>
      </c>
      <c r="X293" s="222" t="str">
        <f t="shared" si="17"/>
        <v>018_"Servicio de monitoreo y seguimiento para la gestión del riesgo"</v>
      </c>
      <c r="Y293" s="222" t="str">
        <f t="shared" si="18"/>
        <v>11-Infraestructura Tecnológica   (Sistemas de Información y Tecnologia) 018_"Servicio de monitoreo y seguimiento para la gestión del riesgo"</v>
      </c>
      <c r="Z293" s="221" t="str">
        <f t="shared" si="19"/>
        <v>O23011745032024025511018</v>
      </c>
      <c r="AA293" s="221" t="str">
        <f>IFERROR(VLOOKUP(Y293,TD!$K$47:$L$65,2,0)," ")</f>
        <v>PM/0131/0111/45030180255</v>
      </c>
      <c r="AB293" s="53" t="s">
        <v>138</v>
      </c>
      <c r="AC293" s="223" t="s">
        <v>204</v>
      </c>
    </row>
    <row r="294" spans="2:29" s="28" customFormat="1" ht="99" customHeight="1" x14ac:dyDescent="0.35">
      <c r="B294" s="77">
        <v>20250259</v>
      </c>
      <c r="C294" s="50" t="s">
        <v>209</v>
      </c>
      <c r="D294" s="218" t="s">
        <v>167</v>
      </c>
      <c r="E294" s="219" t="s">
        <v>509</v>
      </c>
      <c r="F294" s="218" t="s">
        <v>374</v>
      </c>
      <c r="G294" s="218" t="s">
        <v>156</v>
      </c>
      <c r="H294" s="93">
        <v>80111600</v>
      </c>
      <c r="I294" s="220">
        <v>1</v>
      </c>
      <c r="J294" s="226">
        <v>10</v>
      </c>
      <c r="K294" s="129">
        <v>0</v>
      </c>
      <c r="L294" s="128">
        <f>33000000+2000000</f>
        <v>35000000</v>
      </c>
      <c r="M294" s="218" t="s">
        <v>465</v>
      </c>
      <c r="N294" s="53" t="s">
        <v>512</v>
      </c>
      <c r="O294" s="219" t="s">
        <v>226</v>
      </c>
      <c r="P294" s="221" t="str">
        <f>IFERROR(VLOOKUP(C294,TD!$B$33:$F$37,2,0)," ")</f>
        <v>O230117</v>
      </c>
      <c r="Q294" s="221" t="str">
        <f>IFERROR(VLOOKUP(C294,TD!$B$33:$F$37,3,0)," ")</f>
        <v>4503</v>
      </c>
      <c r="R294" s="221">
        <f>IFERROR(VLOOKUP(C294,TD!$B$33:$F$37,4,0)," ")</f>
        <v>20240255</v>
      </c>
      <c r="S294" s="219" t="s">
        <v>179</v>
      </c>
      <c r="T294" s="221" t="str">
        <f>IFERROR(VLOOKUP(S294,TD!$J$34:$K$44,2,0)," ")</f>
        <v>Infraestructura Tecnológica   (Sistemas de Información y Tecnologia)</v>
      </c>
      <c r="U294" s="222" t="str">
        <f t="shared" si="16"/>
        <v>11-Infraestructura Tecnológica   (Sistemas de Información y Tecnologia)</v>
      </c>
      <c r="V294" s="219" t="s">
        <v>235</v>
      </c>
      <c r="W294" s="221" t="str">
        <f>IFERROR(VLOOKUP(V294,TD!$N$34:$O$46,2,0)," ")</f>
        <v>"Servicio de monitoreo y seguimiento para la gestión del riesgo"</v>
      </c>
      <c r="X294" s="222" t="str">
        <f t="shared" si="17"/>
        <v>018_"Servicio de monitoreo y seguimiento para la gestión del riesgo"</v>
      </c>
      <c r="Y294" s="222" t="str">
        <f t="shared" si="18"/>
        <v>11-Infraestructura Tecnológica   (Sistemas de Información y Tecnologia) 018_"Servicio de monitoreo y seguimiento para la gestión del riesgo"</v>
      </c>
      <c r="Z294" s="221" t="str">
        <f t="shared" si="19"/>
        <v>O23011745032024025511018</v>
      </c>
      <c r="AA294" s="221" t="str">
        <f>IFERROR(VLOOKUP(Y294,TD!$K$47:$L$65,2,0)," ")</f>
        <v>PM/0131/0111/45030180255</v>
      </c>
      <c r="AB294" s="53" t="s">
        <v>138</v>
      </c>
      <c r="AC294" s="223" t="s">
        <v>204</v>
      </c>
    </row>
    <row r="295" spans="2:29" s="28" customFormat="1" ht="99" customHeight="1" x14ac:dyDescent="0.35">
      <c r="B295" s="77">
        <v>20250260</v>
      </c>
      <c r="C295" s="50" t="s">
        <v>209</v>
      </c>
      <c r="D295" s="218" t="s">
        <v>167</v>
      </c>
      <c r="E295" s="219" t="s">
        <v>509</v>
      </c>
      <c r="F295" s="218" t="s">
        <v>693</v>
      </c>
      <c r="G295" s="218" t="s">
        <v>155</v>
      </c>
      <c r="H295" s="93">
        <v>80111600</v>
      </c>
      <c r="I295" s="220">
        <v>1</v>
      </c>
      <c r="J295" s="226">
        <v>11</v>
      </c>
      <c r="K295" s="129">
        <v>0</v>
      </c>
      <c r="L295" s="128">
        <f>77000000+11000000</f>
        <v>88000000</v>
      </c>
      <c r="M295" s="218" t="s">
        <v>465</v>
      </c>
      <c r="N295" s="53" t="s">
        <v>512</v>
      </c>
      <c r="O295" s="219" t="s">
        <v>221</v>
      </c>
      <c r="P295" s="221" t="str">
        <f>IFERROR(VLOOKUP(C295,TD!$B$33:$F$37,2,0)," ")</f>
        <v>O230117</v>
      </c>
      <c r="Q295" s="221" t="str">
        <f>IFERROR(VLOOKUP(C295,TD!$B$33:$F$37,3,0)," ")</f>
        <v>4503</v>
      </c>
      <c r="R295" s="221">
        <f>IFERROR(VLOOKUP(C295,TD!$B$33:$F$37,4,0)," ")</f>
        <v>20240255</v>
      </c>
      <c r="S295" s="219" t="s">
        <v>177</v>
      </c>
      <c r="T295" s="221" t="str">
        <f>IFERROR(VLOOKUP(S295,TD!$J$34:$K$44,2,0)," ")</f>
        <v>Servicio de capacitaciones en gestión del riesgo de incendios  a la ciudadania.</v>
      </c>
      <c r="U295" s="222" t="str">
        <f t="shared" si="16"/>
        <v>05-Servicio de capacitaciones en gestión del riesgo de incendios  a la ciudadania.</v>
      </c>
      <c r="V295" s="219" t="s">
        <v>234</v>
      </c>
      <c r="W295" s="221" t="str">
        <f>IFERROR(VLOOKUP(V295,TD!$N$34:$O$46,2,0)," ")</f>
        <v>Servicio prevención y control de incendios</v>
      </c>
      <c r="X295" s="222" t="str">
        <f t="shared" si="17"/>
        <v>035_Servicio prevención y control de incendios</v>
      </c>
      <c r="Y295" s="222" t="str">
        <f t="shared" si="18"/>
        <v>05-Servicio de capacitaciones en gestión del riesgo de incendios  a la ciudadania. 035_Servicio prevención y control de incendios</v>
      </c>
      <c r="Z295" s="221" t="str">
        <f t="shared" si="19"/>
        <v>O23011745032024025505035</v>
      </c>
      <c r="AA295" s="221" t="str">
        <f>IFERROR(VLOOKUP(Y295,TD!$K$47:$L$65,2,0)," ")</f>
        <v>PM/0131/0105/45030350255</v>
      </c>
      <c r="AB295" s="53" t="s">
        <v>138</v>
      </c>
      <c r="AC295" s="223" t="s">
        <v>204</v>
      </c>
    </row>
    <row r="296" spans="2:29" s="28" customFormat="1" ht="99" customHeight="1" x14ac:dyDescent="0.35">
      <c r="B296" s="77">
        <v>20250261</v>
      </c>
      <c r="C296" s="50" t="s">
        <v>209</v>
      </c>
      <c r="D296" s="218" t="s">
        <v>167</v>
      </c>
      <c r="E296" s="219" t="s">
        <v>509</v>
      </c>
      <c r="F296" s="218" t="s">
        <v>522</v>
      </c>
      <c r="G296" s="218" t="s">
        <v>155</v>
      </c>
      <c r="H296" s="93">
        <v>80111600</v>
      </c>
      <c r="I296" s="220">
        <v>1</v>
      </c>
      <c r="J296" s="226">
        <v>10</v>
      </c>
      <c r="K296" s="129">
        <v>0</v>
      </c>
      <c r="L296" s="128">
        <v>35000000</v>
      </c>
      <c r="M296" s="218" t="s">
        <v>465</v>
      </c>
      <c r="N296" s="53" t="s">
        <v>512</v>
      </c>
      <c r="O296" s="219" t="s">
        <v>221</v>
      </c>
      <c r="P296" s="221" t="str">
        <f>IFERROR(VLOOKUP(C296,TD!$B$33:$F$37,2,0)," ")</f>
        <v>O230117</v>
      </c>
      <c r="Q296" s="221" t="str">
        <f>IFERROR(VLOOKUP(C296,TD!$B$33:$F$37,3,0)," ")</f>
        <v>4503</v>
      </c>
      <c r="R296" s="221">
        <f>IFERROR(VLOOKUP(C296,TD!$B$33:$F$37,4,0)," ")</f>
        <v>20240255</v>
      </c>
      <c r="S296" s="219" t="s">
        <v>177</v>
      </c>
      <c r="T296" s="221" t="str">
        <f>IFERROR(VLOOKUP(S296,TD!$J$34:$K$44,2,0)," ")</f>
        <v>Servicio de capacitaciones en gestión del riesgo de incendios  a la ciudadania.</v>
      </c>
      <c r="U296" s="222" t="str">
        <f t="shared" si="16"/>
        <v>05-Servicio de capacitaciones en gestión del riesgo de incendios  a la ciudadania.</v>
      </c>
      <c r="V296" s="219" t="s">
        <v>234</v>
      </c>
      <c r="W296" s="221" t="str">
        <f>IFERROR(VLOOKUP(V296,TD!$N$34:$O$46,2,0)," ")</f>
        <v>Servicio prevención y control de incendios</v>
      </c>
      <c r="X296" s="222" t="str">
        <f t="shared" si="17"/>
        <v>035_Servicio prevención y control de incendios</v>
      </c>
      <c r="Y296" s="222" t="str">
        <f t="shared" si="18"/>
        <v>05-Servicio de capacitaciones en gestión del riesgo de incendios  a la ciudadania. 035_Servicio prevención y control de incendios</v>
      </c>
      <c r="Z296" s="221" t="str">
        <f t="shared" si="19"/>
        <v>O23011745032024025505035</v>
      </c>
      <c r="AA296" s="221" t="str">
        <f>IFERROR(VLOOKUP(Y296,TD!$K$47:$L$65,2,0)," ")</f>
        <v>PM/0131/0105/45030350255</v>
      </c>
      <c r="AB296" s="53" t="s">
        <v>138</v>
      </c>
      <c r="AC296" s="223" t="s">
        <v>204</v>
      </c>
    </row>
    <row r="297" spans="2:29" s="28" customFormat="1" ht="99" customHeight="1" x14ac:dyDescent="0.35">
      <c r="B297" s="77">
        <v>20250263</v>
      </c>
      <c r="C297" s="50" t="s">
        <v>209</v>
      </c>
      <c r="D297" s="218" t="s">
        <v>167</v>
      </c>
      <c r="E297" s="219" t="s">
        <v>509</v>
      </c>
      <c r="F297" s="218" t="s">
        <v>523</v>
      </c>
      <c r="G297" s="218" t="s">
        <v>156</v>
      </c>
      <c r="H297" s="93">
        <v>80111600</v>
      </c>
      <c r="I297" s="220">
        <v>1</v>
      </c>
      <c r="J297" s="226">
        <v>10</v>
      </c>
      <c r="K297" s="129">
        <v>0</v>
      </c>
      <c r="L297" s="128">
        <f>55000000-20000000</f>
        <v>35000000</v>
      </c>
      <c r="M297" s="218" t="s">
        <v>465</v>
      </c>
      <c r="N297" s="53" t="s">
        <v>512</v>
      </c>
      <c r="O297" s="219" t="s">
        <v>221</v>
      </c>
      <c r="P297" s="221" t="str">
        <f>IFERROR(VLOOKUP(C297,TD!$B$33:$F$37,2,0)," ")</f>
        <v>O230117</v>
      </c>
      <c r="Q297" s="221" t="str">
        <f>IFERROR(VLOOKUP(C297,TD!$B$33:$F$37,3,0)," ")</f>
        <v>4503</v>
      </c>
      <c r="R297" s="221">
        <f>IFERROR(VLOOKUP(C297,TD!$B$33:$F$37,4,0)," ")</f>
        <v>20240255</v>
      </c>
      <c r="S297" s="219" t="s">
        <v>177</v>
      </c>
      <c r="T297" s="221" t="str">
        <f>IFERROR(VLOOKUP(S297,TD!$J$34:$K$44,2,0)," ")</f>
        <v>Servicio de capacitaciones en gestión del riesgo de incendios  a la ciudadania.</v>
      </c>
      <c r="U297" s="222" t="str">
        <f t="shared" si="16"/>
        <v>05-Servicio de capacitaciones en gestión del riesgo de incendios  a la ciudadania.</v>
      </c>
      <c r="V297" s="219" t="s">
        <v>234</v>
      </c>
      <c r="W297" s="221" t="str">
        <f>IFERROR(VLOOKUP(V297,TD!$N$34:$O$46,2,0)," ")</f>
        <v>Servicio prevención y control de incendios</v>
      </c>
      <c r="X297" s="222" t="str">
        <f t="shared" si="17"/>
        <v>035_Servicio prevención y control de incendios</v>
      </c>
      <c r="Y297" s="222" t="str">
        <f t="shared" si="18"/>
        <v>05-Servicio de capacitaciones en gestión del riesgo de incendios  a la ciudadania. 035_Servicio prevención y control de incendios</v>
      </c>
      <c r="Z297" s="221" t="str">
        <f t="shared" si="19"/>
        <v>O23011745032024025505035</v>
      </c>
      <c r="AA297" s="221" t="str">
        <f>IFERROR(VLOOKUP(Y297,TD!$K$47:$L$65,2,0)," ")</f>
        <v>PM/0131/0105/45030350255</v>
      </c>
      <c r="AB297" s="53" t="s">
        <v>138</v>
      </c>
      <c r="AC297" s="223" t="s">
        <v>204</v>
      </c>
    </row>
    <row r="298" spans="2:29" s="28" customFormat="1" ht="99" customHeight="1" x14ac:dyDescent="0.35">
      <c r="B298" s="77">
        <v>20250264</v>
      </c>
      <c r="C298" s="50" t="s">
        <v>209</v>
      </c>
      <c r="D298" s="218" t="s">
        <v>167</v>
      </c>
      <c r="E298" s="219" t="s">
        <v>509</v>
      </c>
      <c r="F298" s="218" t="s">
        <v>523</v>
      </c>
      <c r="G298" s="218" t="s">
        <v>156</v>
      </c>
      <c r="H298" s="93">
        <v>80111600</v>
      </c>
      <c r="I298" s="220">
        <v>1</v>
      </c>
      <c r="J298" s="226">
        <v>10</v>
      </c>
      <c r="K298" s="129">
        <v>0</v>
      </c>
      <c r="L298" s="128">
        <f>44000000-9000000</f>
        <v>35000000</v>
      </c>
      <c r="M298" s="218" t="s">
        <v>465</v>
      </c>
      <c r="N298" s="53" t="s">
        <v>512</v>
      </c>
      <c r="O298" s="219" t="s">
        <v>221</v>
      </c>
      <c r="P298" s="221" t="str">
        <f>IFERROR(VLOOKUP(C298,TD!$B$33:$F$37,2,0)," ")</f>
        <v>O230117</v>
      </c>
      <c r="Q298" s="221" t="str">
        <f>IFERROR(VLOOKUP(C298,TD!$B$33:$F$37,3,0)," ")</f>
        <v>4503</v>
      </c>
      <c r="R298" s="221">
        <f>IFERROR(VLOOKUP(C298,TD!$B$33:$F$37,4,0)," ")</f>
        <v>20240255</v>
      </c>
      <c r="S298" s="219" t="s">
        <v>177</v>
      </c>
      <c r="T298" s="221" t="str">
        <f>IFERROR(VLOOKUP(S298,TD!$J$34:$K$44,2,0)," ")</f>
        <v>Servicio de capacitaciones en gestión del riesgo de incendios  a la ciudadania.</v>
      </c>
      <c r="U298" s="222" t="str">
        <f t="shared" si="16"/>
        <v>05-Servicio de capacitaciones en gestión del riesgo de incendios  a la ciudadania.</v>
      </c>
      <c r="V298" s="219" t="s">
        <v>234</v>
      </c>
      <c r="W298" s="221" t="str">
        <f>IFERROR(VLOOKUP(V298,TD!$N$34:$O$46,2,0)," ")</f>
        <v>Servicio prevención y control de incendios</v>
      </c>
      <c r="X298" s="222" t="str">
        <f t="shared" si="17"/>
        <v>035_Servicio prevención y control de incendios</v>
      </c>
      <c r="Y298" s="222" t="str">
        <f t="shared" si="18"/>
        <v>05-Servicio de capacitaciones en gestión del riesgo de incendios  a la ciudadania. 035_Servicio prevención y control de incendios</v>
      </c>
      <c r="Z298" s="221" t="str">
        <f t="shared" si="19"/>
        <v>O23011745032024025505035</v>
      </c>
      <c r="AA298" s="221" t="str">
        <f>IFERROR(VLOOKUP(Y298,TD!$K$47:$L$65,2,0)," ")</f>
        <v>PM/0131/0105/45030350255</v>
      </c>
      <c r="AB298" s="53" t="s">
        <v>138</v>
      </c>
      <c r="AC298" s="223" t="s">
        <v>204</v>
      </c>
    </row>
    <row r="299" spans="2:29" s="28" customFormat="1" ht="99" customHeight="1" x14ac:dyDescent="0.35">
      <c r="B299" s="77">
        <v>20250265</v>
      </c>
      <c r="C299" s="50" t="s">
        <v>209</v>
      </c>
      <c r="D299" s="218" t="s">
        <v>167</v>
      </c>
      <c r="E299" s="219" t="s">
        <v>509</v>
      </c>
      <c r="F299" s="218" t="s">
        <v>523</v>
      </c>
      <c r="G299" s="218" t="s">
        <v>156</v>
      </c>
      <c r="H299" s="93">
        <v>80111600</v>
      </c>
      <c r="I299" s="220">
        <v>1</v>
      </c>
      <c r="J299" s="226">
        <v>10</v>
      </c>
      <c r="K299" s="129">
        <v>0</v>
      </c>
      <c r="L299" s="128">
        <f>44000000-9000000</f>
        <v>35000000</v>
      </c>
      <c r="M299" s="218" t="s">
        <v>465</v>
      </c>
      <c r="N299" s="53" t="s">
        <v>512</v>
      </c>
      <c r="O299" s="219" t="s">
        <v>221</v>
      </c>
      <c r="P299" s="221" t="str">
        <f>IFERROR(VLOOKUP(C299,TD!$B$33:$F$37,2,0)," ")</f>
        <v>O230117</v>
      </c>
      <c r="Q299" s="221" t="str">
        <f>IFERROR(VLOOKUP(C299,TD!$B$33:$F$37,3,0)," ")</f>
        <v>4503</v>
      </c>
      <c r="R299" s="221">
        <f>IFERROR(VLOOKUP(C299,TD!$B$33:$F$37,4,0)," ")</f>
        <v>20240255</v>
      </c>
      <c r="S299" s="219" t="s">
        <v>177</v>
      </c>
      <c r="T299" s="221" t="str">
        <f>IFERROR(VLOOKUP(S299,TD!$J$34:$K$44,2,0)," ")</f>
        <v>Servicio de capacitaciones en gestión del riesgo de incendios  a la ciudadania.</v>
      </c>
      <c r="U299" s="222" t="str">
        <f t="shared" si="16"/>
        <v>05-Servicio de capacitaciones en gestión del riesgo de incendios  a la ciudadania.</v>
      </c>
      <c r="V299" s="219" t="s">
        <v>234</v>
      </c>
      <c r="W299" s="221" t="str">
        <f>IFERROR(VLOOKUP(V299,TD!$N$34:$O$46,2,0)," ")</f>
        <v>Servicio prevención y control de incendios</v>
      </c>
      <c r="X299" s="222" t="str">
        <f t="shared" si="17"/>
        <v>035_Servicio prevención y control de incendios</v>
      </c>
      <c r="Y299" s="222" t="str">
        <f t="shared" si="18"/>
        <v>05-Servicio de capacitaciones en gestión del riesgo de incendios  a la ciudadania. 035_Servicio prevención y control de incendios</v>
      </c>
      <c r="Z299" s="221" t="str">
        <f t="shared" si="19"/>
        <v>O23011745032024025505035</v>
      </c>
      <c r="AA299" s="221" t="str">
        <f>IFERROR(VLOOKUP(Y299,TD!$K$47:$L$65,2,0)," ")</f>
        <v>PM/0131/0105/45030350255</v>
      </c>
      <c r="AB299" s="53" t="s">
        <v>138</v>
      </c>
      <c r="AC299" s="223" t="s">
        <v>204</v>
      </c>
    </row>
    <row r="300" spans="2:29" s="28" customFormat="1" ht="99" customHeight="1" x14ac:dyDescent="0.35">
      <c r="B300" s="77">
        <v>20250266</v>
      </c>
      <c r="C300" s="50" t="s">
        <v>209</v>
      </c>
      <c r="D300" s="218" t="s">
        <v>167</v>
      </c>
      <c r="E300" s="219" t="s">
        <v>509</v>
      </c>
      <c r="F300" s="218" t="s">
        <v>369</v>
      </c>
      <c r="G300" s="218" t="s">
        <v>133</v>
      </c>
      <c r="H300" s="93" t="s">
        <v>375</v>
      </c>
      <c r="I300" s="220">
        <v>1</v>
      </c>
      <c r="J300" s="226">
        <v>10</v>
      </c>
      <c r="K300" s="129">
        <v>0</v>
      </c>
      <c r="L300" s="128">
        <f>500000000+356000000-210000000-6000000</f>
        <v>640000000</v>
      </c>
      <c r="M300" s="218" t="s">
        <v>465</v>
      </c>
      <c r="N300" s="53" t="s">
        <v>90</v>
      </c>
      <c r="O300" s="219" t="s">
        <v>221</v>
      </c>
      <c r="P300" s="221" t="str">
        <f>IFERROR(VLOOKUP(C300,TD!$B$33:$F$37,2,0)," ")</f>
        <v>O230117</v>
      </c>
      <c r="Q300" s="221" t="str">
        <f>IFERROR(VLOOKUP(C300,TD!$B$33:$F$37,3,0)," ")</f>
        <v>4503</v>
      </c>
      <c r="R300" s="221">
        <f>IFERROR(VLOOKUP(C300,TD!$B$33:$F$37,4,0)," ")</f>
        <v>20240255</v>
      </c>
      <c r="S300" s="219" t="s">
        <v>177</v>
      </c>
      <c r="T300" s="221" t="str">
        <f>IFERROR(VLOOKUP(S300,TD!$J$34:$K$44,2,0)," ")</f>
        <v>Servicio de capacitaciones en gestión del riesgo de incendios  a la ciudadania.</v>
      </c>
      <c r="U300" s="222" t="str">
        <f t="shared" si="16"/>
        <v>05-Servicio de capacitaciones en gestión del riesgo de incendios  a la ciudadania.</v>
      </c>
      <c r="V300" s="219" t="s">
        <v>233</v>
      </c>
      <c r="W300" s="221" t="str">
        <f>IFERROR(VLOOKUP(V300,TD!$N$34:$O$46,2,0)," ")</f>
        <v>Servicio de educación informal</v>
      </c>
      <c r="X300" s="222" t="str">
        <f t="shared" si="17"/>
        <v>002_Servicio de educación informal</v>
      </c>
      <c r="Y300" s="222" t="str">
        <f t="shared" si="18"/>
        <v>05-Servicio de capacitaciones en gestión del riesgo de incendios  a la ciudadania. 002_Servicio de educación informal</v>
      </c>
      <c r="Z300" s="221" t="str">
        <f t="shared" si="19"/>
        <v>O23011745032024025505002</v>
      </c>
      <c r="AA300" s="221" t="str">
        <f>IFERROR(VLOOKUP(Y300,TD!$K$47:$L$65,2,0)," ")</f>
        <v>PM/0131/0105/45030020255</v>
      </c>
      <c r="AB300" s="53" t="s">
        <v>138</v>
      </c>
      <c r="AC300" s="223" t="s">
        <v>204</v>
      </c>
    </row>
    <row r="301" spans="2:29" s="28" customFormat="1" ht="99" customHeight="1" x14ac:dyDescent="0.35">
      <c r="B301" s="130">
        <v>20250267</v>
      </c>
      <c r="C301" s="132" t="s">
        <v>209</v>
      </c>
      <c r="D301" s="224" t="s">
        <v>167</v>
      </c>
      <c r="E301" s="225" t="s">
        <v>509</v>
      </c>
      <c r="F301" s="224" t="s">
        <v>524</v>
      </c>
      <c r="G301" s="224" t="s">
        <v>133</v>
      </c>
      <c r="H301" s="133" t="s">
        <v>525</v>
      </c>
      <c r="I301" s="226">
        <v>9</v>
      </c>
      <c r="J301" s="226">
        <v>5</v>
      </c>
      <c r="K301" s="129">
        <v>0</v>
      </c>
      <c r="L301" s="128">
        <f>107000000+10000000+120000000+170000000-190000000+6000000</f>
        <v>223000000</v>
      </c>
      <c r="M301" s="224" t="s">
        <v>465</v>
      </c>
      <c r="N301" s="128" t="s">
        <v>90</v>
      </c>
      <c r="O301" s="225" t="s">
        <v>221</v>
      </c>
      <c r="P301" s="227" t="str">
        <f>IFERROR(VLOOKUP(C301,TD!$B$33:$F$37,2,0)," ")</f>
        <v>O230117</v>
      </c>
      <c r="Q301" s="227" t="str">
        <f>IFERROR(VLOOKUP(C301,TD!$B$33:$F$37,3,0)," ")</f>
        <v>4503</v>
      </c>
      <c r="R301" s="227">
        <f>IFERROR(VLOOKUP(C301,TD!$B$33:$F$37,4,0)," ")</f>
        <v>20240255</v>
      </c>
      <c r="S301" s="219" t="s">
        <v>177</v>
      </c>
      <c r="T301" s="227" t="str">
        <f>IFERROR(VLOOKUP(S301,TD!$J$34:$K$44,2,0)," ")</f>
        <v>Servicio de capacitaciones en gestión del riesgo de incendios  a la ciudadania.</v>
      </c>
      <c r="U301" s="222" t="str">
        <f t="shared" si="16"/>
        <v>05-Servicio de capacitaciones en gestión del riesgo de incendios  a la ciudadania.</v>
      </c>
      <c r="V301" s="225" t="s">
        <v>234</v>
      </c>
      <c r="W301" s="227" t="str">
        <f>IFERROR(VLOOKUP(V301,TD!$N$34:$O$46,2,0)," ")</f>
        <v>Servicio prevención y control de incendios</v>
      </c>
      <c r="X301" s="222" t="str">
        <f t="shared" si="17"/>
        <v>035_Servicio prevención y control de incendios</v>
      </c>
      <c r="Y301" s="222" t="str">
        <f t="shared" si="18"/>
        <v>05-Servicio de capacitaciones en gestión del riesgo de incendios  a la ciudadania. 035_Servicio prevención y control de incendios</v>
      </c>
      <c r="Z301" s="227" t="str">
        <f t="shared" si="19"/>
        <v>O23011745032024025505035</v>
      </c>
      <c r="AA301" s="227" t="str">
        <f>IFERROR(VLOOKUP(Y301,TD!$K$47:$L$65,2,0)," ")</f>
        <v>PM/0131/0105/45030350255</v>
      </c>
      <c r="AB301" s="53" t="s">
        <v>138</v>
      </c>
      <c r="AC301" s="228" t="s">
        <v>204</v>
      </c>
    </row>
    <row r="302" spans="2:29" s="28" customFormat="1" ht="99" customHeight="1" x14ac:dyDescent="0.35">
      <c r="B302" s="130">
        <v>20250268</v>
      </c>
      <c r="C302" s="132" t="s">
        <v>209</v>
      </c>
      <c r="D302" s="224" t="s">
        <v>167</v>
      </c>
      <c r="E302" s="225" t="s">
        <v>509</v>
      </c>
      <c r="F302" s="224" t="s">
        <v>922</v>
      </c>
      <c r="G302" s="224" t="s">
        <v>119</v>
      </c>
      <c r="H302" s="133" t="s">
        <v>944</v>
      </c>
      <c r="I302" s="226">
        <v>6</v>
      </c>
      <c r="J302" s="226">
        <v>2</v>
      </c>
      <c r="K302" s="129">
        <v>0</v>
      </c>
      <c r="L302" s="128">
        <f>50000000-2942714-5000000</f>
        <v>42057286</v>
      </c>
      <c r="M302" s="224" t="s">
        <v>465</v>
      </c>
      <c r="N302" s="128" t="s">
        <v>100</v>
      </c>
      <c r="O302" s="225" t="s">
        <v>221</v>
      </c>
      <c r="P302" s="227" t="str">
        <f>IFERROR(VLOOKUP(C302,TD!$B$33:$F$37,2,0)," ")</f>
        <v>O230117</v>
      </c>
      <c r="Q302" s="227" t="str">
        <f>IFERROR(VLOOKUP(C302,TD!$B$33:$F$37,3,0)," ")</f>
        <v>4503</v>
      </c>
      <c r="R302" s="227">
        <f>IFERROR(VLOOKUP(C302,TD!$B$33:$F$37,4,0)," ")</f>
        <v>20240255</v>
      </c>
      <c r="S302" s="219" t="s">
        <v>177</v>
      </c>
      <c r="T302" s="227" t="str">
        <f>IFERROR(VLOOKUP(S302,TD!$J$34:$K$44,2,0)," ")</f>
        <v>Servicio de capacitaciones en gestión del riesgo de incendios  a la ciudadania.</v>
      </c>
      <c r="U302" s="222" t="str">
        <f t="shared" si="16"/>
        <v>05-Servicio de capacitaciones en gestión del riesgo de incendios  a la ciudadania.</v>
      </c>
      <c r="V302" s="225" t="s">
        <v>233</v>
      </c>
      <c r="W302" s="227" t="str">
        <f>IFERROR(VLOOKUP(V302,TD!$N$34:$O$46,2,0)," ")</f>
        <v>Servicio de educación informal</v>
      </c>
      <c r="X302" s="222" t="str">
        <f t="shared" si="17"/>
        <v>002_Servicio de educación informal</v>
      </c>
      <c r="Y302" s="222" t="str">
        <f t="shared" si="18"/>
        <v>05-Servicio de capacitaciones en gestión del riesgo de incendios  a la ciudadania. 002_Servicio de educación informal</v>
      </c>
      <c r="Z302" s="227" t="str">
        <f t="shared" si="19"/>
        <v>O23011745032024025505002</v>
      </c>
      <c r="AA302" s="227" t="str">
        <f>IFERROR(VLOOKUP(Y302,TD!$K$47:$L$65,2,0)," ")</f>
        <v>PM/0131/0105/45030020255</v>
      </c>
      <c r="AB302" s="53" t="s">
        <v>138</v>
      </c>
      <c r="AC302" s="228" t="s">
        <v>204</v>
      </c>
    </row>
    <row r="303" spans="2:29" s="28" customFormat="1" ht="99" customHeight="1" x14ac:dyDescent="0.35">
      <c r="B303" s="77">
        <v>20250269</v>
      </c>
      <c r="C303" s="50" t="s">
        <v>209</v>
      </c>
      <c r="D303" s="218" t="s">
        <v>167</v>
      </c>
      <c r="E303" s="219" t="s">
        <v>509</v>
      </c>
      <c r="F303" s="218" t="s">
        <v>376</v>
      </c>
      <c r="G303" s="218" t="s">
        <v>155</v>
      </c>
      <c r="H303" s="93">
        <v>80111600</v>
      </c>
      <c r="I303" s="220">
        <v>1</v>
      </c>
      <c r="J303" s="226">
        <v>10</v>
      </c>
      <c r="K303" s="129">
        <v>0</v>
      </c>
      <c r="L303" s="128">
        <f>66000000+4000000</f>
        <v>70000000</v>
      </c>
      <c r="M303" s="218" t="s">
        <v>465</v>
      </c>
      <c r="N303" s="53" t="s">
        <v>512</v>
      </c>
      <c r="O303" s="219" t="s">
        <v>221</v>
      </c>
      <c r="P303" s="221" t="str">
        <f>IFERROR(VLOOKUP(C303,TD!$B$33:$F$37,2,0)," ")</f>
        <v>O230117</v>
      </c>
      <c r="Q303" s="221" t="str">
        <f>IFERROR(VLOOKUP(C303,TD!$B$33:$F$37,3,0)," ")</f>
        <v>4503</v>
      </c>
      <c r="R303" s="221">
        <f>IFERROR(VLOOKUP(C303,TD!$B$33:$F$37,4,0)," ")</f>
        <v>20240255</v>
      </c>
      <c r="S303" s="219" t="s">
        <v>177</v>
      </c>
      <c r="T303" s="221" t="str">
        <f>IFERROR(VLOOKUP(S303,TD!$J$34:$K$44,2,0)," ")</f>
        <v>Servicio de capacitaciones en gestión del riesgo de incendios  a la ciudadania.</v>
      </c>
      <c r="U303" s="222" t="str">
        <f t="shared" si="16"/>
        <v>05-Servicio de capacitaciones en gestión del riesgo de incendios  a la ciudadania.</v>
      </c>
      <c r="V303" s="219" t="s">
        <v>233</v>
      </c>
      <c r="W303" s="221" t="str">
        <f>IFERROR(VLOOKUP(V303,TD!$N$34:$O$46,2,0)," ")</f>
        <v>Servicio de educación informal</v>
      </c>
      <c r="X303" s="222" t="str">
        <f t="shared" si="17"/>
        <v>002_Servicio de educación informal</v>
      </c>
      <c r="Y303" s="222" t="str">
        <f t="shared" si="18"/>
        <v>05-Servicio de capacitaciones en gestión del riesgo de incendios  a la ciudadania. 002_Servicio de educación informal</v>
      </c>
      <c r="Z303" s="221" t="str">
        <f t="shared" si="19"/>
        <v>O23011745032024025505002</v>
      </c>
      <c r="AA303" s="221" t="str">
        <f>IFERROR(VLOOKUP(Y303,TD!$K$47:$L$65,2,0)," ")</f>
        <v>PM/0131/0105/45030020255</v>
      </c>
      <c r="AB303" s="53" t="s">
        <v>138</v>
      </c>
      <c r="AC303" s="223" t="s">
        <v>204</v>
      </c>
    </row>
    <row r="304" spans="2:29" s="28" customFormat="1" ht="99" customHeight="1" x14ac:dyDescent="0.35">
      <c r="B304" s="77">
        <v>20250272</v>
      </c>
      <c r="C304" s="50" t="s">
        <v>209</v>
      </c>
      <c r="D304" s="218" t="s">
        <v>167</v>
      </c>
      <c r="E304" s="219" t="s">
        <v>509</v>
      </c>
      <c r="F304" s="218" t="s">
        <v>373</v>
      </c>
      <c r="G304" s="218" t="s">
        <v>155</v>
      </c>
      <c r="H304" s="93">
        <v>80111600</v>
      </c>
      <c r="I304" s="220">
        <v>1</v>
      </c>
      <c r="J304" s="226">
        <v>10</v>
      </c>
      <c r="K304" s="129">
        <v>0</v>
      </c>
      <c r="L304" s="128">
        <v>21000000</v>
      </c>
      <c r="M304" s="218" t="s">
        <v>465</v>
      </c>
      <c r="N304" s="53" t="s">
        <v>512</v>
      </c>
      <c r="O304" s="219" t="s">
        <v>221</v>
      </c>
      <c r="P304" s="221" t="str">
        <f>IFERROR(VLOOKUP(C304,TD!$B$33:$F$37,2,0)," ")</f>
        <v>O230117</v>
      </c>
      <c r="Q304" s="221" t="str">
        <f>IFERROR(VLOOKUP(C304,TD!$B$33:$F$37,3,0)," ")</f>
        <v>4503</v>
      </c>
      <c r="R304" s="221">
        <f>IFERROR(VLOOKUP(C304,TD!$B$33:$F$37,4,0)," ")</f>
        <v>20240255</v>
      </c>
      <c r="S304" s="219" t="s">
        <v>181</v>
      </c>
      <c r="T304" s="221" t="str">
        <f>IFERROR(VLOOKUP(S304,TD!$J$34:$K$44,2,0)," ")</f>
        <v>Servicio de inspecciones técnicas realizadas</v>
      </c>
      <c r="U304" s="222" t="str">
        <f t="shared" si="16"/>
        <v>06-Servicio de inspecciones técnicas realizadas</v>
      </c>
      <c r="V304" s="219" t="s">
        <v>234</v>
      </c>
      <c r="W304" s="221" t="str">
        <f>IFERROR(VLOOKUP(V304,TD!$N$34:$O$46,2,0)," ")</f>
        <v>Servicio prevención y control de incendios</v>
      </c>
      <c r="X304" s="222" t="str">
        <f t="shared" si="17"/>
        <v>035_Servicio prevención y control de incendios</v>
      </c>
      <c r="Y304" s="222" t="str">
        <f t="shared" si="18"/>
        <v>06-Servicio de inspecciones técnicas realizadas 035_Servicio prevención y control de incendios</v>
      </c>
      <c r="Z304" s="221" t="str">
        <f t="shared" si="19"/>
        <v>O23011745032024025506035</v>
      </c>
      <c r="AA304" s="221" t="str">
        <f>IFERROR(VLOOKUP(Y304,TD!$K$47:$L$65,2,0)," ")</f>
        <v>PM/0131/0106/45030350255</v>
      </c>
      <c r="AB304" s="53" t="s">
        <v>138</v>
      </c>
      <c r="AC304" s="223" t="s">
        <v>204</v>
      </c>
    </row>
    <row r="305" spans="2:29" s="28" customFormat="1" ht="99" customHeight="1" x14ac:dyDescent="0.35">
      <c r="B305" s="77">
        <v>20250273</v>
      </c>
      <c r="C305" s="50" t="s">
        <v>209</v>
      </c>
      <c r="D305" s="218" t="s">
        <v>167</v>
      </c>
      <c r="E305" s="219" t="s">
        <v>509</v>
      </c>
      <c r="F305" s="218" t="s">
        <v>373</v>
      </c>
      <c r="G305" s="218" t="s">
        <v>155</v>
      </c>
      <c r="H305" s="93">
        <v>80111600</v>
      </c>
      <c r="I305" s="220">
        <v>1</v>
      </c>
      <c r="J305" s="226">
        <v>10</v>
      </c>
      <c r="K305" s="129">
        <v>0</v>
      </c>
      <c r="L305" s="128">
        <f>77000000-17000000</f>
        <v>60000000</v>
      </c>
      <c r="M305" s="218" t="s">
        <v>465</v>
      </c>
      <c r="N305" s="53" t="s">
        <v>512</v>
      </c>
      <c r="O305" s="219" t="s">
        <v>221</v>
      </c>
      <c r="P305" s="221" t="str">
        <f>IFERROR(VLOOKUP(C305,TD!$B$33:$F$37,2,0)," ")</f>
        <v>O230117</v>
      </c>
      <c r="Q305" s="221" t="str">
        <f>IFERROR(VLOOKUP(C305,TD!$B$33:$F$37,3,0)," ")</f>
        <v>4503</v>
      </c>
      <c r="R305" s="221">
        <f>IFERROR(VLOOKUP(C305,TD!$B$33:$F$37,4,0)," ")</f>
        <v>20240255</v>
      </c>
      <c r="S305" s="219" t="s">
        <v>181</v>
      </c>
      <c r="T305" s="221" t="str">
        <f>IFERROR(VLOOKUP(S305,TD!$J$34:$K$44,2,0)," ")</f>
        <v>Servicio de inspecciones técnicas realizadas</v>
      </c>
      <c r="U305" s="222" t="str">
        <f t="shared" si="16"/>
        <v>06-Servicio de inspecciones técnicas realizadas</v>
      </c>
      <c r="V305" s="219" t="s">
        <v>234</v>
      </c>
      <c r="W305" s="221" t="str">
        <f>IFERROR(VLOOKUP(V305,TD!$N$34:$O$46,2,0)," ")</f>
        <v>Servicio prevención y control de incendios</v>
      </c>
      <c r="X305" s="222" t="str">
        <f t="shared" si="17"/>
        <v>035_Servicio prevención y control de incendios</v>
      </c>
      <c r="Y305" s="222" t="str">
        <f t="shared" si="18"/>
        <v>06-Servicio de inspecciones técnicas realizadas 035_Servicio prevención y control de incendios</v>
      </c>
      <c r="Z305" s="221" t="str">
        <f t="shared" si="19"/>
        <v>O23011745032024025506035</v>
      </c>
      <c r="AA305" s="221" t="str">
        <f>IFERROR(VLOOKUP(Y305,TD!$K$47:$L$65,2,0)," ")</f>
        <v>PM/0131/0106/45030350255</v>
      </c>
      <c r="AB305" s="53" t="s">
        <v>138</v>
      </c>
      <c r="AC305" s="223" t="s">
        <v>204</v>
      </c>
    </row>
    <row r="306" spans="2:29" s="28" customFormat="1" ht="99" customHeight="1" x14ac:dyDescent="0.35">
      <c r="B306" s="77">
        <v>20250274</v>
      </c>
      <c r="C306" s="50" t="s">
        <v>209</v>
      </c>
      <c r="D306" s="218" t="s">
        <v>167</v>
      </c>
      <c r="E306" s="219" t="s">
        <v>509</v>
      </c>
      <c r="F306" s="218" t="s">
        <v>373</v>
      </c>
      <c r="G306" s="218" t="s">
        <v>155</v>
      </c>
      <c r="H306" s="93">
        <v>80111600</v>
      </c>
      <c r="I306" s="220">
        <v>1</v>
      </c>
      <c r="J306" s="226">
        <v>10</v>
      </c>
      <c r="K306" s="129">
        <v>0</v>
      </c>
      <c r="L306" s="128">
        <f>77000000-17000000</f>
        <v>60000000</v>
      </c>
      <c r="M306" s="218" t="s">
        <v>465</v>
      </c>
      <c r="N306" s="53" t="s">
        <v>512</v>
      </c>
      <c r="O306" s="219" t="s">
        <v>221</v>
      </c>
      <c r="P306" s="221" t="str">
        <f>IFERROR(VLOOKUP(C306,TD!$B$33:$F$37,2,0)," ")</f>
        <v>O230117</v>
      </c>
      <c r="Q306" s="221" t="str">
        <f>IFERROR(VLOOKUP(C306,TD!$B$33:$F$37,3,0)," ")</f>
        <v>4503</v>
      </c>
      <c r="R306" s="221">
        <f>IFERROR(VLOOKUP(C306,TD!$B$33:$F$37,4,0)," ")</f>
        <v>20240255</v>
      </c>
      <c r="S306" s="219" t="s">
        <v>181</v>
      </c>
      <c r="T306" s="221" t="str">
        <f>IFERROR(VLOOKUP(S306,TD!$J$34:$K$44,2,0)," ")</f>
        <v>Servicio de inspecciones técnicas realizadas</v>
      </c>
      <c r="U306" s="222" t="str">
        <f t="shared" si="16"/>
        <v>06-Servicio de inspecciones técnicas realizadas</v>
      </c>
      <c r="V306" s="219" t="s">
        <v>234</v>
      </c>
      <c r="W306" s="221" t="str">
        <f>IFERROR(VLOOKUP(V306,TD!$N$34:$O$46,2,0)," ")</f>
        <v>Servicio prevención y control de incendios</v>
      </c>
      <c r="X306" s="222" t="str">
        <f t="shared" si="17"/>
        <v>035_Servicio prevención y control de incendios</v>
      </c>
      <c r="Y306" s="222" t="str">
        <f t="shared" si="18"/>
        <v>06-Servicio de inspecciones técnicas realizadas 035_Servicio prevención y control de incendios</v>
      </c>
      <c r="Z306" s="221" t="str">
        <f t="shared" si="19"/>
        <v>O23011745032024025506035</v>
      </c>
      <c r="AA306" s="221" t="str">
        <f>IFERROR(VLOOKUP(Y306,TD!$K$47:$L$65,2,0)," ")</f>
        <v>PM/0131/0106/45030350255</v>
      </c>
      <c r="AB306" s="53" t="s">
        <v>138</v>
      </c>
      <c r="AC306" s="223" t="s">
        <v>204</v>
      </c>
    </row>
    <row r="307" spans="2:29" s="28" customFormat="1" ht="99" customHeight="1" x14ac:dyDescent="0.35">
      <c r="B307" s="77">
        <v>20250275</v>
      </c>
      <c r="C307" s="50" t="s">
        <v>209</v>
      </c>
      <c r="D307" s="218" t="s">
        <v>167</v>
      </c>
      <c r="E307" s="219" t="s">
        <v>509</v>
      </c>
      <c r="F307" s="218" t="s">
        <v>372</v>
      </c>
      <c r="G307" s="218" t="s">
        <v>156</v>
      </c>
      <c r="H307" s="93">
        <v>80111600</v>
      </c>
      <c r="I307" s="220">
        <v>1</v>
      </c>
      <c r="J307" s="226">
        <v>10</v>
      </c>
      <c r="K307" s="129">
        <v>0</v>
      </c>
      <c r="L307" s="128">
        <f t="shared" ref="L307:L318" si="20">44000000-4000000</f>
        <v>40000000</v>
      </c>
      <c r="M307" s="218" t="s">
        <v>465</v>
      </c>
      <c r="N307" s="53" t="s">
        <v>512</v>
      </c>
      <c r="O307" s="219" t="s">
        <v>221</v>
      </c>
      <c r="P307" s="221" t="str">
        <f>IFERROR(VLOOKUP(C307,TD!$B$33:$F$37,2,0)," ")</f>
        <v>O230117</v>
      </c>
      <c r="Q307" s="221" t="str">
        <f>IFERROR(VLOOKUP(C307,TD!$B$33:$F$37,3,0)," ")</f>
        <v>4503</v>
      </c>
      <c r="R307" s="221">
        <f>IFERROR(VLOOKUP(C307,TD!$B$33:$F$37,4,0)," ")</f>
        <v>20240255</v>
      </c>
      <c r="S307" s="219" t="s">
        <v>181</v>
      </c>
      <c r="T307" s="221" t="str">
        <f>IFERROR(VLOOKUP(S307,TD!$J$34:$K$44,2,0)," ")</f>
        <v>Servicio de inspecciones técnicas realizadas</v>
      </c>
      <c r="U307" s="222" t="str">
        <f t="shared" si="16"/>
        <v>06-Servicio de inspecciones técnicas realizadas</v>
      </c>
      <c r="V307" s="219" t="s">
        <v>234</v>
      </c>
      <c r="W307" s="221" t="str">
        <f>IFERROR(VLOOKUP(V307,TD!$N$34:$O$46,2,0)," ")</f>
        <v>Servicio prevención y control de incendios</v>
      </c>
      <c r="X307" s="222" t="str">
        <f t="shared" si="17"/>
        <v>035_Servicio prevención y control de incendios</v>
      </c>
      <c r="Y307" s="222" t="str">
        <f t="shared" si="18"/>
        <v>06-Servicio de inspecciones técnicas realizadas 035_Servicio prevención y control de incendios</v>
      </c>
      <c r="Z307" s="221" t="str">
        <f t="shared" si="19"/>
        <v>O23011745032024025506035</v>
      </c>
      <c r="AA307" s="221" t="str">
        <f>IFERROR(VLOOKUP(Y307,TD!$K$47:$L$65,2,0)," ")</f>
        <v>PM/0131/0106/45030350255</v>
      </c>
      <c r="AB307" s="53" t="s">
        <v>138</v>
      </c>
      <c r="AC307" s="223" t="s">
        <v>204</v>
      </c>
    </row>
    <row r="308" spans="2:29" s="28" customFormat="1" ht="99" customHeight="1" x14ac:dyDescent="0.35">
      <c r="B308" s="77">
        <v>20250276</v>
      </c>
      <c r="C308" s="50" t="s">
        <v>209</v>
      </c>
      <c r="D308" s="218" t="s">
        <v>167</v>
      </c>
      <c r="E308" s="219" t="s">
        <v>509</v>
      </c>
      <c r="F308" s="218" t="s">
        <v>372</v>
      </c>
      <c r="G308" s="218" t="s">
        <v>156</v>
      </c>
      <c r="H308" s="93">
        <v>80111600</v>
      </c>
      <c r="I308" s="220">
        <v>1</v>
      </c>
      <c r="J308" s="226">
        <v>10</v>
      </c>
      <c r="K308" s="129">
        <v>0</v>
      </c>
      <c r="L308" s="128">
        <f t="shared" si="20"/>
        <v>40000000</v>
      </c>
      <c r="M308" s="218" t="s">
        <v>465</v>
      </c>
      <c r="N308" s="53" t="s">
        <v>512</v>
      </c>
      <c r="O308" s="219" t="s">
        <v>221</v>
      </c>
      <c r="P308" s="221" t="str">
        <f>IFERROR(VLOOKUP(C308,TD!$B$33:$F$37,2,0)," ")</f>
        <v>O230117</v>
      </c>
      <c r="Q308" s="221" t="str">
        <f>IFERROR(VLOOKUP(C308,TD!$B$33:$F$37,3,0)," ")</f>
        <v>4503</v>
      </c>
      <c r="R308" s="221">
        <f>IFERROR(VLOOKUP(C308,TD!$B$33:$F$37,4,0)," ")</f>
        <v>20240255</v>
      </c>
      <c r="S308" s="219" t="s">
        <v>181</v>
      </c>
      <c r="T308" s="221" t="str">
        <f>IFERROR(VLOOKUP(S308,TD!$J$34:$K$44,2,0)," ")</f>
        <v>Servicio de inspecciones técnicas realizadas</v>
      </c>
      <c r="U308" s="222" t="str">
        <f t="shared" si="16"/>
        <v>06-Servicio de inspecciones técnicas realizadas</v>
      </c>
      <c r="V308" s="219" t="s">
        <v>234</v>
      </c>
      <c r="W308" s="221" t="str">
        <f>IFERROR(VLOOKUP(V308,TD!$N$34:$O$46,2,0)," ")</f>
        <v>Servicio prevención y control de incendios</v>
      </c>
      <c r="X308" s="222" t="str">
        <f t="shared" si="17"/>
        <v>035_Servicio prevención y control de incendios</v>
      </c>
      <c r="Y308" s="222" t="str">
        <f t="shared" si="18"/>
        <v>06-Servicio de inspecciones técnicas realizadas 035_Servicio prevención y control de incendios</v>
      </c>
      <c r="Z308" s="221" t="str">
        <f t="shared" si="19"/>
        <v>O23011745032024025506035</v>
      </c>
      <c r="AA308" s="221" t="str">
        <f>IFERROR(VLOOKUP(Y308,TD!$K$47:$L$65,2,0)," ")</f>
        <v>PM/0131/0106/45030350255</v>
      </c>
      <c r="AB308" s="53" t="s">
        <v>138</v>
      </c>
      <c r="AC308" s="223" t="s">
        <v>204</v>
      </c>
    </row>
    <row r="309" spans="2:29" s="28" customFormat="1" ht="99" customHeight="1" x14ac:dyDescent="0.35">
      <c r="B309" s="77">
        <v>20250277</v>
      </c>
      <c r="C309" s="50" t="s">
        <v>209</v>
      </c>
      <c r="D309" s="218" t="s">
        <v>167</v>
      </c>
      <c r="E309" s="219" t="s">
        <v>509</v>
      </c>
      <c r="F309" s="218" t="s">
        <v>372</v>
      </c>
      <c r="G309" s="218" t="s">
        <v>156</v>
      </c>
      <c r="H309" s="93">
        <v>80111600</v>
      </c>
      <c r="I309" s="220">
        <v>1</v>
      </c>
      <c r="J309" s="226">
        <v>10</v>
      </c>
      <c r="K309" s="129">
        <v>0</v>
      </c>
      <c r="L309" s="128">
        <f t="shared" si="20"/>
        <v>40000000</v>
      </c>
      <c r="M309" s="218" t="s">
        <v>465</v>
      </c>
      <c r="N309" s="53" t="s">
        <v>512</v>
      </c>
      <c r="O309" s="219" t="s">
        <v>221</v>
      </c>
      <c r="P309" s="221" t="str">
        <f>IFERROR(VLOOKUP(C309,TD!$B$33:$F$37,2,0)," ")</f>
        <v>O230117</v>
      </c>
      <c r="Q309" s="221" t="str">
        <f>IFERROR(VLOOKUP(C309,TD!$B$33:$F$37,3,0)," ")</f>
        <v>4503</v>
      </c>
      <c r="R309" s="221">
        <f>IFERROR(VLOOKUP(C309,TD!$B$33:$F$37,4,0)," ")</f>
        <v>20240255</v>
      </c>
      <c r="S309" s="219" t="s">
        <v>181</v>
      </c>
      <c r="T309" s="221" t="str">
        <f>IFERROR(VLOOKUP(S309,TD!$J$34:$K$44,2,0)," ")</f>
        <v>Servicio de inspecciones técnicas realizadas</v>
      </c>
      <c r="U309" s="222" t="str">
        <f t="shared" si="16"/>
        <v>06-Servicio de inspecciones técnicas realizadas</v>
      </c>
      <c r="V309" s="219" t="s">
        <v>234</v>
      </c>
      <c r="W309" s="221" t="str">
        <f>IFERROR(VLOOKUP(V309,TD!$N$34:$O$46,2,0)," ")</f>
        <v>Servicio prevención y control de incendios</v>
      </c>
      <c r="X309" s="222" t="str">
        <f t="shared" si="17"/>
        <v>035_Servicio prevención y control de incendios</v>
      </c>
      <c r="Y309" s="222" t="str">
        <f t="shared" si="18"/>
        <v>06-Servicio de inspecciones técnicas realizadas 035_Servicio prevención y control de incendios</v>
      </c>
      <c r="Z309" s="221" t="str">
        <f t="shared" si="19"/>
        <v>O23011745032024025506035</v>
      </c>
      <c r="AA309" s="221" t="str">
        <f>IFERROR(VLOOKUP(Y309,TD!$K$47:$L$65,2,0)," ")</f>
        <v>PM/0131/0106/45030350255</v>
      </c>
      <c r="AB309" s="53" t="s">
        <v>138</v>
      </c>
      <c r="AC309" s="223" t="s">
        <v>204</v>
      </c>
    </row>
    <row r="310" spans="2:29" s="28" customFormat="1" ht="99" customHeight="1" x14ac:dyDescent="0.35">
      <c r="B310" s="77">
        <v>20250278</v>
      </c>
      <c r="C310" s="50" t="s">
        <v>209</v>
      </c>
      <c r="D310" s="218" t="s">
        <v>167</v>
      </c>
      <c r="E310" s="219" t="s">
        <v>509</v>
      </c>
      <c r="F310" s="218" t="s">
        <v>372</v>
      </c>
      <c r="G310" s="218" t="s">
        <v>156</v>
      </c>
      <c r="H310" s="93">
        <v>80111600</v>
      </c>
      <c r="I310" s="220">
        <v>1</v>
      </c>
      <c r="J310" s="226">
        <v>10</v>
      </c>
      <c r="K310" s="129">
        <v>0</v>
      </c>
      <c r="L310" s="128">
        <f t="shared" si="20"/>
        <v>40000000</v>
      </c>
      <c r="M310" s="218" t="s">
        <v>465</v>
      </c>
      <c r="N310" s="53" t="s">
        <v>512</v>
      </c>
      <c r="O310" s="219" t="s">
        <v>221</v>
      </c>
      <c r="P310" s="221" t="str">
        <f>IFERROR(VLOOKUP(C310,TD!$B$33:$F$37,2,0)," ")</f>
        <v>O230117</v>
      </c>
      <c r="Q310" s="221" t="str">
        <f>IFERROR(VLOOKUP(C310,TD!$B$33:$F$37,3,0)," ")</f>
        <v>4503</v>
      </c>
      <c r="R310" s="221">
        <f>IFERROR(VLOOKUP(C310,TD!$B$33:$F$37,4,0)," ")</f>
        <v>20240255</v>
      </c>
      <c r="S310" s="219" t="s">
        <v>181</v>
      </c>
      <c r="T310" s="221" t="str">
        <f>IFERROR(VLOOKUP(S310,TD!$J$34:$K$44,2,0)," ")</f>
        <v>Servicio de inspecciones técnicas realizadas</v>
      </c>
      <c r="U310" s="222" t="str">
        <f t="shared" si="16"/>
        <v>06-Servicio de inspecciones técnicas realizadas</v>
      </c>
      <c r="V310" s="219" t="s">
        <v>234</v>
      </c>
      <c r="W310" s="221" t="str">
        <f>IFERROR(VLOOKUP(V310,TD!$N$34:$O$46,2,0)," ")</f>
        <v>Servicio prevención y control de incendios</v>
      </c>
      <c r="X310" s="222" t="str">
        <f t="shared" si="17"/>
        <v>035_Servicio prevención y control de incendios</v>
      </c>
      <c r="Y310" s="222" t="str">
        <f t="shared" si="18"/>
        <v>06-Servicio de inspecciones técnicas realizadas 035_Servicio prevención y control de incendios</v>
      </c>
      <c r="Z310" s="221" t="str">
        <f t="shared" si="19"/>
        <v>O23011745032024025506035</v>
      </c>
      <c r="AA310" s="221" t="str">
        <f>IFERROR(VLOOKUP(Y310,TD!$K$47:$L$65,2,0)," ")</f>
        <v>PM/0131/0106/45030350255</v>
      </c>
      <c r="AB310" s="53" t="s">
        <v>138</v>
      </c>
      <c r="AC310" s="223" t="s">
        <v>204</v>
      </c>
    </row>
    <row r="311" spans="2:29" s="28" customFormat="1" ht="99" customHeight="1" x14ac:dyDescent="0.35">
      <c r="B311" s="77">
        <v>20250279</v>
      </c>
      <c r="C311" s="50" t="s">
        <v>209</v>
      </c>
      <c r="D311" s="218" t="s">
        <v>167</v>
      </c>
      <c r="E311" s="219" t="s">
        <v>509</v>
      </c>
      <c r="F311" s="218" t="s">
        <v>372</v>
      </c>
      <c r="G311" s="218" t="s">
        <v>156</v>
      </c>
      <c r="H311" s="93">
        <v>80111600</v>
      </c>
      <c r="I311" s="220">
        <v>1</v>
      </c>
      <c r="J311" s="226">
        <v>10</v>
      </c>
      <c r="K311" s="129">
        <v>0</v>
      </c>
      <c r="L311" s="128">
        <f t="shared" si="20"/>
        <v>40000000</v>
      </c>
      <c r="M311" s="218" t="s">
        <v>465</v>
      </c>
      <c r="N311" s="53" t="s">
        <v>512</v>
      </c>
      <c r="O311" s="219" t="s">
        <v>221</v>
      </c>
      <c r="P311" s="221" t="str">
        <f>IFERROR(VLOOKUP(C311,TD!$B$33:$F$37,2,0)," ")</f>
        <v>O230117</v>
      </c>
      <c r="Q311" s="221" t="str">
        <f>IFERROR(VLOOKUP(C311,TD!$B$33:$F$37,3,0)," ")</f>
        <v>4503</v>
      </c>
      <c r="R311" s="221">
        <f>IFERROR(VLOOKUP(C311,TD!$B$33:$F$37,4,0)," ")</f>
        <v>20240255</v>
      </c>
      <c r="S311" s="219" t="s">
        <v>181</v>
      </c>
      <c r="T311" s="221" t="str">
        <f>IFERROR(VLOOKUP(S311,TD!$J$34:$K$44,2,0)," ")</f>
        <v>Servicio de inspecciones técnicas realizadas</v>
      </c>
      <c r="U311" s="222" t="str">
        <f t="shared" si="16"/>
        <v>06-Servicio de inspecciones técnicas realizadas</v>
      </c>
      <c r="V311" s="219" t="s">
        <v>234</v>
      </c>
      <c r="W311" s="221" t="str">
        <f>IFERROR(VLOOKUP(V311,TD!$N$34:$O$46,2,0)," ")</f>
        <v>Servicio prevención y control de incendios</v>
      </c>
      <c r="X311" s="222" t="str">
        <f t="shared" si="17"/>
        <v>035_Servicio prevención y control de incendios</v>
      </c>
      <c r="Y311" s="222" t="str">
        <f t="shared" si="18"/>
        <v>06-Servicio de inspecciones técnicas realizadas 035_Servicio prevención y control de incendios</v>
      </c>
      <c r="Z311" s="221" t="str">
        <f t="shared" si="19"/>
        <v>O23011745032024025506035</v>
      </c>
      <c r="AA311" s="221" t="str">
        <f>IFERROR(VLOOKUP(Y311,TD!$K$47:$L$65,2,0)," ")</f>
        <v>PM/0131/0106/45030350255</v>
      </c>
      <c r="AB311" s="53" t="s">
        <v>138</v>
      </c>
      <c r="AC311" s="223" t="s">
        <v>204</v>
      </c>
    </row>
    <row r="312" spans="2:29" s="28" customFormat="1" ht="99" customHeight="1" x14ac:dyDescent="0.35">
      <c r="B312" s="77">
        <v>20250280</v>
      </c>
      <c r="C312" s="50" t="s">
        <v>209</v>
      </c>
      <c r="D312" s="218" t="s">
        <v>167</v>
      </c>
      <c r="E312" s="219" t="s">
        <v>509</v>
      </c>
      <c r="F312" s="218" t="s">
        <v>372</v>
      </c>
      <c r="G312" s="218" t="s">
        <v>156</v>
      </c>
      <c r="H312" s="93">
        <v>80111600</v>
      </c>
      <c r="I312" s="220">
        <v>1</v>
      </c>
      <c r="J312" s="226">
        <v>10</v>
      </c>
      <c r="K312" s="129">
        <v>0</v>
      </c>
      <c r="L312" s="128">
        <f t="shared" si="20"/>
        <v>40000000</v>
      </c>
      <c r="M312" s="218" t="s">
        <v>465</v>
      </c>
      <c r="N312" s="53" t="s">
        <v>512</v>
      </c>
      <c r="O312" s="219" t="s">
        <v>221</v>
      </c>
      <c r="P312" s="221" t="str">
        <f>IFERROR(VLOOKUP(C312,TD!$B$33:$F$37,2,0)," ")</f>
        <v>O230117</v>
      </c>
      <c r="Q312" s="221" t="str">
        <f>IFERROR(VLOOKUP(C312,TD!$B$33:$F$37,3,0)," ")</f>
        <v>4503</v>
      </c>
      <c r="R312" s="221">
        <f>IFERROR(VLOOKUP(C312,TD!$B$33:$F$37,4,0)," ")</f>
        <v>20240255</v>
      </c>
      <c r="S312" s="219" t="s">
        <v>181</v>
      </c>
      <c r="T312" s="221" t="str">
        <f>IFERROR(VLOOKUP(S312,TD!$J$34:$K$44,2,0)," ")</f>
        <v>Servicio de inspecciones técnicas realizadas</v>
      </c>
      <c r="U312" s="222" t="str">
        <f t="shared" si="16"/>
        <v>06-Servicio de inspecciones técnicas realizadas</v>
      </c>
      <c r="V312" s="219" t="s">
        <v>234</v>
      </c>
      <c r="W312" s="221" t="str">
        <f>IFERROR(VLOOKUP(V312,TD!$N$34:$O$46,2,0)," ")</f>
        <v>Servicio prevención y control de incendios</v>
      </c>
      <c r="X312" s="222" t="str">
        <f t="shared" si="17"/>
        <v>035_Servicio prevención y control de incendios</v>
      </c>
      <c r="Y312" s="222" t="str">
        <f t="shared" si="18"/>
        <v>06-Servicio de inspecciones técnicas realizadas 035_Servicio prevención y control de incendios</v>
      </c>
      <c r="Z312" s="221" t="str">
        <f t="shared" si="19"/>
        <v>O23011745032024025506035</v>
      </c>
      <c r="AA312" s="221" t="str">
        <f>IFERROR(VLOOKUP(Y312,TD!$K$47:$L$65,2,0)," ")</f>
        <v>PM/0131/0106/45030350255</v>
      </c>
      <c r="AB312" s="53" t="s">
        <v>138</v>
      </c>
      <c r="AC312" s="223" t="s">
        <v>204</v>
      </c>
    </row>
    <row r="313" spans="2:29" s="28" customFormat="1" ht="99" customHeight="1" x14ac:dyDescent="0.35">
      <c r="B313" s="77">
        <v>20250281</v>
      </c>
      <c r="C313" s="50" t="s">
        <v>209</v>
      </c>
      <c r="D313" s="218" t="s">
        <v>167</v>
      </c>
      <c r="E313" s="219" t="s">
        <v>509</v>
      </c>
      <c r="F313" s="218" t="s">
        <v>372</v>
      </c>
      <c r="G313" s="218" t="s">
        <v>156</v>
      </c>
      <c r="H313" s="93">
        <v>80111600</v>
      </c>
      <c r="I313" s="220">
        <v>1</v>
      </c>
      <c r="J313" s="226">
        <v>10</v>
      </c>
      <c r="K313" s="129">
        <v>0</v>
      </c>
      <c r="L313" s="128">
        <f t="shared" si="20"/>
        <v>40000000</v>
      </c>
      <c r="M313" s="218" t="s">
        <v>465</v>
      </c>
      <c r="N313" s="53" t="s">
        <v>512</v>
      </c>
      <c r="O313" s="219" t="s">
        <v>221</v>
      </c>
      <c r="P313" s="221" t="str">
        <f>IFERROR(VLOOKUP(C313,TD!$B$33:$F$37,2,0)," ")</f>
        <v>O230117</v>
      </c>
      <c r="Q313" s="221" t="str">
        <f>IFERROR(VLOOKUP(C313,TD!$B$33:$F$37,3,0)," ")</f>
        <v>4503</v>
      </c>
      <c r="R313" s="221">
        <f>IFERROR(VLOOKUP(C313,TD!$B$33:$F$37,4,0)," ")</f>
        <v>20240255</v>
      </c>
      <c r="S313" s="219" t="s">
        <v>181</v>
      </c>
      <c r="T313" s="221" t="str">
        <f>IFERROR(VLOOKUP(S313,TD!$J$34:$K$44,2,0)," ")</f>
        <v>Servicio de inspecciones técnicas realizadas</v>
      </c>
      <c r="U313" s="222" t="str">
        <f t="shared" si="16"/>
        <v>06-Servicio de inspecciones técnicas realizadas</v>
      </c>
      <c r="V313" s="219" t="s">
        <v>234</v>
      </c>
      <c r="W313" s="221" t="str">
        <f>IFERROR(VLOOKUP(V313,TD!$N$34:$O$46,2,0)," ")</f>
        <v>Servicio prevención y control de incendios</v>
      </c>
      <c r="X313" s="222" t="str">
        <f t="shared" si="17"/>
        <v>035_Servicio prevención y control de incendios</v>
      </c>
      <c r="Y313" s="222" t="str">
        <f t="shared" si="18"/>
        <v>06-Servicio de inspecciones técnicas realizadas 035_Servicio prevención y control de incendios</v>
      </c>
      <c r="Z313" s="221" t="str">
        <f t="shared" si="19"/>
        <v>O23011745032024025506035</v>
      </c>
      <c r="AA313" s="221" t="str">
        <f>IFERROR(VLOOKUP(Y313,TD!$K$47:$L$65,2,0)," ")</f>
        <v>PM/0131/0106/45030350255</v>
      </c>
      <c r="AB313" s="53" t="s">
        <v>138</v>
      </c>
      <c r="AC313" s="223" t="s">
        <v>204</v>
      </c>
    </row>
    <row r="314" spans="2:29" s="28" customFormat="1" ht="99" customHeight="1" x14ac:dyDescent="0.35">
      <c r="B314" s="77">
        <v>20250282</v>
      </c>
      <c r="C314" s="50" t="s">
        <v>209</v>
      </c>
      <c r="D314" s="218" t="s">
        <v>167</v>
      </c>
      <c r="E314" s="219" t="s">
        <v>509</v>
      </c>
      <c r="F314" s="218" t="s">
        <v>372</v>
      </c>
      <c r="G314" s="218" t="s">
        <v>156</v>
      </c>
      <c r="H314" s="93">
        <v>80111600</v>
      </c>
      <c r="I314" s="220">
        <v>1</v>
      </c>
      <c r="J314" s="226">
        <v>10</v>
      </c>
      <c r="K314" s="129">
        <v>0</v>
      </c>
      <c r="L314" s="128">
        <f t="shared" si="20"/>
        <v>40000000</v>
      </c>
      <c r="M314" s="218" t="s">
        <v>465</v>
      </c>
      <c r="N314" s="53" t="s">
        <v>512</v>
      </c>
      <c r="O314" s="219" t="s">
        <v>221</v>
      </c>
      <c r="P314" s="221" t="str">
        <f>IFERROR(VLOOKUP(C314,TD!$B$33:$F$37,2,0)," ")</f>
        <v>O230117</v>
      </c>
      <c r="Q314" s="221" t="str">
        <f>IFERROR(VLOOKUP(C314,TD!$B$33:$F$37,3,0)," ")</f>
        <v>4503</v>
      </c>
      <c r="R314" s="221">
        <f>IFERROR(VLOOKUP(C314,TD!$B$33:$F$37,4,0)," ")</f>
        <v>20240255</v>
      </c>
      <c r="S314" s="219" t="s">
        <v>181</v>
      </c>
      <c r="T314" s="221" t="str">
        <f>IFERROR(VLOOKUP(S314,TD!$J$34:$K$44,2,0)," ")</f>
        <v>Servicio de inspecciones técnicas realizadas</v>
      </c>
      <c r="U314" s="222" t="str">
        <f t="shared" si="16"/>
        <v>06-Servicio de inspecciones técnicas realizadas</v>
      </c>
      <c r="V314" s="219" t="s">
        <v>234</v>
      </c>
      <c r="W314" s="221" t="str">
        <f>IFERROR(VLOOKUP(V314,TD!$N$34:$O$46,2,0)," ")</f>
        <v>Servicio prevención y control de incendios</v>
      </c>
      <c r="X314" s="222" t="str">
        <f t="shared" si="17"/>
        <v>035_Servicio prevención y control de incendios</v>
      </c>
      <c r="Y314" s="222" t="str">
        <f t="shared" si="18"/>
        <v>06-Servicio de inspecciones técnicas realizadas 035_Servicio prevención y control de incendios</v>
      </c>
      <c r="Z314" s="221" t="str">
        <f t="shared" si="19"/>
        <v>O23011745032024025506035</v>
      </c>
      <c r="AA314" s="221" t="str">
        <f>IFERROR(VLOOKUP(Y314,TD!$K$47:$L$65,2,0)," ")</f>
        <v>PM/0131/0106/45030350255</v>
      </c>
      <c r="AB314" s="53" t="s">
        <v>138</v>
      </c>
      <c r="AC314" s="223" t="s">
        <v>204</v>
      </c>
    </row>
    <row r="315" spans="2:29" s="28" customFormat="1" ht="99" customHeight="1" x14ac:dyDescent="0.35">
      <c r="B315" s="77">
        <v>20250283</v>
      </c>
      <c r="C315" s="50" t="s">
        <v>209</v>
      </c>
      <c r="D315" s="218" t="s">
        <v>167</v>
      </c>
      <c r="E315" s="219" t="s">
        <v>509</v>
      </c>
      <c r="F315" s="218" t="s">
        <v>372</v>
      </c>
      <c r="G315" s="218" t="s">
        <v>156</v>
      </c>
      <c r="H315" s="93">
        <v>80111600</v>
      </c>
      <c r="I315" s="220">
        <v>1</v>
      </c>
      <c r="J315" s="226">
        <v>10</v>
      </c>
      <c r="K315" s="129">
        <v>0</v>
      </c>
      <c r="L315" s="128">
        <f t="shared" si="20"/>
        <v>40000000</v>
      </c>
      <c r="M315" s="218" t="s">
        <v>465</v>
      </c>
      <c r="N315" s="53" t="s">
        <v>512</v>
      </c>
      <c r="O315" s="219" t="s">
        <v>221</v>
      </c>
      <c r="P315" s="221" t="str">
        <f>IFERROR(VLOOKUP(C315,TD!$B$33:$F$37,2,0)," ")</f>
        <v>O230117</v>
      </c>
      <c r="Q315" s="221" t="str">
        <f>IFERROR(VLOOKUP(C315,TD!$B$33:$F$37,3,0)," ")</f>
        <v>4503</v>
      </c>
      <c r="R315" s="221">
        <f>IFERROR(VLOOKUP(C315,TD!$B$33:$F$37,4,0)," ")</f>
        <v>20240255</v>
      </c>
      <c r="S315" s="219" t="s">
        <v>181</v>
      </c>
      <c r="T315" s="221" t="str">
        <f>IFERROR(VLOOKUP(S315,TD!$J$34:$K$44,2,0)," ")</f>
        <v>Servicio de inspecciones técnicas realizadas</v>
      </c>
      <c r="U315" s="222" t="str">
        <f t="shared" si="16"/>
        <v>06-Servicio de inspecciones técnicas realizadas</v>
      </c>
      <c r="V315" s="219" t="s">
        <v>234</v>
      </c>
      <c r="W315" s="221" t="str">
        <f>IFERROR(VLOOKUP(V315,TD!$N$34:$O$46,2,0)," ")</f>
        <v>Servicio prevención y control de incendios</v>
      </c>
      <c r="X315" s="222" t="str">
        <f t="shared" si="17"/>
        <v>035_Servicio prevención y control de incendios</v>
      </c>
      <c r="Y315" s="222" t="str">
        <f t="shared" si="18"/>
        <v>06-Servicio de inspecciones técnicas realizadas 035_Servicio prevención y control de incendios</v>
      </c>
      <c r="Z315" s="221" t="str">
        <f t="shared" si="19"/>
        <v>O23011745032024025506035</v>
      </c>
      <c r="AA315" s="221" t="str">
        <f>IFERROR(VLOOKUP(Y315,TD!$K$47:$L$65,2,0)," ")</f>
        <v>PM/0131/0106/45030350255</v>
      </c>
      <c r="AB315" s="53" t="s">
        <v>138</v>
      </c>
      <c r="AC315" s="223" t="s">
        <v>204</v>
      </c>
    </row>
    <row r="316" spans="2:29" s="28" customFormat="1" ht="99" customHeight="1" x14ac:dyDescent="0.35">
      <c r="B316" s="77">
        <v>20250284</v>
      </c>
      <c r="C316" s="50" t="s">
        <v>209</v>
      </c>
      <c r="D316" s="218" t="s">
        <v>167</v>
      </c>
      <c r="E316" s="219" t="s">
        <v>509</v>
      </c>
      <c r="F316" s="218" t="s">
        <v>372</v>
      </c>
      <c r="G316" s="218" t="s">
        <v>156</v>
      </c>
      <c r="H316" s="93">
        <v>80111600</v>
      </c>
      <c r="I316" s="220">
        <v>1</v>
      </c>
      <c r="J316" s="226">
        <v>10</v>
      </c>
      <c r="K316" s="129">
        <v>0</v>
      </c>
      <c r="L316" s="128">
        <f t="shared" si="20"/>
        <v>40000000</v>
      </c>
      <c r="M316" s="218" t="s">
        <v>465</v>
      </c>
      <c r="N316" s="53" t="s">
        <v>512</v>
      </c>
      <c r="O316" s="219" t="s">
        <v>221</v>
      </c>
      <c r="P316" s="221" t="str">
        <f>IFERROR(VLOOKUP(C316,TD!$B$33:$F$37,2,0)," ")</f>
        <v>O230117</v>
      </c>
      <c r="Q316" s="221" t="str">
        <f>IFERROR(VLOOKUP(C316,TD!$B$33:$F$37,3,0)," ")</f>
        <v>4503</v>
      </c>
      <c r="R316" s="221">
        <f>IFERROR(VLOOKUP(C316,TD!$B$33:$F$37,4,0)," ")</f>
        <v>20240255</v>
      </c>
      <c r="S316" s="219" t="s">
        <v>181</v>
      </c>
      <c r="T316" s="221" t="str">
        <f>IFERROR(VLOOKUP(S316,TD!$J$34:$K$44,2,0)," ")</f>
        <v>Servicio de inspecciones técnicas realizadas</v>
      </c>
      <c r="U316" s="222" t="str">
        <f t="shared" si="16"/>
        <v>06-Servicio de inspecciones técnicas realizadas</v>
      </c>
      <c r="V316" s="219" t="s">
        <v>234</v>
      </c>
      <c r="W316" s="221" t="str">
        <f>IFERROR(VLOOKUP(V316,TD!$N$34:$O$46,2,0)," ")</f>
        <v>Servicio prevención y control de incendios</v>
      </c>
      <c r="X316" s="222" t="str">
        <f t="shared" si="17"/>
        <v>035_Servicio prevención y control de incendios</v>
      </c>
      <c r="Y316" s="222" t="str">
        <f t="shared" si="18"/>
        <v>06-Servicio de inspecciones técnicas realizadas 035_Servicio prevención y control de incendios</v>
      </c>
      <c r="Z316" s="221" t="str">
        <f t="shared" si="19"/>
        <v>O23011745032024025506035</v>
      </c>
      <c r="AA316" s="221" t="str">
        <f>IFERROR(VLOOKUP(Y316,TD!$K$47:$L$65,2,0)," ")</f>
        <v>PM/0131/0106/45030350255</v>
      </c>
      <c r="AB316" s="53" t="s">
        <v>138</v>
      </c>
      <c r="AC316" s="223" t="s">
        <v>204</v>
      </c>
    </row>
    <row r="317" spans="2:29" s="28" customFormat="1" ht="99" customHeight="1" x14ac:dyDescent="0.35">
      <c r="B317" s="77">
        <v>20250285</v>
      </c>
      <c r="C317" s="50" t="s">
        <v>209</v>
      </c>
      <c r="D317" s="218" t="s">
        <v>167</v>
      </c>
      <c r="E317" s="219" t="s">
        <v>509</v>
      </c>
      <c r="F317" s="218" t="s">
        <v>372</v>
      </c>
      <c r="G317" s="218" t="s">
        <v>156</v>
      </c>
      <c r="H317" s="93">
        <v>80111600</v>
      </c>
      <c r="I317" s="220">
        <v>1</v>
      </c>
      <c r="J317" s="226">
        <v>10</v>
      </c>
      <c r="K317" s="129">
        <v>0</v>
      </c>
      <c r="L317" s="128">
        <f t="shared" si="20"/>
        <v>40000000</v>
      </c>
      <c r="M317" s="218" t="s">
        <v>465</v>
      </c>
      <c r="N317" s="53" t="s">
        <v>512</v>
      </c>
      <c r="O317" s="219" t="s">
        <v>221</v>
      </c>
      <c r="P317" s="221" t="str">
        <f>IFERROR(VLOOKUP(C317,TD!$B$33:$F$37,2,0)," ")</f>
        <v>O230117</v>
      </c>
      <c r="Q317" s="221" t="str">
        <f>IFERROR(VLOOKUP(C317,TD!$B$33:$F$37,3,0)," ")</f>
        <v>4503</v>
      </c>
      <c r="R317" s="221">
        <f>IFERROR(VLOOKUP(C317,TD!$B$33:$F$37,4,0)," ")</f>
        <v>20240255</v>
      </c>
      <c r="S317" s="219" t="s">
        <v>181</v>
      </c>
      <c r="T317" s="221" t="str">
        <f>IFERROR(VLOOKUP(S317,TD!$J$34:$K$44,2,0)," ")</f>
        <v>Servicio de inspecciones técnicas realizadas</v>
      </c>
      <c r="U317" s="222" t="str">
        <f t="shared" si="16"/>
        <v>06-Servicio de inspecciones técnicas realizadas</v>
      </c>
      <c r="V317" s="219" t="s">
        <v>234</v>
      </c>
      <c r="W317" s="221" t="str">
        <f>IFERROR(VLOOKUP(V317,TD!$N$34:$O$46,2,0)," ")</f>
        <v>Servicio prevención y control de incendios</v>
      </c>
      <c r="X317" s="222" t="str">
        <f t="shared" si="17"/>
        <v>035_Servicio prevención y control de incendios</v>
      </c>
      <c r="Y317" s="222" t="str">
        <f t="shared" si="18"/>
        <v>06-Servicio de inspecciones técnicas realizadas 035_Servicio prevención y control de incendios</v>
      </c>
      <c r="Z317" s="221" t="str">
        <f t="shared" si="19"/>
        <v>O23011745032024025506035</v>
      </c>
      <c r="AA317" s="221" t="str">
        <f>IFERROR(VLOOKUP(Y317,TD!$K$47:$L$65,2,0)," ")</f>
        <v>PM/0131/0106/45030350255</v>
      </c>
      <c r="AB317" s="53" t="s">
        <v>138</v>
      </c>
      <c r="AC317" s="223" t="s">
        <v>204</v>
      </c>
    </row>
    <row r="318" spans="2:29" s="28" customFormat="1" ht="99" customHeight="1" x14ac:dyDescent="0.35">
      <c r="B318" s="77">
        <v>20250286</v>
      </c>
      <c r="C318" s="50" t="s">
        <v>209</v>
      </c>
      <c r="D318" s="218" t="s">
        <v>167</v>
      </c>
      <c r="E318" s="219" t="s">
        <v>509</v>
      </c>
      <c r="F318" s="218" t="s">
        <v>372</v>
      </c>
      <c r="G318" s="218" t="s">
        <v>156</v>
      </c>
      <c r="H318" s="93">
        <v>80111600</v>
      </c>
      <c r="I318" s="220">
        <v>1</v>
      </c>
      <c r="J318" s="226">
        <v>10</v>
      </c>
      <c r="K318" s="129">
        <v>0</v>
      </c>
      <c r="L318" s="128">
        <f t="shared" si="20"/>
        <v>40000000</v>
      </c>
      <c r="M318" s="218" t="s">
        <v>465</v>
      </c>
      <c r="N318" s="53" t="s">
        <v>512</v>
      </c>
      <c r="O318" s="219" t="s">
        <v>221</v>
      </c>
      <c r="P318" s="221" t="str">
        <f>IFERROR(VLOOKUP(C318,TD!$B$33:$F$37,2,0)," ")</f>
        <v>O230117</v>
      </c>
      <c r="Q318" s="221" t="str">
        <f>IFERROR(VLOOKUP(C318,TD!$B$33:$F$37,3,0)," ")</f>
        <v>4503</v>
      </c>
      <c r="R318" s="221">
        <f>IFERROR(VLOOKUP(C318,TD!$B$33:$F$37,4,0)," ")</f>
        <v>20240255</v>
      </c>
      <c r="S318" s="219" t="s">
        <v>181</v>
      </c>
      <c r="T318" s="221" t="str">
        <f>IFERROR(VLOOKUP(S318,TD!$J$34:$K$44,2,0)," ")</f>
        <v>Servicio de inspecciones técnicas realizadas</v>
      </c>
      <c r="U318" s="222" t="str">
        <f t="shared" si="16"/>
        <v>06-Servicio de inspecciones técnicas realizadas</v>
      </c>
      <c r="V318" s="219" t="s">
        <v>234</v>
      </c>
      <c r="W318" s="221" t="str">
        <f>IFERROR(VLOOKUP(V318,TD!$N$34:$O$46,2,0)," ")</f>
        <v>Servicio prevención y control de incendios</v>
      </c>
      <c r="X318" s="222" t="str">
        <f t="shared" si="17"/>
        <v>035_Servicio prevención y control de incendios</v>
      </c>
      <c r="Y318" s="222" t="str">
        <f t="shared" si="18"/>
        <v>06-Servicio de inspecciones técnicas realizadas 035_Servicio prevención y control de incendios</v>
      </c>
      <c r="Z318" s="221" t="str">
        <f t="shared" si="19"/>
        <v>O23011745032024025506035</v>
      </c>
      <c r="AA318" s="221" t="str">
        <f>IFERROR(VLOOKUP(Y318,TD!$K$47:$L$65,2,0)," ")</f>
        <v>PM/0131/0106/45030350255</v>
      </c>
      <c r="AB318" s="53" t="s">
        <v>138</v>
      </c>
      <c r="AC318" s="223" t="s">
        <v>204</v>
      </c>
    </row>
    <row r="319" spans="2:29" s="28" customFormat="1" ht="99" customHeight="1" x14ac:dyDescent="0.35">
      <c r="B319" s="77">
        <v>20250288</v>
      </c>
      <c r="C319" s="50" t="s">
        <v>209</v>
      </c>
      <c r="D319" s="218" t="s">
        <v>167</v>
      </c>
      <c r="E319" s="219" t="s">
        <v>509</v>
      </c>
      <c r="F319" s="218" t="s">
        <v>370</v>
      </c>
      <c r="G319" s="218" t="s">
        <v>155</v>
      </c>
      <c r="H319" s="93">
        <v>80111600</v>
      </c>
      <c r="I319" s="220">
        <v>1</v>
      </c>
      <c r="J319" s="220">
        <v>10</v>
      </c>
      <c r="K319" s="52">
        <v>0</v>
      </c>
      <c r="L319" s="53">
        <v>90000000</v>
      </c>
      <c r="M319" s="218" t="s">
        <v>465</v>
      </c>
      <c r="N319" s="53" t="s">
        <v>512</v>
      </c>
      <c r="O319" s="219" t="s">
        <v>221</v>
      </c>
      <c r="P319" s="221" t="str">
        <f>IFERROR(VLOOKUP(C319,TD!$B$33:$F$37,2,0)," ")</f>
        <v>O230117</v>
      </c>
      <c r="Q319" s="221" t="str">
        <f>IFERROR(VLOOKUP(C319,TD!$B$33:$F$37,3,0)," ")</f>
        <v>4503</v>
      </c>
      <c r="R319" s="221">
        <f>IFERROR(VLOOKUP(C319,TD!$B$33:$F$37,4,0)," ")</f>
        <v>20240255</v>
      </c>
      <c r="S319" s="219" t="s">
        <v>177</v>
      </c>
      <c r="T319" s="221" t="str">
        <f>IFERROR(VLOOKUP(S319,TD!$J$34:$K$44,2,0)," ")</f>
        <v>Servicio de capacitaciones en gestión del riesgo de incendios  a la ciudadania.</v>
      </c>
      <c r="U319" s="222" t="str">
        <f t="shared" si="16"/>
        <v>05-Servicio de capacitaciones en gestión del riesgo de incendios  a la ciudadania.</v>
      </c>
      <c r="V319" s="219" t="s">
        <v>234</v>
      </c>
      <c r="W319" s="221" t="str">
        <f>IFERROR(VLOOKUP(V319,TD!$N$34:$O$46,2,0)," ")</f>
        <v>Servicio prevención y control de incendios</v>
      </c>
      <c r="X319" s="222" t="str">
        <f t="shared" si="17"/>
        <v>035_Servicio prevención y control de incendios</v>
      </c>
      <c r="Y319" s="222" t="str">
        <f t="shared" si="18"/>
        <v>05-Servicio de capacitaciones en gestión del riesgo de incendios  a la ciudadania. 035_Servicio prevención y control de incendios</v>
      </c>
      <c r="Z319" s="221" t="str">
        <f t="shared" si="19"/>
        <v>O23011745032024025505035</v>
      </c>
      <c r="AA319" s="221" t="str">
        <f>IFERROR(VLOOKUP(Y319,TD!$K$47:$L$65,2,0)," ")</f>
        <v>PM/0131/0105/45030350255</v>
      </c>
      <c r="AB319" s="53" t="s">
        <v>138</v>
      </c>
      <c r="AC319" s="223" t="s">
        <v>204</v>
      </c>
    </row>
    <row r="320" spans="2:29" s="28" customFormat="1" ht="99" customHeight="1" x14ac:dyDescent="0.35">
      <c r="B320" s="77">
        <v>20250289</v>
      </c>
      <c r="C320" s="50" t="s">
        <v>209</v>
      </c>
      <c r="D320" s="218" t="s">
        <v>167</v>
      </c>
      <c r="E320" s="219" t="s">
        <v>509</v>
      </c>
      <c r="F320" s="218" t="s">
        <v>370</v>
      </c>
      <c r="G320" s="218" t="s">
        <v>155</v>
      </c>
      <c r="H320" s="93">
        <v>80111600</v>
      </c>
      <c r="I320" s="220">
        <v>1</v>
      </c>
      <c r="J320" s="226">
        <v>10</v>
      </c>
      <c r="K320" s="129">
        <v>0</v>
      </c>
      <c r="L320" s="128">
        <f>44000000+6000000</f>
        <v>50000000</v>
      </c>
      <c r="M320" s="218" t="s">
        <v>465</v>
      </c>
      <c r="N320" s="53" t="s">
        <v>512</v>
      </c>
      <c r="O320" s="219" t="s">
        <v>221</v>
      </c>
      <c r="P320" s="221" t="str">
        <f>IFERROR(VLOOKUP(C320,TD!$B$33:$F$37,2,0)," ")</f>
        <v>O230117</v>
      </c>
      <c r="Q320" s="221" t="str">
        <f>IFERROR(VLOOKUP(C320,TD!$B$33:$F$37,3,0)," ")</f>
        <v>4503</v>
      </c>
      <c r="R320" s="221">
        <f>IFERROR(VLOOKUP(C320,TD!$B$33:$F$37,4,0)," ")</f>
        <v>20240255</v>
      </c>
      <c r="S320" s="219" t="s">
        <v>177</v>
      </c>
      <c r="T320" s="221" t="str">
        <f>IFERROR(VLOOKUP(S320,TD!$J$34:$K$44,2,0)," ")</f>
        <v>Servicio de capacitaciones en gestión del riesgo de incendios  a la ciudadania.</v>
      </c>
      <c r="U320" s="222" t="str">
        <f t="shared" si="16"/>
        <v>05-Servicio de capacitaciones en gestión del riesgo de incendios  a la ciudadania.</v>
      </c>
      <c r="V320" s="219" t="s">
        <v>234</v>
      </c>
      <c r="W320" s="221" t="str">
        <f>IFERROR(VLOOKUP(V320,TD!$N$34:$O$46,2,0)," ")</f>
        <v>Servicio prevención y control de incendios</v>
      </c>
      <c r="X320" s="222" t="str">
        <f t="shared" si="17"/>
        <v>035_Servicio prevención y control de incendios</v>
      </c>
      <c r="Y320" s="222" t="str">
        <f t="shared" si="18"/>
        <v>05-Servicio de capacitaciones en gestión del riesgo de incendios  a la ciudadania. 035_Servicio prevención y control de incendios</v>
      </c>
      <c r="Z320" s="221" t="str">
        <f t="shared" si="19"/>
        <v>O23011745032024025505035</v>
      </c>
      <c r="AA320" s="221" t="str">
        <f>IFERROR(VLOOKUP(Y320,TD!$K$47:$L$65,2,0)," ")</f>
        <v>PM/0131/0105/45030350255</v>
      </c>
      <c r="AB320" s="53" t="s">
        <v>138</v>
      </c>
      <c r="AC320" s="223" t="s">
        <v>204</v>
      </c>
    </row>
    <row r="321" spans="2:29" s="28" customFormat="1" ht="99" customHeight="1" x14ac:dyDescent="0.35">
      <c r="B321" s="77">
        <v>20250290</v>
      </c>
      <c r="C321" s="50" t="s">
        <v>209</v>
      </c>
      <c r="D321" s="218" t="s">
        <v>167</v>
      </c>
      <c r="E321" s="219" t="s">
        <v>509</v>
      </c>
      <c r="F321" s="218" t="s">
        <v>370</v>
      </c>
      <c r="G321" s="218" t="s">
        <v>155</v>
      </c>
      <c r="H321" s="93">
        <v>80111600</v>
      </c>
      <c r="I321" s="220">
        <v>1</v>
      </c>
      <c r="J321" s="226">
        <v>10</v>
      </c>
      <c r="K321" s="129">
        <v>0</v>
      </c>
      <c r="L321" s="128">
        <f>77000000-7000000</f>
        <v>70000000</v>
      </c>
      <c r="M321" s="218" t="s">
        <v>465</v>
      </c>
      <c r="N321" s="53" t="s">
        <v>512</v>
      </c>
      <c r="O321" s="219" t="s">
        <v>221</v>
      </c>
      <c r="P321" s="221" t="str">
        <f>IFERROR(VLOOKUP(C321,TD!$B$33:$F$37,2,0)," ")</f>
        <v>O230117</v>
      </c>
      <c r="Q321" s="221" t="str">
        <f>IFERROR(VLOOKUP(C321,TD!$B$33:$F$37,3,0)," ")</f>
        <v>4503</v>
      </c>
      <c r="R321" s="221">
        <f>IFERROR(VLOOKUP(C321,TD!$B$33:$F$37,4,0)," ")</f>
        <v>20240255</v>
      </c>
      <c r="S321" s="219" t="s">
        <v>177</v>
      </c>
      <c r="T321" s="221" t="str">
        <f>IFERROR(VLOOKUP(S321,TD!$J$34:$K$44,2,0)," ")</f>
        <v>Servicio de capacitaciones en gestión del riesgo de incendios  a la ciudadania.</v>
      </c>
      <c r="U321" s="222" t="str">
        <f t="shared" si="16"/>
        <v>05-Servicio de capacitaciones en gestión del riesgo de incendios  a la ciudadania.</v>
      </c>
      <c r="V321" s="219" t="s">
        <v>234</v>
      </c>
      <c r="W321" s="221" t="str">
        <f>IFERROR(VLOOKUP(V321,TD!$N$34:$O$46,2,0)," ")</f>
        <v>Servicio prevención y control de incendios</v>
      </c>
      <c r="X321" s="222" t="str">
        <f t="shared" si="17"/>
        <v>035_Servicio prevención y control de incendios</v>
      </c>
      <c r="Y321" s="222" t="str">
        <f t="shared" si="18"/>
        <v>05-Servicio de capacitaciones en gestión del riesgo de incendios  a la ciudadania. 035_Servicio prevención y control de incendios</v>
      </c>
      <c r="Z321" s="221" t="str">
        <f t="shared" si="19"/>
        <v>O23011745032024025505035</v>
      </c>
      <c r="AA321" s="221" t="str">
        <f>IFERROR(VLOOKUP(Y321,TD!$K$47:$L$65,2,0)," ")</f>
        <v>PM/0131/0105/45030350255</v>
      </c>
      <c r="AB321" s="53" t="s">
        <v>138</v>
      </c>
      <c r="AC321" s="223" t="s">
        <v>204</v>
      </c>
    </row>
    <row r="322" spans="2:29" s="28" customFormat="1" ht="99" customHeight="1" x14ac:dyDescent="0.35">
      <c r="B322" s="77">
        <v>20250293</v>
      </c>
      <c r="C322" s="50" t="s">
        <v>209</v>
      </c>
      <c r="D322" s="218" t="s">
        <v>169</v>
      </c>
      <c r="E322" s="219" t="s">
        <v>466</v>
      </c>
      <c r="F322" s="218" t="s">
        <v>526</v>
      </c>
      <c r="G322" s="218" t="s">
        <v>156</v>
      </c>
      <c r="H322" s="93">
        <v>80111600</v>
      </c>
      <c r="I322" s="220">
        <v>2</v>
      </c>
      <c r="J322" s="220">
        <v>6</v>
      </c>
      <c r="K322" s="52">
        <v>0</v>
      </c>
      <c r="L322" s="53">
        <v>18000000</v>
      </c>
      <c r="M322" s="218" t="s">
        <v>465</v>
      </c>
      <c r="N322" s="53" t="s">
        <v>113</v>
      </c>
      <c r="O322" s="219" t="s">
        <v>222</v>
      </c>
      <c r="P322" s="221" t="str">
        <f>IFERROR(VLOOKUP(C322,TD!$B$33:$F$37,2,0)," ")</f>
        <v>O230117</v>
      </c>
      <c r="Q322" s="221" t="str">
        <f>IFERROR(VLOOKUP(C322,TD!$B$33:$F$37,3,0)," ")</f>
        <v>4503</v>
      </c>
      <c r="R322" s="221">
        <f>IFERROR(VLOOKUP(C322,TD!$B$33:$F$37,4,0)," ")</f>
        <v>20240255</v>
      </c>
      <c r="S322" s="219" t="s">
        <v>175</v>
      </c>
      <c r="T322" s="221" t="str">
        <f>IFERROR(VLOOKUP(S322,TD!$J$34:$K$44,2,0)," ")</f>
        <v>Servicio de atención a incidentes y emergencias.</v>
      </c>
      <c r="U322" s="222" t="str">
        <f t="shared" si="16"/>
        <v>04-Servicio de atención a incidentes y emergencias.</v>
      </c>
      <c r="V322" s="219" t="s">
        <v>232</v>
      </c>
      <c r="W322" s="221" t="str">
        <f>IFERROR(VLOOKUP(V322,TD!$N$34:$O$46,2,0)," ")</f>
        <v>Servicio de atención a emergencias y desastres</v>
      </c>
      <c r="X322" s="222" t="str">
        <f t="shared" si="17"/>
        <v>004_Servicio de atención a emergencias y desastres</v>
      </c>
      <c r="Y322" s="222" t="str">
        <f t="shared" si="18"/>
        <v>04-Servicio de atención a incidentes y emergencias. 004_Servicio de atención a emergencias y desastres</v>
      </c>
      <c r="Z322" s="221" t="str">
        <f t="shared" si="19"/>
        <v>O23011745032024025504004</v>
      </c>
      <c r="AA322" s="221" t="str">
        <f>IFERROR(VLOOKUP(Y322,TD!$K$47:$L$65,2,0)," ")</f>
        <v>PM/0131/0104/45030040255</v>
      </c>
      <c r="AB322" s="53" t="s">
        <v>138</v>
      </c>
      <c r="AC322" s="223" t="s">
        <v>204</v>
      </c>
    </row>
    <row r="323" spans="2:29" s="28" customFormat="1" ht="99" customHeight="1" x14ac:dyDescent="0.35">
      <c r="B323" s="77">
        <v>20250294</v>
      </c>
      <c r="C323" s="50" t="s">
        <v>209</v>
      </c>
      <c r="D323" s="218" t="s">
        <v>169</v>
      </c>
      <c r="E323" s="219" t="s">
        <v>466</v>
      </c>
      <c r="F323" s="218" t="s">
        <v>526</v>
      </c>
      <c r="G323" s="218" t="s">
        <v>156</v>
      </c>
      <c r="H323" s="93">
        <v>80111600</v>
      </c>
      <c r="I323" s="220">
        <v>2</v>
      </c>
      <c r="J323" s="220">
        <v>6</v>
      </c>
      <c r="K323" s="52">
        <v>0</v>
      </c>
      <c r="L323" s="53">
        <v>18000000</v>
      </c>
      <c r="M323" s="218" t="s">
        <v>465</v>
      </c>
      <c r="N323" s="53" t="s">
        <v>113</v>
      </c>
      <c r="O323" s="219" t="s">
        <v>222</v>
      </c>
      <c r="P323" s="221" t="str">
        <f>IFERROR(VLOOKUP(C323,TD!$B$33:$F$37,2,0)," ")</f>
        <v>O230117</v>
      </c>
      <c r="Q323" s="221" t="str">
        <f>IFERROR(VLOOKUP(C323,TD!$B$33:$F$37,3,0)," ")</f>
        <v>4503</v>
      </c>
      <c r="R323" s="221">
        <f>IFERROR(VLOOKUP(C323,TD!$B$33:$F$37,4,0)," ")</f>
        <v>20240255</v>
      </c>
      <c r="S323" s="219" t="s">
        <v>175</v>
      </c>
      <c r="T323" s="221" t="str">
        <f>IFERROR(VLOOKUP(S323,TD!$J$34:$K$44,2,0)," ")</f>
        <v>Servicio de atención a incidentes y emergencias.</v>
      </c>
      <c r="U323" s="222" t="str">
        <f t="shared" si="16"/>
        <v>04-Servicio de atención a incidentes y emergencias.</v>
      </c>
      <c r="V323" s="219" t="s">
        <v>232</v>
      </c>
      <c r="W323" s="221" t="str">
        <f>IFERROR(VLOOKUP(V323,TD!$N$34:$O$46,2,0)," ")</f>
        <v>Servicio de atención a emergencias y desastres</v>
      </c>
      <c r="X323" s="222" t="str">
        <f t="shared" si="17"/>
        <v>004_Servicio de atención a emergencias y desastres</v>
      </c>
      <c r="Y323" s="222" t="str">
        <f t="shared" si="18"/>
        <v>04-Servicio de atención a incidentes y emergencias. 004_Servicio de atención a emergencias y desastres</v>
      </c>
      <c r="Z323" s="221" t="str">
        <f t="shared" si="19"/>
        <v>O23011745032024025504004</v>
      </c>
      <c r="AA323" s="221" t="str">
        <f>IFERROR(VLOOKUP(Y323,TD!$K$47:$L$65,2,0)," ")</f>
        <v>PM/0131/0104/45030040255</v>
      </c>
      <c r="AB323" s="53" t="s">
        <v>138</v>
      </c>
      <c r="AC323" s="223" t="s">
        <v>204</v>
      </c>
    </row>
    <row r="324" spans="2:29" s="28" customFormat="1" ht="99" customHeight="1" x14ac:dyDescent="0.35">
      <c r="B324" s="77">
        <v>20250295</v>
      </c>
      <c r="C324" s="50" t="s">
        <v>209</v>
      </c>
      <c r="D324" s="218" t="s">
        <v>169</v>
      </c>
      <c r="E324" s="219" t="s">
        <v>466</v>
      </c>
      <c r="F324" s="218" t="s">
        <v>526</v>
      </c>
      <c r="G324" s="218" t="s">
        <v>156</v>
      </c>
      <c r="H324" s="93">
        <v>80111600</v>
      </c>
      <c r="I324" s="220">
        <v>2</v>
      </c>
      <c r="J324" s="220">
        <v>6</v>
      </c>
      <c r="K324" s="52">
        <v>0</v>
      </c>
      <c r="L324" s="53">
        <v>18000000</v>
      </c>
      <c r="M324" s="218" t="s">
        <v>465</v>
      </c>
      <c r="N324" s="53" t="s">
        <v>113</v>
      </c>
      <c r="O324" s="219" t="s">
        <v>222</v>
      </c>
      <c r="P324" s="221" t="str">
        <f>IFERROR(VLOOKUP(C324,TD!$B$33:$F$37,2,0)," ")</f>
        <v>O230117</v>
      </c>
      <c r="Q324" s="221" t="str">
        <f>IFERROR(VLOOKUP(C324,TD!$B$33:$F$37,3,0)," ")</f>
        <v>4503</v>
      </c>
      <c r="R324" s="221">
        <f>IFERROR(VLOOKUP(C324,TD!$B$33:$F$37,4,0)," ")</f>
        <v>20240255</v>
      </c>
      <c r="S324" s="219" t="s">
        <v>175</v>
      </c>
      <c r="T324" s="221" t="str">
        <f>IFERROR(VLOOKUP(S324,TD!$J$34:$K$44,2,0)," ")</f>
        <v>Servicio de atención a incidentes y emergencias.</v>
      </c>
      <c r="U324" s="222" t="str">
        <f t="shared" si="16"/>
        <v>04-Servicio de atención a incidentes y emergencias.</v>
      </c>
      <c r="V324" s="219" t="s">
        <v>232</v>
      </c>
      <c r="W324" s="221" t="str">
        <f>IFERROR(VLOOKUP(V324,TD!$N$34:$O$46,2,0)," ")</f>
        <v>Servicio de atención a emergencias y desastres</v>
      </c>
      <c r="X324" s="222" t="str">
        <f t="shared" si="17"/>
        <v>004_Servicio de atención a emergencias y desastres</v>
      </c>
      <c r="Y324" s="222" t="str">
        <f t="shared" si="18"/>
        <v>04-Servicio de atención a incidentes y emergencias. 004_Servicio de atención a emergencias y desastres</v>
      </c>
      <c r="Z324" s="221" t="str">
        <f t="shared" si="19"/>
        <v>O23011745032024025504004</v>
      </c>
      <c r="AA324" s="221" t="str">
        <f>IFERROR(VLOOKUP(Y324,TD!$K$47:$L$65,2,0)," ")</f>
        <v>PM/0131/0104/45030040255</v>
      </c>
      <c r="AB324" s="53" t="s">
        <v>138</v>
      </c>
      <c r="AC324" s="223" t="s">
        <v>204</v>
      </c>
    </row>
    <row r="325" spans="2:29" s="28" customFormat="1" ht="99" customHeight="1" x14ac:dyDescent="0.35">
      <c r="B325" s="77">
        <v>20250296</v>
      </c>
      <c r="C325" s="50" t="s">
        <v>209</v>
      </c>
      <c r="D325" s="218" t="s">
        <v>169</v>
      </c>
      <c r="E325" s="219" t="s">
        <v>466</v>
      </c>
      <c r="F325" s="218" t="s">
        <v>526</v>
      </c>
      <c r="G325" s="218" t="s">
        <v>156</v>
      </c>
      <c r="H325" s="93">
        <v>80111600</v>
      </c>
      <c r="I325" s="220">
        <v>2</v>
      </c>
      <c r="J325" s="220">
        <v>6</v>
      </c>
      <c r="K325" s="52">
        <v>0</v>
      </c>
      <c r="L325" s="53">
        <v>18000000</v>
      </c>
      <c r="M325" s="218" t="s">
        <v>465</v>
      </c>
      <c r="N325" s="53" t="s">
        <v>113</v>
      </c>
      <c r="O325" s="219" t="s">
        <v>222</v>
      </c>
      <c r="P325" s="221" t="str">
        <f>IFERROR(VLOOKUP(C325,TD!$B$33:$F$37,2,0)," ")</f>
        <v>O230117</v>
      </c>
      <c r="Q325" s="221" t="str">
        <f>IFERROR(VLOOKUP(C325,TD!$B$33:$F$37,3,0)," ")</f>
        <v>4503</v>
      </c>
      <c r="R325" s="221">
        <f>IFERROR(VLOOKUP(C325,TD!$B$33:$F$37,4,0)," ")</f>
        <v>20240255</v>
      </c>
      <c r="S325" s="219" t="s">
        <v>175</v>
      </c>
      <c r="T325" s="221" t="str">
        <f>IFERROR(VLOOKUP(S325,TD!$J$34:$K$44,2,0)," ")</f>
        <v>Servicio de atención a incidentes y emergencias.</v>
      </c>
      <c r="U325" s="222" t="str">
        <f t="shared" si="16"/>
        <v>04-Servicio de atención a incidentes y emergencias.</v>
      </c>
      <c r="V325" s="219" t="s">
        <v>232</v>
      </c>
      <c r="W325" s="221" t="str">
        <f>IFERROR(VLOOKUP(V325,TD!$N$34:$O$46,2,0)," ")</f>
        <v>Servicio de atención a emergencias y desastres</v>
      </c>
      <c r="X325" s="222" t="str">
        <f t="shared" si="17"/>
        <v>004_Servicio de atención a emergencias y desastres</v>
      </c>
      <c r="Y325" s="222" t="str">
        <f t="shared" si="18"/>
        <v>04-Servicio de atención a incidentes y emergencias. 004_Servicio de atención a emergencias y desastres</v>
      </c>
      <c r="Z325" s="221" t="str">
        <f t="shared" si="19"/>
        <v>O23011745032024025504004</v>
      </c>
      <c r="AA325" s="221" t="str">
        <f>IFERROR(VLOOKUP(Y325,TD!$K$47:$L$65,2,0)," ")</f>
        <v>PM/0131/0104/45030040255</v>
      </c>
      <c r="AB325" s="53" t="s">
        <v>138</v>
      </c>
      <c r="AC325" s="223" t="s">
        <v>204</v>
      </c>
    </row>
    <row r="326" spans="2:29" s="28" customFormat="1" ht="99" customHeight="1" x14ac:dyDescent="0.35">
      <c r="B326" s="77">
        <v>20250297</v>
      </c>
      <c r="C326" s="50" t="s">
        <v>209</v>
      </c>
      <c r="D326" s="218" t="s">
        <v>169</v>
      </c>
      <c r="E326" s="219" t="s">
        <v>466</v>
      </c>
      <c r="F326" s="218" t="s">
        <v>526</v>
      </c>
      <c r="G326" s="218" t="s">
        <v>156</v>
      </c>
      <c r="H326" s="93">
        <v>80111600</v>
      </c>
      <c r="I326" s="220">
        <v>3</v>
      </c>
      <c r="J326" s="220">
        <v>6</v>
      </c>
      <c r="K326" s="52">
        <v>0</v>
      </c>
      <c r="L326" s="53">
        <v>18000000</v>
      </c>
      <c r="M326" s="218" t="s">
        <v>465</v>
      </c>
      <c r="N326" s="53" t="s">
        <v>113</v>
      </c>
      <c r="O326" s="219" t="s">
        <v>222</v>
      </c>
      <c r="P326" s="221" t="str">
        <f>IFERROR(VLOOKUP(C326,TD!$B$33:$F$37,2,0)," ")</f>
        <v>O230117</v>
      </c>
      <c r="Q326" s="221" t="str">
        <f>IFERROR(VLOOKUP(C326,TD!$B$33:$F$37,3,0)," ")</f>
        <v>4503</v>
      </c>
      <c r="R326" s="221">
        <f>IFERROR(VLOOKUP(C326,TD!$B$33:$F$37,4,0)," ")</f>
        <v>20240255</v>
      </c>
      <c r="S326" s="219" t="s">
        <v>175</v>
      </c>
      <c r="T326" s="221" t="str">
        <f>IFERROR(VLOOKUP(S326,TD!$J$34:$K$44,2,0)," ")</f>
        <v>Servicio de atención a incidentes y emergencias.</v>
      </c>
      <c r="U326" s="222" t="str">
        <f t="shared" si="16"/>
        <v>04-Servicio de atención a incidentes y emergencias.</v>
      </c>
      <c r="V326" s="219" t="s">
        <v>232</v>
      </c>
      <c r="W326" s="221" t="str">
        <f>IFERROR(VLOOKUP(V326,TD!$N$34:$O$46,2,0)," ")</f>
        <v>Servicio de atención a emergencias y desastres</v>
      </c>
      <c r="X326" s="222" t="str">
        <f t="shared" si="17"/>
        <v>004_Servicio de atención a emergencias y desastres</v>
      </c>
      <c r="Y326" s="222" t="str">
        <f t="shared" si="18"/>
        <v>04-Servicio de atención a incidentes y emergencias. 004_Servicio de atención a emergencias y desastres</v>
      </c>
      <c r="Z326" s="221" t="str">
        <f t="shared" si="19"/>
        <v>O23011745032024025504004</v>
      </c>
      <c r="AA326" s="221" t="str">
        <f>IFERROR(VLOOKUP(Y326,TD!$K$47:$L$65,2,0)," ")</f>
        <v>PM/0131/0104/45030040255</v>
      </c>
      <c r="AB326" s="53" t="s">
        <v>138</v>
      </c>
      <c r="AC326" s="223" t="s">
        <v>204</v>
      </c>
    </row>
    <row r="327" spans="2:29" s="28" customFormat="1" ht="99" customHeight="1" x14ac:dyDescent="0.35">
      <c r="B327" s="77">
        <v>20250298</v>
      </c>
      <c r="C327" s="50" t="s">
        <v>209</v>
      </c>
      <c r="D327" s="218" t="s">
        <v>169</v>
      </c>
      <c r="E327" s="219" t="s">
        <v>466</v>
      </c>
      <c r="F327" s="218" t="s">
        <v>526</v>
      </c>
      <c r="G327" s="218" t="s">
        <v>156</v>
      </c>
      <c r="H327" s="93">
        <v>80111600</v>
      </c>
      <c r="I327" s="220">
        <v>3</v>
      </c>
      <c r="J327" s="220">
        <v>6</v>
      </c>
      <c r="K327" s="52">
        <v>0</v>
      </c>
      <c r="L327" s="53">
        <v>18000000</v>
      </c>
      <c r="M327" s="218" t="s">
        <v>465</v>
      </c>
      <c r="N327" s="53" t="s">
        <v>113</v>
      </c>
      <c r="O327" s="219" t="s">
        <v>222</v>
      </c>
      <c r="P327" s="221" t="str">
        <f>IFERROR(VLOOKUP(C327,TD!$B$33:$F$37,2,0)," ")</f>
        <v>O230117</v>
      </c>
      <c r="Q327" s="221" t="str">
        <f>IFERROR(VLOOKUP(C327,TD!$B$33:$F$37,3,0)," ")</f>
        <v>4503</v>
      </c>
      <c r="R327" s="221">
        <f>IFERROR(VLOOKUP(C327,TD!$B$33:$F$37,4,0)," ")</f>
        <v>20240255</v>
      </c>
      <c r="S327" s="219" t="s">
        <v>175</v>
      </c>
      <c r="T327" s="221" t="str">
        <f>IFERROR(VLOOKUP(S327,TD!$J$34:$K$44,2,0)," ")</f>
        <v>Servicio de atención a incidentes y emergencias.</v>
      </c>
      <c r="U327" s="222" t="str">
        <f t="shared" si="16"/>
        <v>04-Servicio de atención a incidentes y emergencias.</v>
      </c>
      <c r="V327" s="219" t="s">
        <v>232</v>
      </c>
      <c r="W327" s="221" t="str">
        <f>IFERROR(VLOOKUP(V327,TD!$N$34:$O$46,2,0)," ")</f>
        <v>Servicio de atención a emergencias y desastres</v>
      </c>
      <c r="X327" s="222" t="str">
        <f t="shared" si="17"/>
        <v>004_Servicio de atención a emergencias y desastres</v>
      </c>
      <c r="Y327" s="222" t="str">
        <f t="shared" si="18"/>
        <v>04-Servicio de atención a incidentes y emergencias. 004_Servicio de atención a emergencias y desastres</v>
      </c>
      <c r="Z327" s="221" t="str">
        <f t="shared" si="19"/>
        <v>O23011745032024025504004</v>
      </c>
      <c r="AA327" s="221" t="str">
        <f>IFERROR(VLOOKUP(Y327,TD!$K$47:$L$65,2,0)," ")</f>
        <v>PM/0131/0104/45030040255</v>
      </c>
      <c r="AB327" s="53" t="s">
        <v>138</v>
      </c>
      <c r="AC327" s="223" t="s">
        <v>204</v>
      </c>
    </row>
    <row r="328" spans="2:29" s="28" customFormat="1" ht="99" customHeight="1" x14ac:dyDescent="0.35">
      <c r="B328" s="77">
        <v>20250299</v>
      </c>
      <c r="C328" s="50" t="s">
        <v>209</v>
      </c>
      <c r="D328" s="218" t="s">
        <v>169</v>
      </c>
      <c r="E328" s="219" t="s">
        <v>466</v>
      </c>
      <c r="F328" s="218" t="s">
        <v>526</v>
      </c>
      <c r="G328" s="218" t="s">
        <v>156</v>
      </c>
      <c r="H328" s="93">
        <v>80111600</v>
      </c>
      <c r="I328" s="220">
        <v>3</v>
      </c>
      <c r="J328" s="220">
        <v>6</v>
      </c>
      <c r="K328" s="52">
        <v>0</v>
      </c>
      <c r="L328" s="53">
        <v>18000000</v>
      </c>
      <c r="M328" s="218" t="s">
        <v>465</v>
      </c>
      <c r="N328" s="53" t="s">
        <v>113</v>
      </c>
      <c r="O328" s="219" t="s">
        <v>222</v>
      </c>
      <c r="P328" s="221" t="str">
        <f>IFERROR(VLOOKUP(C328,TD!$B$33:$F$37,2,0)," ")</f>
        <v>O230117</v>
      </c>
      <c r="Q328" s="221" t="str">
        <f>IFERROR(VLOOKUP(C328,TD!$B$33:$F$37,3,0)," ")</f>
        <v>4503</v>
      </c>
      <c r="R328" s="221">
        <f>IFERROR(VLOOKUP(C328,TD!$B$33:$F$37,4,0)," ")</f>
        <v>20240255</v>
      </c>
      <c r="S328" s="219" t="s">
        <v>175</v>
      </c>
      <c r="T328" s="221" t="str">
        <f>IFERROR(VLOOKUP(S328,TD!$J$34:$K$44,2,0)," ")</f>
        <v>Servicio de atención a incidentes y emergencias.</v>
      </c>
      <c r="U328" s="222" t="str">
        <f t="shared" si="16"/>
        <v>04-Servicio de atención a incidentes y emergencias.</v>
      </c>
      <c r="V328" s="219" t="s">
        <v>232</v>
      </c>
      <c r="W328" s="221" t="str">
        <f>IFERROR(VLOOKUP(V328,TD!$N$34:$O$46,2,0)," ")</f>
        <v>Servicio de atención a emergencias y desastres</v>
      </c>
      <c r="X328" s="222" t="str">
        <f t="shared" si="17"/>
        <v>004_Servicio de atención a emergencias y desastres</v>
      </c>
      <c r="Y328" s="222" t="str">
        <f t="shared" si="18"/>
        <v>04-Servicio de atención a incidentes y emergencias. 004_Servicio de atención a emergencias y desastres</v>
      </c>
      <c r="Z328" s="221" t="str">
        <f t="shared" si="19"/>
        <v>O23011745032024025504004</v>
      </c>
      <c r="AA328" s="221" t="str">
        <f>IFERROR(VLOOKUP(Y328,TD!$K$47:$L$65,2,0)," ")</f>
        <v>PM/0131/0104/45030040255</v>
      </c>
      <c r="AB328" s="53" t="s">
        <v>138</v>
      </c>
      <c r="AC328" s="223" t="s">
        <v>204</v>
      </c>
    </row>
    <row r="329" spans="2:29" s="28" customFormat="1" ht="99" customHeight="1" x14ac:dyDescent="0.35">
      <c r="B329" s="77">
        <v>20250300</v>
      </c>
      <c r="C329" s="50" t="s">
        <v>209</v>
      </c>
      <c r="D329" s="218" t="s">
        <v>169</v>
      </c>
      <c r="E329" s="219" t="s">
        <v>466</v>
      </c>
      <c r="F329" s="218" t="s">
        <v>527</v>
      </c>
      <c r="G329" s="218" t="s">
        <v>156</v>
      </c>
      <c r="H329" s="93">
        <v>80111600</v>
      </c>
      <c r="I329" s="220">
        <v>2</v>
      </c>
      <c r="J329" s="220">
        <v>6</v>
      </c>
      <c r="K329" s="52">
        <v>0</v>
      </c>
      <c r="L329" s="53">
        <v>17400000</v>
      </c>
      <c r="M329" s="218" t="s">
        <v>465</v>
      </c>
      <c r="N329" s="53" t="s">
        <v>113</v>
      </c>
      <c r="O329" s="219" t="s">
        <v>222</v>
      </c>
      <c r="P329" s="221" t="str">
        <f>IFERROR(VLOOKUP(C329,TD!$B$33:$F$37,2,0)," ")</f>
        <v>O230117</v>
      </c>
      <c r="Q329" s="221" t="str">
        <f>IFERROR(VLOOKUP(C329,TD!$B$33:$F$37,3,0)," ")</f>
        <v>4503</v>
      </c>
      <c r="R329" s="221">
        <f>IFERROR(VLOOKUP(C329,TD!$B$33:$F$37,4,0)," ")</f>
        <v>20240255</v>
      </c>
      <c r="S329" s="219" t="s">
        <v>175</v>
      </c>
      <c r="T329" s="221" t="str">
        <f>IFERROR(VLOOKUP(S329,TD!$J$34:$K$44,2,0)," ")</f>
        <v>Servicio de atención a incidentes y emergencias.</v>
      </c>
      <c r="U329" s="222" t="str">
        <f t="shared" si="16"/>
        <v>04-Servicio de atención a incidentes y emergencias.</v>
      </c>
      <c r="V329" s="219" t="s">
        <v>232</v>
      </c>
      <c r="W329" s="221" t="str">
        <f>IFERROR(VLOOKUP(V329,TD!$N$34:$O$46,2,0)," ")</f>
        <v>Servicio de atención a emergencias y desastres</v>
      </c>
      <c r="X329" s="222" t="str">
        <f t="shared" si="17"/>
        <v>004_Servicio de atención a emergencias y desastres</v>
      </c>
      <c r="Y329" s="222" t="str">
        <f t="shared" si="18"/>
        <v>04-Servicio de atención a incidentes y emergencias. 004_Servicio de atención a emergencias y desastres</v>
      </c>
      <c r="Z329" s="221" t="str">
        <f t="shared" si="19"/>
        <v>O23011745032024025504004</v>
      </c>
      <c r="AA329" s="221" t="str">
        <f>IFERROR(VLOOKUP(Y329,TD!$K$47:$L$65,2,0)," ")</f>
        <v>PM/0131/0104/45030040255</v>
      </c>
      <c r="AB329" s="53" t="s">
        <v>138</v>
      </c>
      <c r="AC329" s="223" t="s">
        <v>204</v>
      </c>
    </row>
    <row r="330" spans="2:29" s="28" customFormat="1" ht="99" customHeight="1" x14ac:dyDescent="0.35">
      <c r="B330" s="77">
        <v>20250301</v>
      </c>
      <c r="C330" s="50" t="s">
        <v>209</v>
      </c>
      <c r="D330" s="218" t="s">
        <v>169</v>
      </c>
      <c r="E330" s="219" t="s">
        <v>466</v>
      </c>
      <c r="F330" s="218" t="s">
        <v>527</v>
      </c>
      <c r="G330" s="218" t="s">
        <v>156</v>
      </c>
      <c r="H330" s="93">
        <v>80111600</v>
      </c>
      <c r="I330" s="220">
        <v>2</v>
      </c>
      <c r="J330" s="220">
        <v>6</v>
      </c>
      <c r="K330" s="52">
        <v>0</v>
      </c>
      <c r="L330" s="53">
        <v>17400000</v>
      </c>
      <c r="M330" s="218" t="s">
        <v>465</v>
      </c>
      <c r="N330" s="53" t="s">
        <v>113</v>
      </c>
      <c r="O330" s="219" t="s">
        <v>222</v>
      </c>
      <c r="P330" s="221" t="str">
        <f>IFERROR(VLOOKUP(C330,TD!$B$33:$F$37,2,0)," ")</f>
        <v>O230117</v>
      </c>
      <c r="Q330" s="221" t="str">
        <f>IFERROR(VLOOKUP(C330,TD!$B$33:$F$37,3,0)," ")</f>
        <v>4503</v>
      </c>
      <c r="R330" s="221">
        <f>IFERROR(VLOOKUP(C330,TD!$B$33:$F$37,4,0)," ")</f>
        <v>20240255</v>
      </c>
      <c r="S330" s="219" t="s">
        <v>175</v>
      </c>
      <c r="T330" s="221" t="str">
        <f>IFERROR(VLOOKUP(S330,TD!$J$34:$K$44,2,0)," ")</f>
        <v>Servicio de atención a incidentes y emergencias.</v>
      </c>
      <c r="U330" s="222" t="str">
        <f t="shared" si="16"/>
        <v>04-Servicio de atención a incidentes y emergencias.</v>
      </c>
      <c r="V330" s="219" t="s">
        <v>232</v>
      </c>
      <c r="W330" s="221" t="str">
        <f>IFERROR(VLOOKUP(V330,TD!$N$34:$O$46,2,0)," ")</f>
        <v>Servicio de atención a emergencias y desastres</v>
      </c>
      <c r="X330" s="222" t="str">
        <f t="shared" si="17"/>
        <v>004_Servicio de atención a emergencias y desastres</v>
      </c>
      <c r="Y330" s="222" t="str">
        <f t="shared" si="18"/>
        <v>04-Servicio de atención a incidentes y emergencias. 004_Servicio de atención a emergencias y desastres</v>
      </c>
      <c r="Z330" s="221" t="str">
        <f t="shared" si="19"/>
        <v>O23011745032024025504004</v>
      </c>
      <c r="AA330" s="221" t="str">
        <f>IFERROR(VLOOKUP(Y330,TD!$K$47:$L$65,2,0)," ")</f>
        <v>PM/0131/0104/45030040255</v>
      </c>
      <c r="AB330" s="53" t="s">
        <v>138</v>
      </c>
      <c r="AC330" s="223" t="s">
        <v>204</v>
      </c>
    </row>
    <row r="331" spans="2:29" s="28" customFormat="1" ht="99" customHeight="1" x14ac:dyDescent="0.35">
      <c r="B331" s="77">
        <v>20250302</v>
      </c>
      <c r="C331" s="50" t="s">
        <v>209</v>
      </c>
      <c r="D331" s="218" t="s">
        <v>169</v>
      </c>
      <c r="E331" s="219" t="s">
        <v>466</v>
      </c>
      <c r="F331" s="218" t="s">
        <v>527</v>
      </c>
      <c r="G331" s="218" t="s">
        <v>156</v>
      </c>
      <c r="H331" s="93">
        <v>80111600</v>
      </c>
      <c r="I331" s="220">
        <v>2</v>
      </c>
      <c r="J331" s="220">
        <v>6</v>
      </c>
      <c r="K331" s="52">
        <v>0</v>
      </c>
      <c r="L331" s="53">
        <v>17400000</v>
      </c>
      <c r="M331" s="218" t="s">
        <v>465</v>
      </c>
      <c r="N331" s="53" t="s">
        <v>113</v>
      </c>
      <c r="O331" s="219" t="s">
        <v>222</v>
      </c>
      <c r="P331" s="221" t="str">
        <f>IFERROR(VLOOKUP(C331,TD!$B$33:$F$37,2,0)," ")</f>
        <v>O230117</v>
      </c>
      <c r="Q331" s="221" t="str">
        <f>IFERROR(VLOOKUP(C331,TD!$B$33:$F$37,3,0)," ")</f>
        <v>4503</v>
      </c>
      <c r="R331" s="221">
        <f>IFERROR(VLOOKUP(C331,TD!$B$33:$F$37,4,0)," ")</f>
        <v>20240255</v>
      </c>
      <c r="S331" s="219" t="s">
        <v>175</v>
      </c>
      <c r="T331" s="221" t="str">
        <f>IFERROR(VLOOKUP(S331,TD!$J$34:$K$44,2,0)," ")</f>
        <v>Servicio de atención a incidentes y emergencias.</v>
      </c>
      <c r="U331" s="222" t="str">
        <f t="shared" si="16"/>
        <v>04-Servicio de atención a incidentes y emergencias.</v>
      </c>
      <c r="V331" s="219" t="s">
        <v>232</v>
      </c>
      <c r="W331" s="221" t="str">
        <f>IFERROR(VLOOKUP(V331,TD!$N$34:$O$46,2,0)," ")</f>
        <v>Servicio de atención a emergencias y desastres</v>
      </c>
      <c r="X331" s="222" t="str">
        <f t="shared" si="17"/>
        <v>004_Servicio de atención a emergencias y desastres</v>
      </c>
      <c r="Y331" s="222" t="str">
        <f t="shared" si="18"/>
        <v>04-Servicio de atención a incidentes y emergencias. 004_Servicio de atención a emergencias y desastres</v>
      </c>
      <c r="Z331" s="221" t="str">
        <f t="shared" si="19"/>
        <v>O23011745032024025504004</v>
      </c>
      <c r="AA331" s="221" t="str">
        <f>IFERROR(VLOOKUP(Y331,TD!$K$47:$L$65,2,0)," ")</f>
        <v>PM/0131/0104/45030040255</v>
      </c>
      <c r="AB331" s="53" t="s">
        <v>138</v>
      </c>
      <c r="AC331" s="223" t="s">
        <v>204</v>
      </c>
    </row>
    <row r="332" spans="2:29" s="28" customFormat="1" ht="99" customHeight="1" x14ac:dyDescent="0.35">
      <c r="B332" s="77">
        <v>20250303</v>
      </c>
      <c r="C332" s="50" t="s">
        <v>209</v>
      </c>
      <c r="D332" s="218" t="s">
        <v>169</v>
      </c>
      <c r="E332" s="219" t="s">
        <v>466</v>
      </c>
      <c r="F332" s="218" t="s">
        <v>527</v>
      </c>
      <c r="G332" s="218" t="s">
        <v>156</v>
      </c>
      <c r="H332" s="93">
        <v>80111600</v>
      </c>
      <c r="I332" s="220">
        <v>2</v>
      </c>
      <c r="J332" s="220">
        <v>6</v>
      </c>
      <c r="K332" s="52">
        <v>0</v>
      </c>
      <c r="L332" s="53">
        <v>17400000</v>
      </c>
      <c r="M332" s="218" t="s">
        <v>465</v>
      </c>
      <c r="N332" s="53" t="s">
        <v>113</v>
      </c>
      <c r="O332" s="219" t="s">
        <v>222</v>
      </c>
      <c r="P332" s="221" t="str">
        <f>IFERROR(VLOOKUP(C332,TD!$B$33:$F$37,2,0)," ")</f>
        <v>O230117</v>
      </c>
      <c r="Q332" s="221" t="str">
        <f>IFERROR(VLOOKUP(C332,TD!$B$33:$F$37,3,0)," ")</f>
        <v>4503</v>
      </c>
      <c r="R332" s="221">
        <f>IFERROR(VLOOKUP(C332,TD!$B$33:$F$37,4,0)," ")</f>
        <v>20240255</v>
      </c>
      <c r="S332" s="219" t="s">
        <v>175</v>
      </c>
      <c r="T332" s="221" t="str">
        <f>IFERROR(VLOOKUP(S332,TD!$J$34:$K$44,2,0)," ")</f>
        <v>Servicio de atención a incidentes y emergencias.</v>
      </c>
      <c r="U332" s="222" t="str">
        <f t="shared" ref="U332:U395" si="21">CONCATENATE(S332,"-",T332)</f>
        <v>04-Servicio de atención a incidentes y emergencias.</v>
      </c>
      <c r="V332" s="219" t="s">
        <v>232</v>
      </c>
      <c r="W332" s="221" t="str">
        <f>IFERROR(VLOOKUP(V332,TD!$N$34:$O$46,2,0)," ")</f>
        <v>Servicio de atención a emergencias y desastres</v>
      </c>
      <c r="X332" s="222" t="str">
        <f t="shared" ref="X332:X395" si="22">CONCATENATE(V332,"_",W332)</f>
        <v>004_Servicio de atención a emergencias y desastres</v>
      </c>
      <c r="Y332" s="222" t="str">
        <f t="shared" ref="Y332:Y395" si="23">CONCATENATE(U332," ",X332)</f>
        <v>04-Servicio de atención a incidentes y emergencias. 004_Servicio de atención a emergencias y desastres</v>
      </c>
      <c r="Z332" s="221" t="str">
        <f t="shared" ref="Z332:Z395" si="24">CONCATENATE(P332,Q332,R332,S332,V332)</f>
        <v>O23011745032024025504004</v>
      </c>
      <c r="AA332" s="221" t="str">
        <f>IFERROR(VLOOKUP(Y332,TD!$K$47:$L$65,2,0)," ")</f>
        <v>PM/0131/0104/45030040255</v>
      </c>
      <c r="AB332" s="53" t="s">
        <v>138</v>
      </c>
      <c r="AC332" s="223" t="s">
        <v>204</v>
      </c>
    </row>
    <row r="333" spans="2:29" s="28" customFormat="1" ht="99" customHeight="1" x14ac:dyDescent="0.35">
      <c r="B333" s="77">
        <v>20250304</v>
      </c>
      <c r="C333" s="50" t="s">
        <v>209</v>
      </c>
      <c r="D333" s="218" t="s">
        <v>169</v>
      </c>
      <c r="E333" s="219" t="s">
        <v>466</v>
      </c>
      <c r="F333" s="218" t="s">
        <v>527</v>
      </c>
      <c r="G333" s="218" t="s">
        <v>156</v>
      </c>
      <c r="H333" s="93">
        <v>80111600</v>
      </c>
      <c r="I333" s="220">
        <v>2</v>
      </c>
      <c r="J333" s="220">
        <v>6</v>
      </c>
      <c r="K333" s="52">
        <v>0</v>
      </c>
      <c r="L333" s="53">
        <v>17400000</v>
      </c>
      <c r="M333" s="218" t="s">
        <v>465</v>
      </c>
      <c r="N333" s="53" t="s">
        <v>113</v>
      </c>
      <c r="O333" s="219" t="s">
        <v>222</v>
      </c>
      <c r="P333" s="221" t="str">
        <f>IFERROR(VLOOKUP(C333,TD!$B$33:$F$37,2,0)," ")</f>
        <v>O230117</v>
      </c>
      <c r="Q333" s="221" t="str">
        <f>IFERROR(VLOOKUP(C333,TD!$B$33:$F$37,3,0)," ")</f>
        <v>4503</v>
      </c>
      <c r="R333" s="221">
        <f>IFERROR(VLOOKUP(C333,TD!$B$33:$F$37,4,0)," ")</f>
        <v>20240255</v>
      </c>
      <c r="S333" s="219" t="s">
        <v>175</v>
      </c>
      <c r="T333" s="221" t="str">
        <f>IFERROR(VLOOKUP(S333,TD!$J$34:$K$44,2,0)," ")</f>
        <v>Servicio de atención a incidentes y emergencias.</v>
      </c>
      <c r="U333" s="222" t="str">
        <f t="shared" si="21"/>
        <v>04-Servicio de atención a incidentes y emergencias.</v>
      </c>
      <c r="V333" s="219" t="s">
        <v>232</v>
      </c>
      <c r="W333" s="221" t="str">
        <f>IFERROR(VLOOKUP(V333,TD!$N$34:$O$46,2,0)," ")</f>
        <v>Servicio de atención a emergencias y desastres</v>
      </c>
      <c r="X333" s="222" t="str">
        <f t="shared" si="22"/>
        <v>004_Servicio de atención a emergencias y desastres</v>
      </c>
      <c r="Y333" s="222" t="str">
        <f t="shared" si="23"/>
        <v>04-Servicio de atención a incidentes y emergencias. 004_Servicio de atención a emergencias y desastres</v>
      </c>
      <c r="Z333" s="221" t="str">
        <f t="shared" si="24"/>
        <v>O23011745032024025504004</v>
      </c>
      <c r="AA333" s="221" t="str">
        <f>IFERROR(VLOOKUP(Y333,TD!$K$47:$L$65,2,0)," ")</f>
        <v>PM/0131/0104/45030040255</v>
      </c>
      <c r="AB333" s="53" t="s">
        <v>138</v>
      </c>
      <c r="AC333" s="223" t="s">
        <v>204</v>
      </c>
    </row>
    <row r="334" spans="2:29" s="28" customFormat="1" ht="99" customHeight="1" x14ac:dyDescent="0.35">
      <c r="B334" s="77">
        <v>20250305</v>
      </c>
      <c r="C334" s="50" t="s">
        <v>209</v>
      </c>
      <c r="D334" s="218" t="s">
        <v>169</v>
      </c>
      <c r="E334" s="219" t="s">
        <v>466</v>
      </c>
      <c r="F334" s="218" t="s">
        <v>527</v>
      </c>
      <c r="G334" s="218" t="s">
        <v>156</v>
      </c>
      <c r="H334" s="93">
        <v>80111600</v>
      </c>
      <c r="I334" s="220">
        <v>2</v>
      </c>
      <c r="J334" s="220">
        <v>6</v>
      </c>
      <c r="K334" s="52">
        <v>0</v>
      </c>
      <c r="L334" s="53">
        <v>17400000</v>
      </c>
      <c r="M334" s="218" t="s">
        <v>465</v>
      </c>
      <c r="N334" s="53" t="s">
        <v>113</v>
      </c>
      <c r="O334" s="219" t="s">
        <v>222</v>
      </c>
      <c r="P334" s="221" t="str">
        <f>IFERROR(VLOOKUP(C334,TD!$B$33:$F$37,2,0)," ")</f>
        <v>O230117</v>
      </c>
      <c r="Q334" s="221" t="str">
        <f>IFERROR(VLOOKUP(C334,TD!$B$33:$F$37,3,0)," ")</f>
        <v>4503</v>
      </c>
      <c r="R334" s="221">
        <f>IFERROR(VLOOKUP(C334,TD!$B$33:$F$37,4,0)," ")</f>
        <v>20240255</v>
      </c>
      <c r="S334" s="219" t="s">
        <v>175</v>
      </c>
      <c r="T334" s="221" t="str">
        <f>IFERROR(VLOOKUP(S334,TD!$J$34:$K$44,2,0)," ")</f>
        <v>Servicio de atención a incidentes y emergencias.</v>
      </c>
      <c r="U334" s="222" t="str">
        <f t="shared" si="21"/>
        <v>04-Servicio de atención a incidentes y emergencias.</v>
      </c>
      <c r="V334" s="219" t="s">
        <v>232</v>
      </c>
      <c r="W334" s="221" t="str">
        <f>IFERROR(VLOOKUP(V334,TD!$N$34:$O$46,2,0)," ")</f>
        <v>Servicio de atención a emergencias y desastres</v>
      </c>
      <c r="X334" s="222" t="str">
        <f t="shared" si="22"/>
        <v>004_Servicio de atención a emergencias y desastres</v>
      </c>
      <c r="Y334" s="222" t="str">
        <f t="shared" si="23"/>
        <v>04-Servicio de atención a incidentes y emergencias. 004_Servicio de atención a emergencias y desastres</v>
      </c>
      <c r="Z334" s="221" t="str">
        <f t="shared" si="24"/>
        <v>O23011745032024025504004</v>
      </c>
      <c r="AA334" s="221" t="str">
        <f>IFERROR(VLOOKUP(Y334,TD!$K$47:$L$65,2,0)," ")</f>
        <v>PM/0131/0104/45030040255</v>
      </c>
      <c r="AB334" s="53" t="s">
        <v>138</v>
      </c>
      <c r="AC334" s="223" t="s">
        <v>204</v>
      </c>
    </row>
    <row r="335" spans="2:29" s="28" customFormat="1" ht="99" customHeight="1" x14ac:dyDescent="0.35">
      <c r="B335" s="77">
        <v>20250306</v>
      </c>
      <c r="C335" s="50" t="s">
        <v>209</v>
      </c>
      <c r="D335" s="218" t="s">
        <v>169</v>
      </c>
      <c r="E335" s="219" t="s">
        <v>466</v>
      </c>
      <c r="F335" s="218" t="s">
        <v>527</v>
      </c>
      <c r="G335" s="218" t="s">
        <v>156</v>
      </c>
      <c r="H335" s="93">
        <v>80111600</v>
      </c>
      <c r="I335" s="220">
        <v>2</v>
      </c>
      <c r="J335" s="220">
        <v>6</v>
      </c>
      <c r="K335" s="52">
        <v>8</v>
      </c>
      <c r="L335" s="53">
        <v>17400000</v>
      </c>
      <c r="M335" s="218" t="s">
        <v>465</v>
      </c>
      <c r="N335" s="53" t="s">
        <v>113</v>
      </c>
      <c r="O335" s="219" t="s">
        <v>222</v>
      </c>
      <c r="P335" s="221" t="str">
        <f>IFERROR(VLOOKUP(C335,TD!$B$33:$F$37,2,0)," ")</f>
        <v>O230117</v>
      </c>
      <c r="Q335" s="221" t="str">
        <f>IFERROR(VLOOKUP(C335,TD!$B$33:$F$37,3,0)," ")</f>
        <v>4503</v>
      </c>
      <c r="R335" s="221">
        <f>IFERROR(VLOOKUP(C335,TD!$B$33:$F$37,4,0)," ")</f>
        <v>20240255</v>
      </c>
      <c r="S335" s="219" t="s">
        <v>175</v>
      </c>
      <c r="T335" s="221" t="str">
        <f>IFERROR(VLOOKUP(S335,TD!$J$34:$K$44,2,0)," ")</f>
        <v>Servicio de atención a incidentes y emergencias.</v>
      </c>
      <c r="U335" s="222" t="str">
        <f t="shared" si="21"/>
        <v>04-Servicio de atención a incidentes y emergencias.</v>
      </c>
      <c r="V335" s="219" t="s">
        <v>232</v>
      </c>
      <c r="W335" s="221" t="str">
        <f>IFERROR(VLOOKUP(V335,TD!$N$34:$O$46,2,0)," ")</f>
        <v>Servicio de atención a emergencias y desastres</v>
      </c>
      <c r="X335" s="222" t="str">
        <f t="shared" si="22"/>
        <v>004_Servicio de atención a emergencias y desastres</v>
      </c>
      <c r="Y335" s="222" t="str">
        <f t="shared" si="23"/>
        <v>04-Servicio de atención a incidentes y emergencias. 004_Servicio de atención a emergencias y desastres</v>
      </c>
      <c r="Z335" s="221" t="str">
        <f t="shared" si="24"/>
        <v>O23011745032024025504004</v>
      </c>
      <c r="AA335" s="221" t="str">
        <f>IFERROR(VLOOKUP(Y335,TD!$K$47:$L$65,2,0)," ")</f>
        <v>PM/0131/0104/45030040255</v>
      </c>
      <c r="AB335" s="53" t="s">
        <v>138</v>
      </c>
      <c r="AC335" s="223" t="s">
        <v>204</v>
      </c>
    </row>
    <row r="336" spans="2:29" s="28" customFormat="1" ht="99" customHeight="1" x14ac:dyDescent="0.35">
      <c r="B336" s="77">
        <v>20250307</v>
      </c>
      <c r="C336" s="50" t="s">
        <v>209</v>
      </c>
      <c r="D336" s="218" t="s">
        <v>169</v>
      </c>
      <c r="E336" s="219" t="s">
        <v>466</v>
      </c>
      <c r="F336" s="218" t="s">
        <v>527</v>
      </c>
      <c r="G336" s="218" t="s">
        <v>156</v>
      </c>
      <c r="H336" s="93">
        <v>80111600</v>
      </c>
      <c r="I336" s="220">
        <v>2</v>
      </c>
      <c r="J336" s="220">
        <v>6</v>
      </c>
      <c r="K336" s="52">
        <v>0</v>
      </c>
      <c r="L336" s="53">
        <v>17400000</v>
      </c>
      <c r="M336" s="218" t="s">
        <v>465</v>
      </c>
      <c r="N336" s="53" t="s">
        <v>113</v>
      </c>
      <c r="O336" s="219" t="s">
        <v>222</v>
      </c>
      <c r="P336" s="221" t="str">
        <f>IFERROR(VLOOKUP(C336,TD!$B$33:$F$37,2,0)," ")</f>
        <v>O230117</v>
      </c>
      <c r="Q336" s="221" t="str">
        <f>IFERROR(VLOOKUP(C336,TD!$B$33:$F$37,3,0)," ")</f>
        <v>4503</v>
      </c>
      <c r="R336" s="221">
        <f>IFERROR(VLOOKUP(C336,TD!$B$33:$F$37,4,0)," ")</f>
        <v>20240255</v>
      </c>
      <c r="S336" s="219" t="s">
        <v>175</v>
      </c>
      <c r="T336" s="221" t="str">
        <f>IFERROR(VLOOKUP(S336,TD!$J$34:$K$44,2,0)," ")</f>
        <v>Servicio de atención a incidentes y emergencias.</v>
      </c>
      <c r="U336" s="222" t="str">
        <f t="shared" si="21"/>
        <v>04-Servicio de atención a incidentes y emergencias.</v>
      </c>
      <c r="V336" s="219" t="s">
        <v>232</v>
      </c>
      <c r="W336" s="221" t="str">
        <f>IFERROR(VLOOKUP(V336,TD!$N$34:$O$46,2,0)," ")</f>
        <v>Servicio de atención a emergencias y desastres</v>
      </c>
      <c r="X336" s="222" t="str">
        <f t="shared" si="22"/>
        <v>004_Servicio de atención a emergencias y desastres</v>
      </c>
      <c r="Y336" s="222" t="str">
        <f t="shared" si="23"/>
        <v>04-Servicio de atención a incidentes y emergencias. 004_Servicio de atención a emergencias y desastres</v>
      </c>
      <c r="Z336" s="221" t="str">
        <f t="shared" si="24"/>
        <v>O23011745032024025504004</v>
      </c>
      <c r="AA336" s="221" t="str">
        <f>IFERROR(VLOOKUP(Y336,TD!$K$47:$L$65,2,0)," ")</f>
        <v>PM/0131/0104/45030040255</v>
      </c>
      <c r="AB336" s="53" t="s">
        <v>138</v>
      </c>
      <c r="AC336" s="223" t="s">
        <v>204</v>
      </c>
    </row>
    <row r="337" spans="2:29" s="28" customFormat="1" ht="99" customHeight="1" x14ac:dyDescent="0.35">
      <c r="B337" s="77">
        <v>20250308</v>
      </c>
      <c r="C337" s="50" t="s">
        <v>209</v>
      </c>
      <c r="D337" s="218" t="s">
        <v>169</v>
      </c>
      <c r="E337" s="219" t="s">
        <v>466</v>
      </c>
      <c r="F337" s="218" t="s">
        <v>527</v>
      </c>
      <c r="G337" s="218" t="s">
        <v>156</v>
      </c>
      <c r="H337" s="93">
        <v>80111600</v>
      </c>
      <c r="I337" s="220">
        <v>2</v>
      </c>
      <c r="J337" s="220">
        <v>6</v>
      </c>
      <c r="K337" s="52">
        <v>0</v>
      </c>
      <c r="L337" s="53">
        <v>17400000</v>
      </c>
      <c r="M337" s="218" t="s">
        <v>465</v>
      </c>
      <c r="N337" s="53" t="s">
        <v>113</v>
      </c>
      <c r="O337" s="219" t="s">
        <v>222</v>
      </c>
      <c r="P337" s="221" t="str">
        <f>IFERROR(VLOOKUP(C337,TD!$B$33:$F$37,2,0)," ")</f>
        <v>O230117</v>
      </c>
      <c r="Q337" s="221" t="str">
        <f>IFERROR(VLOOKUP(C337,TD!$B$33:$F$37,3,0)," ")</f>
        <v>4503</v>
      </c>
      <c r="R337" s="221">
        <f>IFERROR(VLOOKUP(C337,TD!$B$33:$F$37,4,0)," ")</f>
        <v>20240255</v>
      </c>
      <c r="S337" s="219" t="s">
        <v>175</v>
      </c>
      <c r="T337" s="221" t="str">
        <f>IFERROR(VLOOKUP(S337,TD!$J$34:$K$44,2,0)," ")</f>
        <v>Servicio de atención a incidentes y emergencias.</v>
      </c>
      <c r="U337" s="222" t="str">
        <f t="shared" si="21"/>
        <v>04-Servicio de atención a incidentes y emergencias.</v>
      </c>
      <c r="V337" s="219" t="s">
        <v>232</v>
      </c>
      <c r="W337" s="221" t="str">
        <f>IFERROR(VLOOKUP(V337,TD!$N$34:$O$46,2,0)," ")</f>
        <v>Servicio de atención a emergencias y desastres</v>
      </c>
      <c r="X337" s="222" t="str">
        <f t="shared" si="22"/>
        <v>004_Servicio de atención a emergencias y desastres</v>
      </c>
      <c r="Y337" s="222" t="str">
        <f t="shared" si="23"/>
        <v>04-Servicio de atención a incidentes y emergencias. 004_Servicio de atención a emergencias y desastres</v>
      </c>
      <c r="Z337" s="221" t="str">
        <f t="shared" si="24"/>
        <v>O23011745032024025504004</v>
      </c>
      <c r="AA337" s="221" t="str">
        <f>IFERROR(VLOOKUP(Y337,TD!$K$47:$L$65,2,0)," ")</f>
        <v>PM/0131/0104/45030040255</v>
      </c>
      <c r="AB337" s="53" t="s">
        <v>138</v>
      </c>
      <c r="AC337" s="223" t="s">
        <v>204</v>
      </c>
    </row>
    <row r="338" spans="2:29" s="28" customFormat="1" ht="99" customHeight="1" x14ac:dyDescent="0.35">
      <c r="B338" s="77">
        <v>20250309</v>
      </c>
      <c r="C338" s="50" t="s">
        <v>209</v>
      </c>
      <c r="D338" s="218" t="s">
        <v>169</v>
      </c>
      <c r="E338" s="219" t="s">
        <v>466</v>
      </c>
      <c r="F338" s="218" t="s">
        <v>527</v>
      </c>
      <c r="G338" s="218" t="s">
        <v>156</v>
      </c>
      <c r="H338" s="93">
        <v>80111600</v>
      </c>
      <c r="I338" s="220">
        <v>3</v>
      </c>
      <c r="J338" s="220">
        <v>6</v>
      </c>
      <c r="K338" s="52">
        <v>0</v>
      </c>
      <c r="L338" s="53">
        <v>17400000</v>
      </c>
      <c r="M338" s="218" t="s">
        <v>465</v>
      </c>
      <c r="N338" s="53" t="s">
        <v>113</v>
      </c>
      <c r="O338" s="219" t="s">
        <v>222</v>
      </c>
      <c r="P338" s="221" t="str">
        <f>IFERROR(VLOOKUP(C338,TD!$B$33:$F$37,2,0)," ")</f>
        <v>O230117</v>
      </c>
      <c r="Q338" s="221" t="str">
        <f>IFERROR(VLOOKUP(C338,TD!$B$33:$F$37,3,0)," ")</f>
        <v>4503</v>
      </c>
      <c r="R338" s="221">
        <f>IFERROR(VLOOKUP(C338,TD!$B$33:$F$37,4,0)," ")</f>
        <v>20240255</v>
      </c>
      <c r="S338" s="219" t="s">
        <v>175</v>
      </c>
      <c r="T338" s="221" t="str">
        <f>IFERROR(VLOOKUP(S338,TD!$J$34:$K$44,2,0)," ")</f>
        <v>Servicio de atención a incidentes y emergencias.</v>
      </c>
      <c r="U338" s="222" t="str">
        <f t="shared" si="21"/>
        <v>04-Servicio de atención a incidentes y emergencias.</v>
      </c>
      <c r="V338" s="219" t="s">
        <v>232</v>
      </c>
      <c r="W338" s="221" t="str">
        <f>IFERROR(VLOOKUP(V338,TD!$N$34:$O$46,2,0)," ")</f>
        <v>Servicio de atención a emergencias y desastres</v>
      </c>
      <c r="X338" s="222" t="str">
        <f t="shared" si="22"/>
        <v>004_Servicio de atención a emergencias y desastres</v>
      </c>
      <c r="Y338" s="222" t="str">
        <f t="shared" si="23"/>
        <v>04-Servicio de atención a incidentes y emergencias. 004_Servicio de atención a emergencias y desastres</v>
      </c>
      <c r="Z338" s="221" t="str">
        <f t="shared" si="24"/>
        <v>O23011745032024025504004</v>
      </c>
      <c r="AA338" s="221" t="str">
        <f>IFERROR(VLOOKUP(Y338,TD!$K$47:$L$65,2,0)," ")</f>
        <v>PM/0131/0104/45030040255</v>
      </c>
      <c r="AB338" s="53" t="s">
        <v>138</v>
      </c>
      <c r="AC338" s="223" t="s">
        <v>204</v>
      </c>
    </row>
    <row r="339" spans="2:29" s="28" customFormat="1" ht="99" customHeight="1" x14ac:dyDescent="0.35">
      <c r="B339" s="77">
        <v>20250310</v>
      </c>
      <c r="C339" s="50" t="s">
        <v>209</v>
      </c>
      <c r="D339" s="218" t="s">
        <v>169</v>
      </c>
      <c r="E339" s="219" t="s">
        <v>466</v>
      </c>
      <c r="F339" s="218" t="s">
        <v>852</v>
      </c>
      <c r="G339" s="218" t="s">
        <v>156</v>
      </c>
      <c r="H339" s="93">
        <v>80111600</v>
      </c>
      <c r="I339" s="220">
        <v>2</v>
      </c>
      <c r="J339" s="220">
        <v>7</v>
      </c>
      <c r="K339" s="52">
        <v>0</v>
      </c>
      <c r="L339" s="53">
        <v>22400000</v>
      </c>
      <c r="M339" s="218" t="s">
        <v>465</v>
      </c>
      <c r="N339" s="53" t="s">
        <v>113</v>
      </c>
      <c r="O339" s="219" t="s">
        <v>222</v>
      </c>
      <c r="P339" s="221" t="str">
        <f>IFERROR(VLOOKUP(C339,TD!$B$33:$F$37,2,0)," ")</f>
        <v>O230117</v>
      </c>
      <c r="Q339" s="221" t="str">
        <f>IFERROR(VLOOKUP(C339,TD!$B$33:$F$37,3,0)," ")</f>
        <v>4503</v>
      </c>
      <c r="R339" s="221">
        <f>IFERROR(VLOOKUP(C339,TD!$B$33:$F$37,4,0)," ")</f>
        <v>20240255</v>
      </c>
      <c r="S339" s="219" t="s">
        <v>175</v>
      </c>
      <c r="T339" s="221" t="str">
        <f>IFERROR(VLOOKUP(S339,TD!$J$34:$K$44,2,0)," ")</f>
        <v>Servicio de atención a incidentes y emergencias.</v>
      </c>
      <c r="U339" s="222" t="str">
        <f t="shared" si="21"/>
        <v>04-Servicio de atención a incidentes y emergencias.</v>
      </c>
      <c r="V339" s="219" t="s">
        <v>232</v>
      </c>
      <c r="W339" s="221" t="str">
        <f>IFERROR(VLOOKUP(V339,TD!$N$34:$O$46,2,0)," ")</f>
        <v>Servicio de atención a emergencias y desastres</v>
      </c>
      <c r="X339" s="222" t="str">
        <f t="shared" si="22"/>
        <v>004_Servicio de atención a emergencias y desastres</v>
      </c>
      <c r="Y339" s="222" t="str">
        <f t="shared" si="23"/>
        <v>04-Servicio de atención a incidentes y emergencias. 004_Servicio de atención a emergencias y desastres</v>
      </c>
      <c r="Z339" s="221" t="str">
        <f t="shared" si="24"/>
        <v>O23011745032024025504004</v>
      </c>
      <c r="AA339" s="221" t="str">
        <f>IFERROR(VLOOKUP(Y339,TD!$K$47:$L$65,2,0)," ")</f>
        <v>PM/0131/0104/45030040255</v>
      </c>
      <c r="AB339" s="53" t="s">
        <v>138</v>
      </c>
      <c r="AC339" s="223" t="s">
        <v>204</v>
      </c>
    </row>
    <row r="340" spans="2:29" s="28" customFormat="1" ht="99" customHeight="1" x14ac:dyDescent="0.35">
      <c r="B340" s="77">
        <v>20250311</v>
      </c>
      <c r="C340" s="50" t="s">
        <v>209</v>
      </c>
      <c r="D340" s="218" t="s">
        <v>169</v>
      </c>
      <c r="E340" s="219" t="s">
        <v>466</v>
      </c>
      <c r="F340" s="218" t="s">
        <v>527</v>
      </c>
      <c r="G340" s="218" t="s">
        <v>156</v>
      </c>
      <c r="H340" s="93">
        <v>80111600</v>
      </c>
      <c r="I340" s="220">
        <v>3</v>
      </c>
      <c r="J340" s="220">
        <v>6</v>
      </c>
      <c r="K340" s="52">
        <v>0</v>
      </c>
      <c r="L340" s="53">
        <v>17400000</v>
      </c>
      <c r="M340" s="218" t="s">
        <v>465</v>
      </c>
      <c r="N340" s="53" t="s">
        <v>113</v>
      </c>
      <c r="O340" s="219" t="s">
        <v>222</v>
      </c>
      <c r="P340" s="221" t="str">
        <f>IFERROR(VLOOKUP(C340,TD!$B$33:$F$37,2,0)," ")</f>
        <v>O230117</v>
      </c>
      <c r="Q340" s="221" t="str">
        <f>IFERROR(VLOOKUP(C340,TD!$B$33:$F$37,3,0)," ")</f>
        <v>4503</v>
      </c>
      <c r="R340" s="221">
        <f>IFERROR(VLOOKUP(C340,TD!$B$33:$F$37,4,0)," ")</f>
        <v>20240255</v>
      </c>
      <c r="S340" s="219" t="s">
        <v>175</v>
      </c>
      <c r="T340" s="221" t="str">
        <f>IFERROR(VLOOKUP(S340,TD!$J$34:$K$44,2,0)," ")</f>
        <v>Servicio de atención a incidentes y emergencias.</v>
      </c>
      <c r="U340" s="222" t="str">
        <f t="shared" si="21"/>
        <v>04-Servicio de atención a incidentes y emergencias.</v>
      </c>
      <c r="V340" s="219" t="s">
        <v>232</v>
      </c>
      <c r="W340" s="221" t="str">
        <f>IFERROR(VLOOKUP(V340,TD!$N$34:$O$46,2,0)," ")</f>
        <v>Servicio de atención a emergencias y desastres</v>
      </c>
      <c r="X340" s="222" t="str">
        <f t="shared" si="22"/>
        <v>004_Servicio de atención a emergencias y desastres</v>
      </c>
      <c r="Y340" s="222" t="str">
        <f t="shared" si="23"/>
        <v>04-Servicio de atención a incidentes y emergencias. 004_Servicio de atención a emergencias y desastres</v>
      </c>
      <c r="Z340" s="221" t="str">
        <f t="shared" si="24"/>
        <v>O23011745032024025504004</v>
      </c>
      <c r="AA340" s="221" t="str">
        <f>IFERROR(VLOOKUP(Y340,TD!$K$47:$L$65,2,0)," ")</f>
        <v>PM/0131/0104/45030040255</v>
      </c>
      <c r="AB340" s="53" t="s">
        <v>138</v>
      </c>
      <c r="AC340" s="223" t="s">
        <v>204</v>
      </c>
    </row>
    <row r="341" spans="2:29" s="28" customFormat="1" ht="99" customHeight="1" x14ac:dyDescent="0.35">
      <c r="B341" s="77">
        <v>20250312</v>
      </c>
      <c r="C341" s="50" t="s">
        <v>209</v>
      </c>
      <c r="D341" s="218" t="s">
        <v>169</v>
      </c>
      <c r="E341" s="219" t="s">
        <v>466</v>
      </c>
      <c r="F341" s="218" t="s">
        <v>527</v>
      </c>
      <c r="G341" s="218" t="s">
        <v>156</v>
      </c>
      <c r="H341" s="93">
        <v>80111600</v>
      </c>
      <c r="I341" s="220">
        <v>3</v>
      </c>
      <c r="J341" s="220">
        <v>6</v>
      </c>
      <c r="K341" s="52">
        <v>0</v>
      </c>
      <c r="L341" s="53">
        <v>17400000</v>
      </c>
      <c r="M341" s="218" t="s">
        <v>465</v>
      </c>
      <c r="N341" s="53" t="s">
        <v>113</v>
      </c>
      <c r="O341" s="219" t="s">
        <v>222</v>
      </c>
      <c r="P341" s="221" t="str">
        <f>IFERROR(VLOOKUP(C341,TD!$B$33:$F$37,2,0)," ")</f>
        <v>O230117</v>
      </c>
      <c r="Q341" s="221" t="str">
        <f>IFERROR(VLOOKUP(C341,TD!$B$33:$F$37,3,0)," ")</f>
        <v>4503</v>
      </c>
      <c r="R341" s="221">
        <f>IFERROR(VLOOKUP(C341,TD!$B$33:$F$37,4,0)," ")</f>
        <v>20240255</v>
      </c>
      <c r="S341" s="219" t="s">
        <v>175</v>
      </c>
      <c r="T341" s="221" t="str">
        <f>IFERROR(VLOOKUP(S341,TD!$J$34:$K$44,2,0)," ")</f>
        <v>Servicio de atención a incidentes y emergencias.</v>
      </c>
      <c r="U341" s="222" t="str">
        <f t="shared" si="21"/>
        <v>04-Servicio de atención a incidentes y emergencias.</v>
      </c>
      <c r="V341" s="219" t="s">
        <v>232</v>
      </c>
      <c r="W341" s="221" t="str">
        <f>IFERROR(VLOOKUP(V341,TD!$N$34:$O$46,2,0)," ")</f>
        <v>Servicio de atención a emergencias y desastres</v>
      </c>
      <c r="X341" s="222" t="str">
        <f t="shared" si="22"/>
        <v>004_Servicio de atención a emergencias y desastres</v>
      </c>
      <c r="Y341" s="222" t="str">
        <f t="shared" si="23"/>
        <v>04-Servicio de atención a incidentes y emergencias. 004_Servicio de atención a emergencias y desastres</v>
      </c>
      <c r="Z341" s="221" t="str">
        <f t="shared" si="24"/>
        <v>O23011745032024025504004</v>
      </c>
      <c r="AA341" s="221" t="str">
        <f>IFERROR(VLOOKUP(Y341,TD!$K$47:$L$65,2,0)," ")</f>
        <v>PM/0131/0104/45030040255</v>
      </c>
      <c r="AB341" s="53" t="s">
        <v>138</v>
      </c>
      <c r="AC341" s="223" t="s">
        <v>204</v>
      </c>
    </row>
    <row r="342" spans="2:29" s="28" customFormat="1" ht="99" customHeight="1" x14ac:dyDescent="0.35">
      <c r="B342" s="77">
        <v>20250313</v>
      </c>
      <c r="C342" s="50" t="s">
        <v>209</v>
      </c>
      <c r="D342" s="218" t="s">
        <v>169</v>
      </c>
      <c r="E342" s="219" t="s">
        <v>466</v>
      </c>
      <c r="F342" s="218" t="s">
        <v>527</v>
      </c>
      <c r="G342" s="218" t="s">
        <v>156</v>
      </c>
      <c r="H342" s="93">
        <v>80111600</v>
      </c>
      <c r="I342" s="220">
        <v>3</v>
      </c>
      <c r="J342" s="220">
        <v>6</v>
      </c>
      <c r="K342" s="52">
        <v>0</v>
      </c>
      <c r="L342" s="53">
        <v>17400000</v>
      </c>
      <c r="M342" s="218" t="s">
        <v>465</v>
      </c>
      <c r="N342" s="53" t="s">
        <v>113</v>
      </c>
      <c r="O342" s="219" t="s">
        <v>222</v>
      </c>
      <c r="P342" s="221" t="str">
        <f>IFERROR(VLOOKUP(C342,TD!$B$33:$F$37,2,0)," ")</f>
        <v>O230117</v>
      </c>
      <c r="Q342" s="221" t="str">
        <f>IFERROR(VLOOKUP(C342,TD!$B$33:$F$37,3,0)," ")</f>
        <v>4503</v>
      </c>
      <c r="R342" s="221">
        <f>IFERROR(VLOOKUP(C342,TD!$B$33:$F$37,4,0)," ")</f>
        <v>20240255</v>
      </c>
      <c r="S342" s="219" t="s">
        <v>175</v>
      </c>
      <c r="T342" s="221" t="str">
        <f>IFERROR(VLOOKUP(S342,TD!$J$34:$K$44,2,0)," ")</f>
        <v>Servicio de atención a incidentes y emergencias.</v>
      </c>
      <c r="U342" s="222" t="str">
        <f t="shared" si="21"/>
        <v>04-Servicio de atención a incidentes y emergencias.</v>
      </c>
      <c r="V342" s="219" t="s">
        <v>232</v>
      </c>
      <c r="W342" s="221" t="str">
        <f>IFERROR(VLOOKUP(V342,TD!$N$34:$O$46,2,0)," ")</f>
        <v>Servicio de atención a emergencias y desastres</v>
      </c>
      <c r="X342" s="222" t="str">
        <f t="shared" si="22"/>
        <v>004_Servicio de atención a emergencias y desastres</v>
      </c>
      <c r="Y342" s="222" t="str">
        <f t="shared" si="23"/>
        <v>04-Servicio de atención a incidentes y emergencias. 004_Servicio de atención a emergencias y desastres</v>
      </c>
      <c r="Z342" s="221" t="str">
        <f t="shared" si="24"/>
        <v>O23011745032024025504004</v>
      </c>
      <c r="AA342" s="221" t="str">
        <f>IFERROR(VLOOKUP(Y342,TD!$K$47:$L$65,2,0)," ")</f>
        <v>PM/0131/0104/45030040255</v>
      </c>
      <c r="AB342" s="53" t="s">
        <v>138</v>
      </c>
      <c r="AC342" s="223" t="s">
        <v>204</v>
      </c>
    </row>
    <row r="343" spans="2:29" s="28" customFormat="1" ht="99" customHeight="1" x14ac:dyDescent="0.35">
      <c r="B343" s="77">
        <v>20250314</v>
      </c>
      <c r="C343" s="50" t="s">
        <v>209</v>
      </c>
      <c r="D343" s="218" t="s">
        <v>169</v>
      </c>
      <c r="E343" s="219" t="s">
        <v>466</v>
      </c>
      <c r="F343" s="218" t="s">
        <v>527</v>
      </c>
      <c r="G343" s="218" t="s">
        <v>156</v>
      </c>
      <c r="H343" s="93">
        <v>80111600</v>
      </c>
      <c r="I343" s="220">
        <v>3</v>
      </c>
      <c r="J343" s="220">
        <v>6</v>
      </c>
      <c r="K343" s="52">
        <v>0</v>
      </c>
      <c r="L343" s="53">
        <v>17400000</v>
      </c>
      <c r="M343" s="218" t="s">
        <v>465</v>
      </c>
      <c r="N343" s="53" t="s">
        <v>113</v>
      </c>
      <c r="O343" s="219" t="s">
        <v>222</v>
      </c>
      <c r="P343" s="221" t="str">
        <f>IFERROR(VLOOKUP(C343,TD!$B$33:$F$37,2,0)," ")</f>
        <v>O230117</v>
      </c>
      <c r="Q343" s="221" t="str">
        <f>IFERROR(VLOOKUP(C343,TD!$B$33:$F$37,3,0)," ")</f>
        <v>4503</v>
      </c>
      <c r="R343" s="221">
        <f>IFERROR(VLOOKUP(C343,TD!$B$33:$F$37,4,0)," ")</f>
        <v>20240255</v>
      </c>
      <c r="S343" s="219" t="s">
        <v>175</v>
      </c>
      <c r="T343" s="221" t="str">
        <f>IFERROR(VLOOKUP(S343,TD!$J$34:$K$44,2,0)," ")</f>
        <v>Servicio de atención a incidentes y emergencias.</v>
      </c>
      <c r="U343" s="222" t="str">
        <f t="shared" si="21"/>
        <v>04-Servicio de atención a incidentes y emergencias.</v>
      </c>
      <c r="V343" s="219" t="s">
        <v>232</v>
      </c>
      <c r="W343" s="221" t="str">
        <f>IFERROR(VLOOKUP(V343,TD!$N$34:$O$46,2,0)," ")</f>
        <v>Servicio de atención a emergencias y desastres</v>
      </c>
      <c r="X343" s="222" t="str">
        <f t="shared" si="22"/>
        <v>004_Servicio de atención a emergencias y desastres</v>
      </c>
      <c r="Y343" s="222" t="str">
        <f t="shared" si="23"/>
        <v>04-Servicio de atención a incidentes y emergencias. 004_Servicio de atención a emergencias y desastres</v>
      </c>
      <c r="Z343" s="221" t="str">
        <f t="shared" si="24"/>
        <v>O23011745032024025504004</v>
      </c>
      <c r="AA343" s="221" t="str">
        <f>IFERROR(VLOOKUP(Y343,TD!$K$47:$L$65,2,0)," ")</f>
        <v>PM/0131/0104/45030040255</v>
      </c>
      <c r="AB343" s="53" t="s">
        <v>138</v>
      </c>
      <c r="AC343" s="223" t="s">
        <v>204</v>
      </c>
    </row>
    <row r="344" spans="2:29" s="28" customFormat="1" ht="99" customHeight="1" x14ac:dyDescent="0.35">
      <c r="B344" s="77">
        <v>20250315</v>
      </c>
      <c r="C344" s="50" t="s">
        <v>209</v>
      </c>
      <c r="D344" s="218" t="s">
        <v>169</v>
      </c>
      <c r="E344" s="219" t="s">
        <v>466</v>
      </c>
      <c r="F344" s="218" t="s">
        <v>527</v>
      </c>
      <c r="G344" s="218" t="s">
        <v>156</v>
      </c>
      <c r="H344" s="93">
        <v>80111600</v>
      </c>
      <c r="I344" s="220">
        <v>3</v>
      </c>
      <c r="J344" s="220">
        <v>6</v>
      </c>
      <c r="K344" s="52">
        <v>0</v>
      </c>
      <c r="L344" s="53">
        <v>17400000</v>
      </c>
      <c r="M344" s="218" t="s">
        <v>465</v>
      </c>
      <c r="N344" s="53" t="s">
        <v>113</v>
      </c>
      <c r="O344" s="219" t="s">
        <v>222</v>
      </c>
      <c r="P344" s="221" t="str">
        <f>IFERROR(VLOOKUP(C344,TD!$B$33:$F$37,2,0)," ")</f>
        <v>O230117</v>
      </c>
      <c r="Q344" s="221" t="str">
        <f>IFERROR(VLOOKUP(C344,TD!$B$33:$F$37,3,0)," ")</f>
        <v>4503</v>
      </c>
      <c r="R344" s="221">
        <f>IFERROR(VLOOKUP(C344,TD!$B$33:$F$37,4,0)," ")</f>
        <v>20240255</v>
      </c>
      <c r="S344" s="219" t="s">
        <v>175</v>
      </c>
      <c r="T344" s="221" t="str">
        <f>IFERROR(VLOOKUP(S344,TD!$J$34:$K$44,2,0)," ")</f>
        <v>Servicio de atención a incidentes y emergencias.</v>
      </c>
      <c r="U344" s="222" t="str">
        <f t="shared" si="21"/>
        <v>04-Servicio de atención a incidentes y emergencias.</v>
      </c>
      <c r="V344" s="219" t="s">
        <v>232</v>
      </c>
      <c r="W344" s="221" t="str">
        <f>IFERROR(VLOOKUP(V344,TD!$N$34:$O$46,2,0)," ")</f>
        <v>Servicio de atención a emergencias y desastres</v>
      </c>
      <c r="X344" s="222" t="str">
        <f t="shared" si="22"/>
        <v>004_Servicio de atención a emergencias y desastres</v>
      </c>
      <c r="Y344" s="222" t="str">
        <f t="shared" si="23"/>
        <v>04-Servicio de atención a incidentes y emergencias. 004_Servicio de atención a emergencias y desastres</v>
      </c>
      <c r="Z344" s="221" t="str">
        <f t="shared" si="24"/>
        <v>O23011745032024025504004</v>
      </c>
      <c r="AA344" s="221" t="str">
        <f>IFERROR(VLOOKUP(Y344,TD!$K$47:$L$65,2,0)," ")</f>
        <v>PM/0131/0104/45030040255</v>
      </c>
      <c r="AB344" s="53" t="s">
        <v>138</v>
      </c>
      <c r="AC344" s="223" t="s">
        <v>204</v>
      </c>
    </row>
    <row r="345" spans="2:29" s="28" customFormat="1" ht="99" customHeight="1" x14ac:dyDescent="0.35">
      <c r="B345" s="77">
        <v>20250316</v>
      </c>
      <c r="C345" s="50" t="s">
        <v>209</v>
      </c>
      <c r="D345" s="218" t="s">
        <v>169</v>
      </c>
      <c r="E345" s="219" t="s">
        <v>466</v>
      </c>
      <c r="F345" s="218" t="s">
        <v>527</v>
      </c>
      <c r="G345" s="218" t="s">
        <v>156</v>
      </c>
      <c r="H345" s="93">
        <v>80111600</v>
      </c>
      <c r="I345" s="220">
        <v>3</v>
      </c>
      <c r="J345" s="220">
        <v>6</v>
      </c>
      <c r="K345" s="52">
        <v>0</v>
      </c>
      <c r="L345" s="53">
        <v>17400000</v>
      </c>
      <c r="M345" s="218" t="s">
        <v>465</v>
      </c>
      <c r="N345" s="53" t="s">
        <v>113</v>
      </c>
      <c r="O345" s="219" t="s">
        <v>222</v>
      </c>
      <c r="P345" s="221" t="str">
        <f>IFERROR(VLOOKUP(C345,TD!$B$33:$F$37,2,0)," ")</f>
        <v>O230117</v>
      </c>
      <c r="Q345" s="221" t="str">
        <f>IFERROR(VLOOKUP(C345,TD!$B$33:$F$37,3,0)," ")</f>
        <v>4503</v>
      </c>
      <c r="R345" s="221">
        <f>IFERROR(VLOOKUP(C345,TD!$B$33:$F$37,4,0)," ")</f>
        <v>20240255</v>
      </c>
      <c r="S345" s="219" t="s">
        <v>175</v>
      </c>
      <c r="T345" s="221" t="str">
        <f>IFERROR(VLOOKUP(S345,TD!$J$34:$K$44,2,0)," ")</f>
        <v>Servicio de atención a incidentes y emergencias.</v>
      </c>
      <c r="U345" s="222" t="str">
        <f t="shared" si="21"/>
        <v>04-Servicio de atención a incidentes y emergencias.</v>
      </c>
      <c r="V345" s="219" t="s">
        <v>232</v>
      </c>
      <c r="W345" s="221" t="str">
        <f>IFERROR(VLOOKUP(V345,TD!$N$34:$O$46,2,0)," ")</f>
        <v>Servicio de atención a emergencias y desastres</v>
      </c>
      <c r="X345" s="222" t="str">
        <f t="shared" si="22"/>
        <v>004_Servicio de atención a emergencias y desastres</v>
      </c>
      <c r="Y345" s="222" t="str">
        <f t="shared" si="23"/>
        <v>04-Servicio de atención a incidentes y emergencias. 004_Servicio de atención a emergencias y desastres</v>
      </c>
      <c r="Z345" s="221" t="str">
        <f t="shared" si="24"/>
        <v>O23011745032024025504004</v>
      </c>
      <c r="AA345" s="221" t="str">
        <f>IFERROR(VLOOKUP(Y345,TD!$K$47:$L$65,2,0)," ")</f>
        <v>PM/0131/0104/45030040255</v>
      </c>
      <c r="AB345" s="53" t="s">
        <v>138</v>
      </c>
      <c r="AC345" s="223" t="s">
        <v>204</v>
      </c>
    </row>
    <row r="346" spans="2:29" s="28" customFormat="1" ht="99" customHeight="1" x14ac:dyDescent="0.35">
      <c r="B346" s="77">
        <v>20250317</v>
      </c>
      <c r="C346" s="50" t="s">
        <v>209</v>
      </c>
      <c r="D346" s="218" t="s">
        <v>169</v>
      </c>
      <c r="E346" s="219" t="s">
        <v>466</v>
      </c>
      <c r="F346" s="218" t="s">
        <v>528</v>
      </c>
      <c r="G346" s="218" t="s">
        <v>155</v>
      </c>
      <c r="H346" s="93">
        <v>80111600</v>
      </c>
      <c r="I346" s="220">
        <v>2</v>
      </c>
      <c r="J346" s="220">
        <v>10</v>
      </c>
      <c r="K346" s="52">
        <v>0</v>
      </c>
      <c r="L346" s="53">
        <v>55000000</v>
      </c>
      <c r="M346" s="218" t="s">
        <v>465</v>
      </c>
      <c r="N346" s="53" t="s">
        <v>113</v>
      </c>
      <c r="O346" s="219" t="s">
        <v>222</v>
      </c>
      <c r="P346" s="221" t="str">
        <f>IFERROR(VLOOKUP(C346,TD!$B$33:$F$37,2,0)," ")</f>
        <v>O230117</v>
      </c>
      <c r="Q346" s="221" t="str">
        <f>IFERROR(VLOOKUP(C346,TD!$B$33:$F$37,3,0)," ")</f>
        <v>4503</v>
      </c>
      <c r="R346" s="221">
        <f>IFERROR(VLOOKUP(C346,TD!$B$33:$F$37,4,0)," ")</f>
        <v>20240255</v>
      </c>
      <c r="S346" s="219" t="s">
        <v>175</v>
      </c>
      <c r="T346" s="221" t="str">
        <f>IFERROR(VLOOKUP(S346,TD!$J$34:$K$44,2,0)," ")</f>
        <v>Servicio de atención a incidentes y emergencias.</v>
      </c>
      <c r="U346" s="222" t="str">
        <f t="shared" si="21"/>
        <v>04-Servicio de atención a incidentes y emergencias.</v>
      </c>
      <c r="V346" s="219" t="s">
        <v>232</v>
      </c>
      <c r="W346" s="221" t="str">
        <f>IFERROR(VLOOKUP(V346,TD!$N$34:$O$46,2,0)," ")</f>
        <v>Servicio de atención a emergencias y desastres</v>
      </c>
      <c r="X346" s="222" t="str">
        <f t="shared" si="22"/>
        <v>004_Servicio de atención a emergencias y desastres</v>
      </c>
      <c r="Y346" s="222" t="str">
        <f t="shared" si="23"/>
        <v>04-Servicio de atención a incidentes y emergencias. 004_Servicio de atención a emergencias y desastres</v>
      </c>
      <c r="Z346" s="221" t="str">
        <f t="shared" si="24"/>
        <v>O23011745032024025504004</v>
      </c>
      <c r="AA346" s="221" t="str">
        <f>IFERROR(VLOOKUP(Y346,TD!$K$47:$L$65,2,0)," ")</f>
        <v>PM/0131/0104/45030040255</v>
      </c>
      <c r="AB346" s="53" t="s">
        <v>138</v>
      </c>
      <c r="AC346" s="223" t="s">
        <v>204</v>
      </c>
    </row>
    <row r="347" spans="2:29" s="28" customFormat="1" ht="99" customHeight="1" x14ac:dyDescent="0.35">
      <c r="B347" s="77">
        <v>20250318</v>
      </c>
      <c r="C347" s="50" t="s">
        <v>209</v>
      </c>
      <c r="D347" s="218" t="s">
        <v>169</v>
      </c>
      <c r="E347" s="219" t="s">
        <v>466</v>
      </c>
      <c r="F347" s="218" t="s">
        <v>529</v>
      </c>
      <c r="G347" s="218" t="s">
        <v>156</v>
      </c>
      <c r="H347" s="93">
        <v>80111600</v>
      </c>
      <c r="I347" s="220">
        <v>2</v>
      </c>
      <c r="J347" s="220">
        <v>10</v>
      </c>
      <c r="K347" s="52">
        <v>0</v>
      </c>
      <c r="L347" s="53">
        <v>34066525</v>
      </c>
      <c r="M347" s="218" t="s">
        <v>465</v>
      </c>
      <c r="N347" s="53" t="s">
        <v>113</v>
      </c>
      <c r="O347" s="219" t="s">
        <v>222</v>
      </c>
      <c r="P347" s="221" t="str">
        <f>IFERROR(VLOOKUP(C347,TD!$B$33:$F$37,2,0)," ")</f>
        <v>O230117</v>
      </c>
      <c r="Q347" s="221" t="str">
        <f>IFERROR(VLOOKUP(C347,TD!$B$33:$F$37,3,0)," ")</f>
        <v>4503</v>
      </c>
      <c r="R347" s="221">
        <f>IFERROR(VLOOKUP(C347,TD!$B$33:$F$37,4,0)," ")</f>
        <v>20240255</v>
      </c>
      <c r="S347" s="219" t="s">
        <v>175</v>
      </c>
      <c r="T347" s="221" t="str">
        <f>IFERROR(VLOOKUP(S347,TD!$J$34:$K$44,2,0)," ")</f>
        <v>Servicio de atención a incidentes y emergencias.</v>
      </c>
      <c r="U347" s="222" t="str">
        <f t="shared" si="21"/>
        <v>04-Servicio de atención a incidentes y emergencias.</v>
      </c>
      <c r="V347" s="219" t="s">
        <v>232</v>
      </c>
      <c r="W347" s="221" t="str">
        <f>IFERROR(VLOOKUP(V347,TD!$N$34:$O$46,2,0)," ")</f>
        <v>Servicio de atención a emergencias y desastres</v>
      </c>
      <c r="X347" s="222" t="str">
        <f t="shared" si="22"/>
        <v>004_Servicio de atención a emergencias y desastres</v>
      </c>
      <c r="Y347" s="222" t="str">
        <f t="shared" si="23"/>
        <v>04-Servicio de atención a incidentes y emergencias. 004_Servicio de atención a emergencias y desastres</v>
      </c>
      <c r="Z347" s="221" t="str">
        <f t="shared" si="24"/>
        <v>O23011745032024025504004</v>
      </c>
      <c r="AA347" s="221" t="str">
        <f>IFERROR(VLOOKUP(Y347,TD!$K$47:$L$65,2,0)," ")</f>
        <v>PM/0131/0104/45030040255</v>
      </c>
      <c r="AB347" s="53" t="s">
        <v>138</v>
      </c>
      <c r="AC347" s="223" t="s">
        <v>204</v>
      </c>
    </row>
    <row r="348" spans="2:29" s="28" customFormat="1" ht="99" customHeight="1" x14ac:dyDescent="0.35">
      <c r="B348" s="77">
        <v>20250319</v>
      </c>
      <c r="C348" s="50" t="s">
        <v>209</v>
      </c>
      <c r="D348" s="218" t="s">
        <v>169</v>
      </c>
      <c r="E348" s="219" t="s">
        <v>466</v>
      </c>
      <c r="F348" s="218" t="s">
        <v>528</v>
      </c>
      <c r="G348" s="218" t="s">
        <v>155</v>
      </c>
      <c r="H348" s="93">
        <v>80111600</v>
      </c>
      <c r="I348" s="220">
        <v>2</v>
      </c>
      <c r="J348" s="220">
        <v>10</v>
      </c>
      <c r="K348" s="52">
        <v>0</v>
      </c>
      <c r="L348" s="53">
        <v>55000000</v>
      </c>
      <c r="M348" s="218" t="s">
        <v>465</v>
      </c>
      <c r="N348" s="53" t="s">
        <v>113</v>
      </c>
      <c r="O348" s="219" t="s">
        <v>222</v>
      </c>
      <c r="P348" s="221" t="str">
        <f>IFERROR(VLOOKUP(C348,TD!$B$33:$F$37,2,0)," ")</f>
        <v>O230117</v>
      </c>
      <c r="Q348" s="221" t="str">
        <f>IFERROR(VLOOKUP(C348,TD!$B$33:$F$37,3,0)," ")</f>
        <v>4503</v>
      </c>
      <c r="R348" s="221">
        <f>IFERROR(VLOOKUP(C348,TD!$B$33:$F$37,4,0)," ")</f>
        <v>20240255</v>
      </c>
      <c r="S348" s="219" t="s">
        <v>175</v>
      </c>
      <c r="T348" s="221" t="str">
        <f>IFERROR(VLOOKUP(S348,TD!$J$34:$K$44,2,0)," ")</f>
        <v>Servicio de atención a incidentes y emergencias.</v>
      </c>
      <c r="U348" s="222" t="str">
        <f t="shared" si="21"/>
        <v>04-Servicio de atención a incidentes y emergencias.</v>
      </c>
      <c r="V348" s="219" t="s">
        <v>232</v>
      </c>
      <c r="W348" s="221" t="str">
        <f>IFERROR(VLOOKUP(V348,TD!$N$34:$O$46,2,0)," ")</f>
        <v>Servicio de atención a emergencias y desastres</v>
      </c>
      <c r="X348" s="222" t="str">
        <f t="shared" si="22"/>
        <v>004_Servicio de atención a emergencias y desastres</v>
      </c>
      <c r="Y348" s="222" t="str">
        <f t="shared" si="23"/>
        <v>04-Servicio de atención a incidentes y emergencias. 004_Servicio de atención a emergencias y desastres</v>
      </c>
      <c r="Z348" s="221" t="str">
        <f t="shared" si="24"/>
        <v>O23011745032024025504004</v>
      </c>
      <c r="AA348" s="221" t="str">
        <f>IFERROR(VLOOKUP(Y348,TD!$K$47:$L$65,2,0)," ")</f>
        <v>PM/0131/0104/45030040255</v>
      </c>
      <c r="AB348" s="53" t="s">
        <v>138</v>
      </c>
      <c r="AC348" s="223" t="s">
        <v>204</v>
      </c>
    </row>
    <row r="349" spans="2:29" s="28" customFormat="1" ht="99" customHeight="1" x14ac:dyDescent="0.35">
      <c r="B349" s="77">
        <v>20250320</v>
      </c>
      <c r="C349" s="50" t="s">
        <v>209</v>
      </c>
      <c r="D349" s="218" t="s">
        <v>169</v>
      </c>
      <c r="E349" s="219" t="s">
        <v>466</v>
      </c>
      <c r="F349" s="218" t="s">
        <v>530</v>
      </c>
      <c r="G349" s="218" t="s">
        <v>156</v>
      </c>
      <c r="H349" s="93">
        <v>80111600</v>
      </c>
      <c r="I349" s="220">
        <v>2</v>
      </c>
      <c r="J349" s="220">
        <v>9</v>
      </c>
      <c r="K349" s="52">
        <v>15</v>
      </c>
      <c r="L349" s="53">
        <v>30400000</v>
      </c>
      <c r="M349" s="218" t="s">
        <v>465</v>
      </c>
      <c r="N349" s="53" t="s">
        <v>113</v>
      </c>
      <c r="O349" s="219" t="s">
        <v>222</v>
      </c>
      <c r="P349" s="221" t="str">
        <f>IFERROR(VLOOKUP(C349,TD!$B$33:$F$37,2,0)," ")</f>
        <v>O230117</v>
      </c>
      <c r="Q349" s="221" t="str">
        <f>IFERROR(VLOOKUP(C349,TD!$B$33:$F$37,3,0)," ")</f>
        <v>4503</v>
      </c>
      <c r="R349" s="221">
        <f>IFERROR(VLOOKUP(C349,TD!$B$33:$F$37,4,0)," ")</f>
        <v>20240255</v>
      </c>
      <c r="S349" s="219" t="s">
        <v>175</v>
      </c>
      <c r="T349" s="221" t="str">
        <f>IFERROR(VLOOKUP(S349,TD!$J$34:$K$44,2,0)," ")</f>
        <v>Servicio de atención a incidentes y emergencias.</v>
      </c>
      <c r="U349" s="222" t="str">
        <f t="shared" si="21"/>
        <v>04-Servicio de atención a incidentes y emergencias.</v>
      </c>
      <c r="V349" s="219" t="s">
        <v>232</v>
      </c>
      <c r="W349" s="221" t="str">
        <f>IFERROR(VLOOKUP(V349,TD!$N$34:$O$46,2,0)," ")</f>
        <v>Servicio de atención a emergencias y desastres</v>
      </c>
      <c r="X349" s="222" t="str">
        <f t="shared" si="22"/>
        <v>004_Servicio de atención a emergencias y desastres</v>
      </c>
      <c r="Y349" s="222" t="str">
        <f t="shared" si="23"/>
        <v>04-Servicio de atención a incidentes y emergencias. 004_Servicio de atención a emergencias y desastres</v>
      </c>
      <c r="Z349" s="221" t="str">
        <f t="shared" si="24"/>
        <v>O23011745032024025504004</v>
      </c>
      <c r="AA349" s="221" t="str">
        <f>IFERROR(VLOOKUP(Y349,TD!$K$47:$L$65,2,0)," ")</f>
        <v>PM/0131/0104/45030040255</v>
      </c>
      <c r="AB349" s="53" t="s">
        <v>138</v>
      </c>
      <c r="AC349" s="223" t="s">
        <v>204</v>
      </c>
    </row>
    <row r="350" spans="2:29" s="28" customFormat="1" ht="99" customHeight="1" x14ac:dyDescent="0.35">
      <c r="B350" s="77">
        <v>20250322</v>
      </c>
      <c r="C350" s="50" t="s">
        <v>209</v>
      </c>
      <c r="D350" s="218" t="s">
        <v>169</v>
      </c>
      <c r="E350" s="219" t="s">
        <v>466</v>
      </c>
      <c r="F350" s="218" t="s">
        <v>531</v>
      </c>
      <c r="G350" s="218" t="s">
        <v>155</v>
      </c>
      <c r="H350" s="93">
        <v>80111600</v>
      </c>
      <c r="I350" s="220">
        <v>2</v>
      </c>
      <c r="J350" s="220">
        <v>11</v>
      </c>
      <c r="K350" s="52">
        <v>0</v>
      </c>
      <c r="L350" s="53">
        <v>104500000</v>
      </c>
      <c r="M350" s="218" t="s">
        <v>465</v>
      </c>
      <c r="N350" s="53" t="s">
        <v>113</v>
      </c>
      <c r="O350" s="219" t="s">
        <v>222</v>
      </c>
      <c r="P350" s="221" t="str">
        <f>IFERROR(VLOOKUP(C350,TD!$B$33:$F$37,2,0)," ")</f>
        <v>O230117</v>
      </c>
      <c r="Q350" s="221" t="str">
        <f>IFERROR(VLOOKUP(C350,TD!$B$33:$F$37,3,0)," ")</f>
        <v>4503</v>
      </c>
      <c r="R350" s="221">
        <f>IFERROR(VLOOKUP(C350,TD!$B$33:$F$37,4,0)," ")</f>
        <v>20240255</v>
      </c>
      <c r="S350" s="219" t="s">
        <v>175</v>
      </c>
      <c r="T350" s="221" t="str">
        <f>IFERROR(VLOOKUP(S350,TD!$J$34:$K$44,2,0)," ")</f>
        <v>Servicio de atención a incidentes y emergencias.</v>
      </c>
      <c r="U350" s="222" t="str">
        <f t="shared" si="21"/>
        <v>04-Servicio de atención a incidentes y emergencias.</v>
      </c>
      <c r="V350" s="219" t="s">
        <v>232</v>
      </c>
      <c r="W350" s="221" t="str">
        <f>IFERROR(VLOOKUP(V350,TD!$N$34:$O$46,2,0)," ")</f>
        <v>Servicio de atención a emergencias y desastres</v>
      </c>
      <c r="X350" s="222" t="str">
        <f t="shared" si="22"/>
        <v>004_Servicio de atención a emergencias y desastres</v>
      </c>
      <c r="Y350" s="222" t="str">
        <f t="shared" si="23"/>
        <v>04-Servicio de atención a incidentes y emergencias. 004_Servicio de atención a emergencias y desastres</v>
      </c>
      <c r="Z350" s="221" t="str">
        <f t="shared" si="24"/>
        <v>O23011745032024025504004</v>
      </c>
      <c r="AA350" s="221" t="str">
        <f>IFERROR(VLOOKUP(Y350,TD!$K$47:$L$65,2,0)," ")</f>
        <v>PM/0131/0104/45030040255</v>
      </c>
      <c r="AB350" s="53" t="s">
        <v>138</v>
      </c>
      <c r="AC350" s="223" t="s">
        <v>204</v>
      </c>
    </row>
    <row r="351" spans="2:29" s="28" customFormat="1" ht="99" customHeight="1" x14ac:dyDescent="0.35">
      <c r="B351" s="77">
        <v>20250323</v>
      </c>
      <c r="C351" s="50" t="s">
        <v>209</v>
      </c>
      <c r="D351" s="218" t="s">
        <v>169</v>
      </c>
      <c r="E351" s="219" t="s">
        <v>466</v>
      </c>
      <c r="F351" s="218" t="s">
        <v>532</v>
      </c>
      <c r="G351" s="218" t="s">
        <v>155</v>
      </c>
      <c r="H351" s="93">
        <v>80111600</v>
      </c>
      <c r="I351" s="220">
        <v>2</v>
      </c>
      <c r="J351" s="220">
        <v>11</v>
      </c>
      <c r="K351" s="52">
        <v>0</v>
      </c>
      <c r="L351" s="53">
        <v>88000000</v>
      </c>
      <c r="M351" s="218" t="s">
        <v>465</v>
      </c>
      <c r="N351" s="53" t="s">
        <v>113</v>
      </c>
      <c r="O351" s="219" t="s">
        <v>222</v>
      </c>
      <c r="P351" s="221" t="str">
        <f>IFERROR(VLOOKUP(C351,TD!$B$33:$F$37,2,0)," ")</f>
        <v>O230117</v>
      </c>
      <c r="Q351" s="221" t="str">
        <f>IFERROR(VLOOKUP(C351,TD!$B$33:$F$37,3,0)," ")</f>
        <v>4503</v>
      </c>
      <c r="R351" s="221">
        <f>IFERROR(VLOOKUP(C351,TD!$B$33:$F$37,4,0)," ")</f>
        <v>20240255</v>
      </c>
      <c r="S351" s="219" t="s">
        <v>175</v>
      </c>
      <c r="T351" s="221" t="str">
        <f>IFERROR(VLOOKUP(S351,TD!$J$34:$K$44,2,0)," ")</f>
        <v>Servicio de atención a incidentes y emergencias.</v>
      </c>
      <c r="U351" s="222" t="str">
        <f t="shared" si="21"/>
        <v>04-Servicio de atención a incidentes y emergencias.</v>
      </c>
      <c r="V351" s="219" t="s">
        <v>232</v>
      </c>
      <c r="W351" s="221" t="str">
        <f>IFERROR(VLOOKUP(V351,TD!$N$34:$O$46,2,0)," ")</f>
        <v>Servicio de atención a emergencias y desastres</v>
      </c>
      <c r="X351" s="222" t="str">
        <f t="shared" si="22"/>
        <v>004_Servicio de atención a emergencias y desastres</v>
      </c>
      <c r="Y351" s="222" t="str">
        <f t="shared" si="23"/>
        <v>04-Servicio de atención a incidentes y emergencias. 004_Servicio de atención a emergencias y desastres</v>
      </c>
      <c r="Z351" s="221" t="str">
        <f t="shared" si="24"/>
        <v>O23011745032024025504004</v>
      </c>
      <c r="AA351" s="221" t="str">
        <f>IFERROR(VLOOKUP(Y351,TD!$K$47:$L$65,2,0)," ")</f>
        <v>PM/0131/0104/45030040255</v>
      </c>
      <c r="AB351" s="53" t="s">
        <v>138</v>
      </c>
      <c r="AC351" s="223" t="s">
        <v>204</v>
      </c>
    </row>
    <row r="352" spans="2:29" s="28" customFormat="1" ht="99" customHeight="1" x14ac:dyDescent="0.35">
      <c r="B352" s="77">
        <v>20250324</v>
      </c>
      <c r="C352" s="50" t="s">
        <v>209</v>
      </c>
      <c r="D352" s="218" t="s">
        <v>169</v>
      </c>
      <c r="E352" s="219" t="s">
        <v>466</v>
      </c>
      <c r="F352" s="218" t="s">
        <v>533</v>
      </c>
      <c r="G352" s="218" t="s">
        <v>155</v>
      </c>
      <c r="H352" s="93">
        <v>80111600</v>
      </c>
      <c r="I352" s="220">
        <v>2</v>
      </c>
      <c r="J352" s="220">
        <v>10</v>
      </c>
      <c r="K352" s="52">
        <v>0</v>
      </c>
      <c r="L352" s="53">
        <v>70000000</v>
      </c>
      <c r="M352" s="218" t="s">
        <v>465</v>
      </c>
      <c r="N352" s="53" t="s">
        <v>113</v>
      </c>
      <c r="O352" s="219" t="s">
        <v>222</v>
      </c>
      <c r="P352" s="221" t="str">
        <f>IFERROR(VLOOKUP(C352,TD!$B$33:$F$37,2,0)," ")</f>
        <v>O230117</v>
      </c>
      <c r="Q352" s="221" t="str">
        <f>IFERROR(VLOOKUP(C352,TD!$B$33:$F$37,3,0)," ")</f>
        <v>4503</v>
      </c>
      <c r="R352" s="221">
        <f>IFERROR(VLOOKUP(C352,TD!$B$33:$F$37,4,0)," ")</f>
        <v>20240255</v>
      </c>
      <c r="S352" s="219" t="s">
        <v>175</v>
      </c>
      <c r="T352" s="221" t="str">
        <f>IFERROR(VLOOKUP(S352,TD!$J$34:$K$44,2,0)," ")</f>
        <v>Servicio de atención a incidentes y emergencias.</v>
      </c>
      <c r="U352" s="222" t="str">
        <f t="shared" si="21"/>
        <v>04-Servicio de atención a incidentes y emergencias.</v>
      </c>
      <c r="V352" s="219" t="s">
        <v>232</v>
      </c>
      <c r="W352" s="221" t="str">
        <f>IFERROR(VLOOKUP(V352,TD!$N$34:$O$46,2,0)," ")</f>
        <v>Servicio de atención a emergencias y desastres</v>
      </c>
      <c r="X352" s="222" t="str">
        <f t="shared" si="22"/>
        <v>004_Servicio de atención a emergencias y desastres</v>
      </c>
      <c r="Y352" s="222" t="str">
        <f t="shared" si="23"/>
        <v>04-Servicio de atención a incidentes y emergencias. 004_Servicio de atención a emergencias y desastres</v>
      </c>
      <c r="Z352" s="221" t="str">
        <f t="shared" si="24"/>
        <v>O23011745032024025504004</v>
      </c>
      <c r="AA352" s="221" t="str">
        <f>IFERROR(VLOOKUP(Y352,TD!$K$47:$L$65,2,0)," ")</f>
        <v>PM/0131/0104/45030040255</v>
      </c>
      <c r="AB352" s="53" t="s">
        <v>138</v>
      </c>
      <c r="AC352" s="223" t="s">
        <v>204</v>
      </c>
    </row>
    <row r="353" spans="2:29" s="28" customFormat="1" ht="99" customHeight="1" x14ac:dyDescent="0.35">
      <c r="B353" s="77">
        <v>20250325</v>
      </c>
      <c r="C353" s="50" t="s">
        <v>209</v>
      </c>
      <c r="D353" s="218" t="s">
        <v>169</v>
      </c>
      <c r="E353" s="219" t="s">
        <v>466</v>
      </c>
      <c r="F353" s="218" t="s">
        <v>534</v>
      </c>
      <c r="G353" s="218" t="s">
        <v>155</v>
      </c>
      <c r="H353" s="93">
        <v>80111600</v>
      </c>
      <c r="I353" s="220">
        <v>2</v>
      </c>
      <c r="J353" s="220">
        <v>10</v>
      </c>
      <c r="K353" s="52">
        <v>0</v>
      </c>
      <c r="L353" s="53">
        <v>70000000</v>
      </c>
      <c r="M353" s="218" t="s">
        <v>465</v>
      </c>
      <c r="N353" s="53" t="s">
        <v>113</v>
      </c>
      <c r="O353" s="219" t="s">
        <v>222</v>
      </c>
      <c r="P353" s="221" t="str">
        <f>IFERROR(VLOOKUP(C353,TD!$B$33:$F$37,2,0)," ")</f>
        <v>O230117</v>
      </c>
      <c r="Q353" s="221" t="str">
        <f>IFERROR(VLOOKUP(C353,TD!$B$33:$F$37,3,0)," ")</f>
        <v>4503</v>
      </c>
      <c r="R353" s="221">
        <f>IFERROR(VLOOKUP(C353,TD!$B$33:$F$37,4,0)," ")</f>
        <v>20240255</v>
      </c>
      <c r="S353" s="219" t="s">
        <v>175</v>
      </c>
      <c r="T353" s="221" t="str">
        <f>IFERROR(VLOOKUP(S353,TD!$J$34:$K$44,2,0)," ")</f>
        <v>Servicio de atención a incidentes y emergencias.</v>
      </c>
      <c r="U353" s="222" t="str">
        <f t="shared" si="21"/>
        <v>04-Servicio de atención a incidentes y emergencias.</v>
      </c>
      <c r="V353" s="219" t="s">
        <v>232</v>
      </c>
      <c r="W353" s="221" t="str">
        <f>IFERROR(VLOOKUP(V353,TD!$N$34:$O$46,2,0)," ")</f>
        <v>Servicio de atención a emergencias y desastres</v>
      </c>
      <c r="X353" s="222" t="str">
        <f t="shared" si="22"/>
        <v>004_Servicio de atención a emergencias y desastres</v>
      </c>
      <c r="Y353" s="222" t="str">
        <f t="shared" si="23"/>
        <v>04-Servicio de atención a incidentes y emergencias. 004_Servicio de atención a emergencias y desastres</v>
      </c>
      <c r="Z353" s="221" t="str">
        <f t="shared" si="24"/>
        <v>O23011745032024025504004</v>
      </c>
      <c r="AA353" s="221" t="str">
        <f>IFERROR(VLOOKUP(Y353,TD!$K$47:$L$65,2,0)," ")</f>
        <v>PM/0131/0104/45030040255</v>
      </c>
      <c r="AB353" s="53" t="s">
        <v>138</v>
      </c>
      <c r="AC353" s="219" t="s">
        <v>204</v>
      </c>
    </row>
    <row r="354" spans="2:29" s="28" customFormat="1" ht="99" customHeight="1" x14ac:dyDescent="0.35">
      <c r="B354" s="77">
        <v>20250326</v>
      </c>
      <c r="C354" s="50" t="s">
        <v>209</v>
      </c>
      <c r="D354" s="218" t="s">
        <v>169</v>
      </c>
      <c r="E354" s="219" t="s">
        <v>466</v>
      </c>
      <c r="F354" s="218" t="s">
        <v>535</v>
      </c>
      <c r="G354" s="218" t="s">
        <v>155</v>
      </c>
      <c r="H354" s="93">
        <v>80111600</v>
      </c>
      <c r="I354" s="220">
        <v>3</v>
      </c>
      <c r="J354" s="220">
        <v>10</v>
      </c>
      <c r="K354" s="52">
        <v>0</v>
      </c>
      <c r="L354" s="53">
        <v>95000000</v>
      </c>
      <c r="M354" s="218" t="s">
        <v>465</v>
      </c>
      <c r="N354" s="53" t="s">
        <v>113</v>
      </c>
      <c r="O354" s="219" t="s">
        <v>222</v>
      </c>
      <c r="P354" s="221" t="str">
        <f>IFERROR(VLOOKUP(C354,TD!$B$33:$F$37,2,0)," ")</f>
        <v>O230117</v>
      </c>
      <c r="Q354" s="221" t="str">
        <f>IFERROR(VLOOKUP(C354,TD!$B$33:$F$37,3,0)," ")</f>
        <v>4503</v>
      </c>
      <c r="R354" s="221">
        <f>IFERROR(VLOOKUP(C354,TD!$B$33:$F$37,4,0)," ")</f>
        <v>20240255</v>
      </c>
      <c r="S354" s="219" t="s">
        <v>175</v>
      </c>
      <c r="T354" s="221" t="str">
        <f>IFERROR(VLOOKUP(S354,TD!$J$34:$K$44,2,0)," ")</f>
        <v>Servicio de atención a incidentes y emergencias.</v>
      </c>
      <c r="U354" s="222" t="str">
        <f t="shared" si="21"/>
        <v>04-Servicio de atención a incidentes y emergencias.</v>
      </c>
      <c r="V354" s="219" t="s">
        <v>232</v>
      </c>
      <c r="W354" s="221" t="str">
        <f>IFERROR(VLOOKUP(V354,TD!$N$34:$O$46,2,0)," ")</f>
        <v>Servicio de atención a emergencias y desastres</v>
      </c>
      <c r="X354" s="222" t="str">
        <f t="shared" si="22"/>
        <v>004_Servicio de atención a emergencias y desastres</v>
      </c>
      <c r="Y354" s="222" t="str">
        <f t="shared" si="23"/>
        <v>04-Servicio de atención a incidentes y emergencias. 004_Servicio de atención a emergencias y desastres</v>
      </c>
      <c r="Z354" s="221" t="str">
        <f t="shared" si="24"/>
        <v>O23011745032024025504004</v>
      </c>
      <c r="AA354" s="221" t="str">
        <f>IFERROR(VLOOKUP(Y354,TD!$K$47:$L$65,2,0)," ")</f>
        <v>PM/0131/0104/45030040255</v>
      </c>
      <c r="AB354" s="53" t="s">
        <v>138</v>
      </c>
      <c r="AC354" s="223" t="s">
        <v>204</v>
      </c>
    </row>
    <row r="355" spans="2:29" s="28" customFormat="1" ht="99" customHeight="1" x14ac:dyDescent="0.35">
      <c r="B355" s="77">
        <v>20250327</v>
      </c>
      <c r="C355" s="50" t="s">
        <v>209</v>
      </c>
      <c r="D355" s="218" t="s">
        <v>169</v>
      </c>
      <c r="E355" s="219" t="s">
        <v>466</v>
      </c>
      <c r="F355" s="218" t="s">
        <v>536</v>
      </c>
      <c r="G355" s="218" t="s">
        <v>155</v>
      </c>
      <c r="H355" s="93">
        <v>80111600</v>
      </c>
      <c r="I355" s="220">
        <v>2</v>
      </c>
      <c r="J355" s="220">
        <v>10</v>
      </c>
      <c r="K355" s="52">
        <v>15</v>
      </c>
      <c r="L355" s="53">
        <v>47250000</v>
      </c>
      <c r="M355" s="218" t="s">
        <v>465</v>
      </c>
      <c r="N355" s="53" t="s">
        <v>113</v>
      </c>
      <c r="O355" s="219" t="s">
        <v>222</v>
      </c>
      <c r="P355" s="221" t="str">
        <f>IFERROR(VLOOKUP(C355,TD!$B$33:$F$37,2,0)," ")</f>
        <v>O230117</v>
      </c>
      <c r="Q355" s="221" t="str">
        <f>IFERROR(VLOOKUP(C355,TD!$B$33:$F$37,3,0)," ")</f>
        <v>4503</v>
      </c>
      <c r="R355" s="221">
        <f>IFERROR(VLOOKUP(C355,TD!$B$33:$F$37,4,0)," ")</f>
        <v>20240255</v>
      </c>
      <c r="S355" s="219" t="s">
        <v>175</v>
      </c>
      <c r="T355" s="221" t="str">
        <f>IFERROR(VLOOKUP(S355,TD!$J$34:$K$44,2,0)," ")</f>
        <v>Servicio de atención a incidentes y emergencias.</v>
      </c>
      <c r="U355" s="222" t="str">
        <f t="shared" si="21"/>
        <v>04-Servicio de atención a incidentes y emergencias.</v>
      </c>
      <c r="V355" s="219" t="s">
        <v>232</v>
      </c>
      <c r="W355" s="221" t="str">
        <f>IFERROR(VLOOKUP(V355,TD!$N$34:$O$46,2,0)," ")</f>
        <v>Servicio de atención a emergencias y desastres</v>
      </c>
      <c r="X355" s="222" t="str">
        <f t="shared" si="22"/>
        <v>004_Servicio de atención a emergencias y desastres</v>
      </c>
      <c r="Y355" s="222" t="str">
        <f t="shared" si="23"/>
        <v>04-Servicio de atención a incidentes y emergencias. 004_Servicio de atención a emergencias y desastres</v>
      </c>
      <c r="Z355" s="221" t="str">
        <f t="shared" si="24"/>
        <v>O23011745032024025504004</v>
      </c>
      <c r="AA355" s="221" t="str">
        <f>IFERROR(VLOOKUP(Y355,TD!$K$47:$L$65,2,0)," ")</f>
        <v>PM/0131/0104/45030040255</v>
      </c>
      <c r="AB355" s="53" t="s">
        <v>138</v>
      </c>
      <c r="AC355" s="223" t="s">
        <v>204</v>
      </c>
    </row>
    <row r="356" spans="2:29" s="28" customFormat="1" ht="99" customHeight="1" x14ac:dyDescent="0.35">
      <c r="B356" s="77">
        <v>20250328</v>
      </c>
      <c r="C356" s="50" t="s">
        <v>209</v>
      </c>
      <c r="D356" s="218" t="s">
        <v>169</v>
      </c>
      <c r="E356" s="219" t="s">
        <v>466</v>
      </c>
      <c r="F356" s="218" t="s">
        <v>537</v>
      </c>
      <c r="G356" s="218" t="s">
        <v>155</v>
      </c>
      <c r="H356" s="93">
        <v>80111600</v>
      </c>
      <c r="I356" s="220">
        <v>2</v>
      </c>
      <c r="J356" s="220">
        <v>10</v>
      </c>
      <c r="K356" s="52">
        <v>0</v>
      </c>
      <c r="L356" s="53">
        <v>74550000</v>
      </c>
      <c r="M356" s="218" t="s">
        <v>465</v>
      </c>
      <c r="N356" s="53" t="s">
        <v>113</v>
      </c>
      <c r="O356" s="219" t="s">
        <v>222</v>
      </c>
      <c r="P356" s="221" t="str">
        <f>IFERROR(VLOOKUP(C356,TD!$B$33:$F$37,2,0)," ")</f>
        <v>O230117</v>
      </c>
      <c r="Q356" s="221" t="str">
        <f>IFERROR(VLOOKUP(C356,TD!$B$33:$F$37,3,0)," ")</f>
        <v>4503</v>
      </c>
      <c r="R356" s="221">
        <f>IFERROR(VLOOKUP(C356,TD!$B$33:$F$37,4,0)," ")</f>
        <v>20240255</v>
      </c>
      <c r="S356" s="219" t="s">
        <v>175</v>
      </c>
      <c r="T356" s="221" t="str">
        <f>IFERROR(VLOOKUP(S356,TD!$J$34:$K$44,2,0)," ")</f>
        <v>Servicio de atención a incidentes y emergencias.</v>
      </c>
      <c r="U356" s="222" t="str">
        <f t="shared" si="21"/>
        <v>04-Servicio de atención a incidentes y emergencias.</v>
      </c>
      <c r="V356" s="219" t="s">
        <v>232</v>
      </c>
      <c r="W356" s="221" t="str">
        <f>IFERROR(VLOOKUP(V356,TD!$N$34:$O$46,2,0)," ")</f>
        <v>Servicio de atención a emergencias y desastres</v>
      </c>
      <c r="X356" s="222" t="str">
        <f t="shared" si="22"/>
        <v>004_Servicio de atención a emergencias y desastres</v>
      </c>
      <c r="Y356" s="222" t="str">
        <f t="shared" si="23"/>
        <v>04-Servicio de atención a incidentes y emergencias. 004_Servicio de atención a emergencias y desastres</v>
      </c>
      <c r="Z356" s="221" t="str">
        <f t="shared" si="24"/>
        <v>O23011745032024025504004</v>
      </c>
      <c r="AA356" s="221" t="str">
        <f>IFERROR(VLOOKUP(Y356,TD!$K$47:$L$65,2,0)," ")</f>
        <v>PM/0131/0104/45030040255</v>
      </c>
      <c r="AB356" s="53" t="s">
        <v>138</v>
      </c>
      <c r="AC356" s="223" t="s">
        <v>204</v>
      </c>
    </row>
    <row r="357" spans="2:29" s="28" customFormat="1" ht="99" customHeight="1" x14ac:dyDescent="0.35">
      <c r="B357" s="77">
        <v>20250329</v>
      </c>
      <c r="C357" s="50" t="s">
        <v>209</v>
      </c>
      <c r="D357" s="218" t="s">
        <v>169</v>
      </c>
      <c r="E357" s="219" t="s">
        <v>466</v>
      </c>
      <c r="F357" s="218" t="s">
        <v>538</v>
      </c>
      <c r="G357" s="218" t="s">
        <v>155</v>
      </c>
      <c r="H357" s="93">
        <v>80111600</v>
      </c>
      <c r="I357" s="220">
        <v>2</v>
      </c>
      <c r="J357" s="220">
        <v>10</v>
      </c>
      <c r="K357" s="52">
        <v>0</v>
      </c>
      <c r="L357" s="53">
        <v>65000000</v>
      </c>
      <c r="M357" s="218" t="s">
        <v>465</v>
      </c>
      <c r="N357" s="53" t="s">
        <v>113</v>
      </c>
      <c r="O357" s="219" t="s">
        <v>222</v>
      </c>
      <c r="P357" s="221" t="str">
        <f>IFERROR(VLOOKUP(C357,TD!$B$33:$F$37,2,0)," ")</f>
        <v>O230117</v>
      </c>
      <c r="Q357" s="221" t="str">
        <f>IFERROR(VLOOKUP(C357,TD!$B$33:$F$37,3,0)," ")</f>
        <v>4503</v>
      </c>
      <c r="R357" s="221">
        <f>IFERROR(VLOOKUP(C357,TD!$B$33:$F$37,4,0)," ")</f>
        <v>20240255</v>
      </c>
      <c r="S357" s="219" t="s">
        <v>175</v>
      </c>
      <c r="T357" s="221" t="str">
        <f>IFERROR(VLOOKUP(S357,TD!$J$34:$K$44,2,0)," ")</f>
        <v>Servicio de atención a incidentes y emergencias.</v>
      </c>
      <c r="U357" s="222" t="str">
        <f t="shared" si="21"/>
        <v>04-Servicio de atención a incidentes y emergencias.</v>
      </c>
      <c r="V357" s="219" t="s">
        <v>232</v>
      </c>
      <c r="W357" s="221" t="str">
        <f>IFERROR(VLOOKUP(V357,TD!$N$34:$O$46,2,0)," ")</f>
        <v>Servicio de atención a emergencias y desastres</v>
      </c>
      <c r="X357" s="222" t="str">
        <f t="shared" si="22"/>
        <v>004_Servicio de atención a emergencias y desastres</v>
      </c>
      <c r="Y357" s="222" t="str">
        <f t="shared" si="23"/>
        <v>04-Servicio de atención a incidentes y emergencias. 004_Servicio de atención a emergencias y desastres</v>
      </c>
      <c r="Z357" s="221" t="str">
        <f t="shared" si="24"/>
        <v>O23011745032024025504004</v>
      </c>
      <c r="AA357" s="221" t="str">
        <f>IFERROR(VLOOKUP(Y357,TD!$K$47:$L$65,2,0)," ")</f>
        <v>PM/0131/0104/45030040255</v>
      </c>
      <c r="AB357" s="53" t="s">
        <v>138</v>
      </c>
      <c r="AC357" s="223" t="s">
        <v>204</v>
      </c>
    </row>
    <row r="358" spans="2:29" s="28" customFormat="1" ht="99" customHeight="1" x14ac:dyDescent="0.35">
      <c r="B358" s="77">
        <v>20250330</v>
      </c>
      <c r="C358" s="50" t="s">
        <v>209</v>
      </c>
      <c r="D358" s="218" t="s">
        <v>169</v>
      </c>
      <c r="E358" s="219" t="s">
        <v>466</v>
      </c>
      <c r="F358" s="218" t="s">
        <v>539</v>
      </c>
      <c r="G358" s="218" t="s">
        <v>155</v>
      </c>
      <c r="H358" s="93">
        <v>80111600</v>
      </c>
      <c r="I358" s="220">
        <v>3</v>
      </c>
      <c r="J358" s="220">
        <v>9</v>
      </c>
      <c r="K358" s="52">
        <v>0</v>
      </c>
      <c r="L358" s="53">
        <v>63000000</v>
      </c>
      <c r="M358" s="218" t="s">
        <v>465</v>
      </c>
      <c r="N358" s="53" t="s">
        <v>113</v>
      </c>
      <c r="O358" s="219" t="s">
        <v>222</v>
      </c>
      <c r="P358" s="221" t="str">
        <f>IFERROR(VLOOKUP(C358,TD!$B$33:$F$37,2,0)," ")</f>
        <v>O230117</v>
      </c>
      <c r="Q358" s="221" t="str">
        <f>IFERROR(VLOOKUP(C358,TD!$B$33:$F$37,3,0)," ")</f>
        <v>4503</v>
      </c>
      <c r="R358" s="221">
        <f>IFERROR(VLOOKUP(C358,TD!$B$33:$F$37,4,0)," ")</f>
        <v>20240255</v>
      </c>
      <c r="S358" s="219" t="s">
        <v>175</v>
      </c>
      <c r="T358" s="221" t="str">
        <f>IFERROR(VLOOKUP(S358,TD!$J$34:$K$44,2,0)," ")</f>
        <v>Servicio de atención a incidentes y emergencias.</v>
      </c>
      <c r="U358" s="222" t="str">
        <f t="shared" si="21"/>
        <v>04-Servicio de atención a incidentes y emergencias.</v>
      </c>
      <c r="V358" s="219" t="s">
        <v>232</v>
      </c>
      <c r="W358" s="221" t="str">
        <f>IFERROR(VLOOKUP(V358,TD!$N$34:$O$46,2,0)," ")</f>
        <v>Servicio de atención a emergencias y desastres</v>
      </c>
      <c r="X358" s="222" t="str">
        <f t="shared" si="22"/>
        <v>004_Servicio de atención a emergencias y desastres</v>
      </c>
      <c r="Y358" s="222" t="str">
        <f t="shared" si="23"/>
        <v>04-Servicio de atención a incidentes y emergencias. 004_Servicio de atención a emergencias y desastres</v>
      </c>
      <c r="Z358" s="221" t="str">
        <f t="shared" si="24"/>
        <v>O23011745032024025504004</v>
      </c>
      <c r="AA358" s="221" t="str">
        <f>IFERROR(VLOOKUP(Y358,TD!$K$47:$L$65,2,0)," ")</f>
        <v>PM/0131/0104/45030040255</v>
      </c>
      <c r="AB358" s="53" t="s">
        <v>138</v>
      </c>
      <c r="AC358" s="223" t="s">
        <v>204</v>
      </c>
    </row>
    <row r="359" spans="2:29" s="28" customFormat="1" ht="99" customHeight="1" x14ac:dyDescent="0.35">
      <c r="B359" s="77">
        <v>20250331</v>
      </c>
      <c r="C359" s="50" t="s">
        <v>209</v>
      </c>
      <c r="D359" s="218" t="s">
        <v>169</v>
      </c>
      <c r="E359" s="219" t="s">
        <v>466</v>
      </c>
      <c r="F359" s="218" t="s">
        <v>540</v>
      </c>
      <c r="G359" s="218" t="s">
        <v>155</v>
      </c>
      <c r="H359" s="93">
        <v>80111600</v>
      </c>
      <c r="I359" s="220">
        <v>2</v>
      </c>
      <c r="J359" s="220">
        <v>10</v>
      </c>
      <c r="K359" s="52">
        <v>0</v>
      </c>
      <c r="L359" s="53">
        <v>70000000</v>
      </c>
      <c r="M359" s="218" t="s">
        <v>465</v>
      </c>
      <c r="N359" s="53" t="s">
        <v>113</v>
      </c>
      <c r="O359" s="219" t="s">
        <v>222</v>
      </c>
      <c r="P359" s="221" t="str">
        <f>IFERROR(VLOOKUP(C359,TD!$B$33:$F$37,2,0)," ")</f>
        <v>O230117</v>
      </c>
      <c r="Q359" s="221" t="str">
        <f>IFERROR(VLOOKUP(C359,TD!$B$33:$F$37,3,0)," ")</f>
        <v>4503</v>
      </c>
      <c r="R359" s="221">
        <f>IFERROR(VLOOKUP(C359,TD!$B$33:$F$37,4,0)," ")</f>
        <v>20240255</v>
      </c>
      <c r="S359" s="219" t="s">
        <v>175</v>
      </c>
      <c r="T359" s="221" t="str">
        <f>IFERROR(VLOOKUP(S359,TD!$J$34:$K$44,2,0)," ")</f>
        <v>Servicio de atención a incidentes y emergencias.</v>
      </c>
      <c r="U359" s="222" t="str">
        <f t="shared" si="21"/>
        <v>04-Servicio de atención a incidentes y emergencias.</v>
      </c>
      <c r="V359" s="219" t="s">
        <v>232</v>
      </c>
      <c r="W359" s="221" t="str">
        <f>IFERROR(VLOOKUP(V359,TD!$N$34:$O$46,2,0)," ")</f>
        <v>Servicio de atención a emergencias y desastres</v>
      </c>
      <c r="X359" s="222" t="str">
        <f t="shared" si="22"/>
        <v>004_Servicio de atención a emergencias y desastres</v>
      </c>
      <c r="Y359" s="222" t="str">
        <f t="shared" si="23"/>
        <v>04-Servicio de atención a incidentes y emergencias. 004_Servicio de atención a emergencias y desastres</v>
      </c>
      <c r="Z359" s="221" t="str">
        <f t="shared" si="24"/>
        <v>O23011745032024025504004</v>
      </c>
      <c r="AA359" s="221" t="str">
        <f>IFERROR(VLOOKUP(Y359,TD!$K$47:$L$65,2,0)," ")</f>
        <v>PM/0131/0104/45030040255</v>
      </c>
      <c r="AB359" s="53" t="s">
        <v>138</v>
      </c>
      <c r="AC359" s="223" t="s">
        <v>204</v>
      </c>
    </row>
    <row r="360" spans="2:29" s="108" customFormat="1" ht="99" customHeight="1" x14ac:dyDescent="0.35">
      <c r="B360" s="77">
        <v>20250332</v>
      </c>
      <c r="C360" s="50" t="s">
        <v>209</v>
      </c>
      <c r="D360" s="218" t="s">
        <v>169</v>
      </c>
      <c r="E360" s="219" t="s">
        <v>466</v>
      </c>
      <c r="F360" s="218" t="s">
        <v>853</v>
      </c>
      <c r="G360" s="218" t="s">
        <v>155</v>
      </c>
      <c r="H360" s="93">
        <v>80111600</v>
      </c>
      <c r="I360" s="220">
        <v>3</v>
      </c>
      <c r="J360" s="220">
        <v>10</v>
      </c>
      <c r="K360" s="52">
        <v>0</v>
      </c>
      <c r="L360" s="53">
        <v>94683333</v>
      </c>
      <c r="M360" s="218" t="s">
        <v>465</v>
      </c>
      <c r="N360" s="53" t="s">
        <v>113</v>
      </c>
      <c r="O360" s="219" t="s">
        <v>222</v>
      </c>
      <c r="P360" s="221" t="str">
        <f>IFERROR(VLOOKUP(C360,TD!$B$33:$F$37,2,0)," ")</f>
        <v>O230117</v>
      </c>
      <c r="Q360" s="221" t="str">
        <f>IFERROR(VLOOKUP(C360,TD!$B$33:$F$37,3,0)," ")</f>
        <v>4503</v>
      </c>
      <c r="R360" s="221">
        <f>IFERROR(VLOOKUP(C360,TD!$B$33:$F$37,4,0)," ")</f>
        <v>20240255</v>
      </c>
      <c r="S360" s="219" t="s">
        <v>175</v>
      </c>
      <c r="T360" s="221" t="str">
        <f>IFERROR(VLOOKUP(S360,TD!$J$34:$K$44,2,0)," ")</f>
        <v>Servicio de atención a incidentes y emergencias.</v>
      </c>
      <c r="U360" s="222" t="str">
        <f t="shared" si="21"/>
        <v>04-Servicio de atención a incidentes y emergencias.</v>
      </c>
      <c r="V360" s="219" t="s">
        <v>232</v>
      </c>
      <c r="W360" s="221" t="str">
        <f>IFERROR(VLOOKUP(V360,TD!$N$34:$O$46,2,0)," ")</f>
        <v>Servicio de atención a emergencias y desastres</v>
      </c>
      <c r="X360" s="222" t="str">
        <f t="shared" si="22"/>
        <v>004_Servicio de atención a emergencias y desastres</v>
      </c>
      <c r="Y360" s="222" t="str">
        <f t="shared" si="23"/>
        <v>04-Servicio de atención a incidentes y emergencias. 004_Servicio de atención a emergencias y desastres</v>
      </c>
      <c r="Z360" s="221" t="str">
        <f t="shared" si="24"/>
        <v>O23011745032024025504004</v>
      </c>
      <c r="AA360" s="221" t="str">
        <f>IFERROR(VLOOKUP(Y360,TD!$K$47:$L$65,2,0)," ")</f>
        <v>PM/0131/0104/45030040255</v>
      </c>
      <c r="AB360" s="53" t="s">
        <v>138</v>
      </c>
      <c r="AC360" s="223" t="s">
        <v>204</v>
      </c>
    </row>
    <row r="361" spans="2:29" s="108" customFormat="1" ht="99" customHeight="1" x14ac:dyDescent="0.35">
      <c r="B361" s="77">
        <v>20250333</v>
      </c>
      <c r="C361" s="50" t="s">
        <v>209</v>
      </c>
      <c r="D361" s="218" t="s">
        <v>169</v>
      </c>
      <c r="E361" s="219" t="s">
        <v>466</v>
      </c>
      <c r="F361" s="218" t="s">
        <v>541</v>
      </c>
      <c r="G361" s="218" t="s">
        <v>155</v>
      </c>
      <c r="H361" s="93">
        <v>80111600</v>
      </c>
      <c r="I361" s="220">
        <v>2</v>
      </c>
      <c r="J361" s="220">
        <v>10</v>
      </c>
      <c r="K361" s="52">
        <v>0</v>
      </c>
      <c r="L361" s="53">
        <v>55000000</v>
      </c>
      <c r="M361" s="218" t="s">
        <v>465</v>
      </c>
      <c r="N361" s="53" t="s">
        <v>113</v>
      </c>
      <c r="O361" s="219" t="s">
        <v>222</v>
      </c>
      <c r="P361" s="221" t="str">
        <f>IFERROR(VLOOKUP(C361,TD!$B$33:$F$37,2,0)," ")</f>
        <v>O230117</v>
      </c>
      <c r="Q361" s="221" t="str">
        <f>IFERROR(VLOOKUP(C361,TD!$B$33:$F$37,3,0)," ")</f>
        <v>4503</v>
      </c>
      <c r="R361" s="221">
        <f>IFERROR(VLOOKUP(C361,TD!$B$33:$F$37,4,0)," ")</f>
        <v>20240255</v>
      </c>
      <c r="S361" s="219" t="s">
        <v>175</v>
      </c>
      <c r="T361" s="221" t="str">
        <f>IFERROR(VLOOKUP(S361,TD!$J$34:$K$44,2,0)," ")</f>
        <v>Servicio de atención a incidentes y emergencias.</v>
      </c>
      <c r="U361" s="222" t="str">
        <f t="shared" si="21"/>
        <v>04-Servicio de atención a incidentes y emergencias.</v>
      </c>
      <c r="V361" s="219" t="s">
        <v>232</v>
      </c>
      <c r="W361" s="221" t="str">
        <f>IFERROR(VLOOKUP(V361,TD!$N$34:$O$46,2,0)," ")</f>
        <v>Servicio de atención a emergencias y desastres</v>
      </c>
      <c r="X361" s="222" t="str">
        <f t="shared" si="22"/>
        <v>004_Servicio de atención a emergencias y desastres</v>
      </c>
      <c r="Y361" s="222" t="str">
        <f t="shared" si="23"/>
        <v>04-Servicio de atención a incidentes y emergencias. 004_Servicio de atención a emergencias y desastres</v>
      </c>
      <c r="Z361" s="221" t="str">
        <f t="shared" si="24"/>
        <v>O23011745032024025504004</v>
      </c>
      <c r="AA361" s="221" t="str">
        <f>IFERROR(VLOOKUP(Y361,TD!$K$47:$L$65,2,0)," ")</f>
        <v>PM/0131/0104/45030040255</v>
      </c>
      <c r="AB361" s="53" t="s">
        <v>138</v>
      </c>
      <c r="AC361" s="223" t="s">
        <v>204</v>
      </c>
    </row>
    <row r="362" spans="2:29" s="108" customFormat="1" ht="99" customHeight="1" x14ac:dyDescent="0.35">
      <c r="B362" s="77">
        <v>20250334</v>
      </c>
      <c r="C362" s="50" t="s">
        <v>209</v>
      </c>
      <c r="D362" s="218" t="s">
        <v>169</v>
      </c>
      <c r="E362" s="219" t="s">
        <v>466</v>
      </c>
      <c r="F362" s="218" t="s">
        <v>845</v>
      </c>
      <c r="G362" s="218" t="s">
        <v>155</v>
      </c>
      <c r="H362" s="93">
        <v>80111600</v>
      </c>
      <c r="I362" s="220">
        <v>3</v>
      </c>
      <c r="J362" s="220">
        <v>9</v>
      </c>
      <c r="K362" s="52">
        <v>15</v>
      </c>
      <c r="L362" s="53">
        <v>66500000</v>
      </c>
      <c r="M362" s="218" t="s">
        <v>465</v>
      </c>
      <c r="N362" s="53" t="s">
        <v>113</v>
      </c>
      <c r="O362" s="219" t="s">
        <v>222</v>
      </c>
      <c r="P362" s="221" t="str">
        <f>IFERROR(VLOOKUP(C362,TD!$B$33:$F$37,2,0)," ")</f>
        <v>O230117</v>
      </c>
      <c r="Q362" s="221" t="str">
        <f>IFERROR(VLOOKUP(C362,TD!$B$33:$F$37,3,0)," ")</f>
        <v>4503</v>
      </c>
      <c r="R362" s="221">
        <f>IFERROR(VLOOKUP(C362,TD!$B$33:$F$37,4,0)," ")</f>
        <v>20240255</v>
      </c>
      <c r="S362" s="219" t="s">
        <v>175</v>
      </c>
      <c r="T362" s="221" t="str">
        <f>IFERROR(VLOOKUP(S362,TD!$J$34:$K$44,2,0)," ")</f>
        <v>Servicio de atención a incidentes y emergencias.</v>
      </c>
      <c r="U362" s="222" t="str">
        <f t="shared" si="21"/>
        <v>04-Servicio de atención a incidentes y emergencias.</v>
      </c>
      <c r="V362" s="219" t="s">
        <v>232</v>
      </c>
      <c r="W362" s="221" t="str">
        <f>IFERROR(VLOOKUP(V362,TD!$N$34:$O$46,2,0)," ")</f>
        <v>Servicio de atención a emergencias y desastres</v>
      </c>
      <c r="X362" s="222" t="str">
        <f t="shared" si="22"/>
        <v>004_Servicio de atención a emergencias y desastres</v>
      </c>
      <c r="Y362" s="222" t="str">
        <f t="shared" si="23"/>
        <v>04-Servicio de atención a incidentes y emergencias. 004_Servicio de atención a emergencias y desastres</v>
      </c>
      <c r="Z362" s="221" t="str">
        <f t="shared" si="24"/>
        <v>O23011745032024025504004</v>
      </c>
      <c r="AA362" s="221" t="str">
        <f>IFERROR(VLOOKUP(Y362,TD!$K$47:$L$65,2,0)," ")</f>
        <v>PM/0131/0104/45030040255</v>
      </c>
      <c r="AB362" s="53" t="s">
        <v>138</v>
      </c>
      <c r="AC362" s="223" t="s">
        <v>204</v>
      </c>
    </row>
    <row r="363" spans="2:29" s="108" customFormat="1" ht="99" customHeight="1" x14ac:dyDescent="0.35">
      <c r="B363" s="77">
        <v>20250335</v>
      </c>
      <c r="C363" s="50" t="s">
        <v>209</v>
      </c>
      <c r="D363" s="218" t="s">
        <v>169</v>
      </c>
      <c r="E363" s="219" t="s">
        <v>466</v>
      </c>
      <c r="F363" s="218" t="s">
        <v>542</v>
      </c>
      <c r="G363" s="218" t="s">
        <v>155</v>
      </c>
      <c r="H363" s="93">
        <v>80111600</v>
      </c>
      <c r="I363" s="220">
        <v>2</v>
      </c>
      <c r="J363" s="220">
        <v>10</v>
      </c>
      <c r="K363" s="52">
        <v>15</v>
      </c>
      <c r="L363" s="53">
        <v>50000000</v>
      </c>
      <c r="M363" s="218" t="s">
        <v>465</v>
      </c>
      <c r="N363" s="53" t="s">
        <v>113</v>
      </c>
      <c r="O363" s="219" t="s">
        <v>222</v>
      </c>
      <c r="P363" s="221" t="str">
        <f>IFERROR(VLOOKUP(C363,TD!$B$33:$F$37,2,0)," ")</f>
        <v>O230117</v>
      </c>
      <c r="Q363" s="221" t="str">
        <f>IFERROR(VLOOKUP(C363,TD!$B$33:$F$37,3,0)," ")</f>
        <v>4503</v>
      </c>
      <c r="R363" s="221">
        <f>IFERROR(VLOOKUP(C363,TD!$B$33:$F$37,4,0)," ")</f>
        <v>20240255</v>
      </c>
      <c r="S363" s="219" t="s">
        <v>175</v>
      </c>
      <c r="T363" s="221" t="str">
        <f>IFERROR(VLOOKUP(S363,TD!$J$34:$K$44,2,0)," ")</f>
        <v>Servicio de atención a incidentes y emergencias.</v>
      </c>
      <c r="U363" s="222" t="str">
        <f t="shared" si="21"/>
        <v>04-Servicio de atención a incidentes y emergencias.</v>
      </c>
      <c r="V363" s="219" t="s">
        <v>232</v>
      </c>
      <c r="W363" s="221" t="str">
        <f>IFERROR(VLOOKUP(V363,TD!$N$34:$O$46,2,0)," ")</f>
        <v>Servicio de atención a emergencias y desastres</v>
      </c>
      <c r="X363" s="222" t="str">
        <f t="shared" si="22"/>
        <v>004_Servicio de atención a emergencias y desastres</v>
      </c>
      <c r="Y363" s="222" t="str">
        <f t="shared" si="23"/>
        <v>04-Servicio de atención a incidentes y emergencias. 004_Servicio de atención a emergencias y desastres</v>
      </c>
      <c r="Z363" s="221" t="str">
        <f t="shared" si="24"/>
        <v>O23011745032024025504004</v>
      </c>
      <c r="AA363" s="221" t="str">
        <f>IFERROR(VLOOKUP(Y363,TD!$K$47:$L$65,2,0)," ")</f>
        <v>PM/0131/0104/45030040255</v>
      </c>
      <c r="AB363" s="53" t="s">
        <v>138</v>
      </c>
      <c r="AC363" s="223" t="s">
        <v>204</v>
      </c>
    </row>
    <row r="364" spans="2:29" s="108" customFormat="1" ht="99" customHeight="1" x14ac:dyDescent="0.35">
      <c r="B364" s="77">
        <v>20250336</v>
      </c>
      <c r="C364" s="50" t="s">
        <v>209</v>
      </c>
      <c r="D364" s="218" t="s">
        <v>169</v>
      </c>
      <c r="E364" s="219" t="s">
        <v>466</v>
      </c>
      <c r="F364" s="218" t="s">
        <v>543</v>
      </c>
      <c r="G364" s="218" t="s">
        <v>155</v>
      </c>
      <c r="H364" s="93">
        <v>80111600</v>
      </c>
      <c r="I364" s="220">
        <v>2</v>
      </c>
      <c r="J364" s="220">
        <v>9</v>
      </c>
      <c r="K364" s="52">
        <v>0</v>
      </c>
      <c r="L364" s="53">
        <v>63000000</v>
      </c>
      <c r="M364" s="218" t="s">
        <v>465</v>
      </c>
      <c r="N364" s="53" t="s">
        <v>113</v>
      </c>
      <c r="O364" s="219" t="s">
        <v>222</v>
      </c>
      <c r="P364" s="221" t="str">
        <f>IFERROR(VLOOKUP(C364,TD!$B$33:$F$37,2,0)," ")</f>
        <v>O230117</v>
      </c>
      <c r="Q364" s="221" t="str">
        <f>IFERROR(VLOOKUP(C364,TD!$B$33:$F$37,3,0)," ")</f>
        <v>4503</v>
      </c>
      <c r="R364" s="221">
        <f>IFERROR(VLOOKUP(C364,TD!$B$33:$F$37,4,0)," ")</f>
        <v>20240255</v>
      </c>
      <c r="S364" s="219" t="s">
        <v>175</v>
      </c>
      <c r="T364" s="221" t="str">
        <f>IFERROR(VLOOKUP(S364,TD!$J$34:$K$44,2,0)," ")</f>
        <v>Servicio de atención a incidentes y emergencias.</v>
      </c>
      <c r="U364" s="222" t="str">
        <f t="shared" si="21"/>
        <v>04-Servicio de atención a incidentes y emergencias.</v>
      </c>
      <c r="V364" s="219" t="s">
        <v>232</v>
      </c>
      <c r="W364" s="221" t="str">
        <f>IFERROR(VLOOKUP(V364,TD!$N$34:$O$46,2,0)," ")</f>
        <v>Servicio de atención a emergencias y desastres</v>
      </c>
      <c r="X364" s="222" t="str">
        <f t="shared" si="22"/>
        <v>004_Servicio de atención a emergencias y desastres</v>
      </c>
      <c r="Y364" s="222" t="str">
        <f t="shared" si="23"/>
        <v>04-Servicio de atención a incidentes y emergencias. 004_Servicio de atención a emergencias y desastres</v>
      </c>
      <c r="Z364" s="221" t="str">
        <f t="shared" si="24"/>
        <v>O23011745032024025504004</v>
      </c>
      <c r="AA364" s="221" t="str">
        <f>IFERROR(VLOOKUP(Y364,TD!$K$47:$L$65,2,0)," ")</f>
        <v>PM/0131/0104/45030040255</v>
      </c>
      <c r="AB364" s="53" t="s">
        <v>138</v>
      </c>
      <c r="AC364" s="223" t="s">
        <v>204</v>
      </c>
    </row>
    <row r="365" spans="2:29" s="108" customFormat="1" ht="99" customHeight="1" x14ac:dyDescent="0.35">
      <c r="B365" s="77">
        <v>20250337</v>
      </c>
      <c r="C365" s="50" t="s">
        <v>209</v>
      </c>
      <c r="D365" s="218" t="s">
        <v>169</v>
      </c>
      <c r="E365" s="219" t="s">
        <v>466</v>
      </c>
      <c r="F365" s="218" t="s">
        <v>544</v>
      </c>
      <c r="G365" s="218" t="s">
        <v>155</v>
      </c>
      <c r="H365" s="93">
        <v>80111600</v>
      </c>
      <c r="I365" s="220">
        <v>2</v>
      </c>
      <c r="J365" s="220">
        <v>10</v>
      </c>
      <c r="K365" s="52">
        <v>0</v>
      </c>
      <c r="L365" s="53">
        <v>65000000</v>
      </c>
      <c r="M365" s="218" t="s">
        <v>465</v>
      </c>
      <c r="N365" s="53" t="s">
        <v>113</v>
      </c>
      <c r="O365" s="219" t="s">
        <v>222</v>
      </c>
      <c r="P365" s="221" t="str">
        <f>IFERROR(VLOOKUP(C365,TD!$B$33:$F$37,2,0)," ")</f>
        <v>O230117</v>
      </c>
      <c r="Q365" s="221" t="str">
        <f>IFERROR(VLOOKUP(C365,TD!$B$33:$F$37,3,0)," ")</f>
        <v>4503</v>
      </c>
      <c r="R365" s="221">
        <f>IFERROR(VLOOKUP(C365,TD!$B$33:$F$37,4,0)," ")</f>
        <v>20240255</v>
      </c>
      <c r="S365" s="219" t="s">
        <v>175</v>
      </c>
      <c r="T365" s="221" t="str">
        <f>IFERROR(VLOOKUP(S365,TD!$J$34:$K$44,2,0)," ")</f>
        <v>Servicio de atención a incidentes y emergencias.</v>
      </c>
      <c r="U365" s="222" t="str">
        <f t="shared" si="21"/>
        <v>04-Servicio de atención a incidentes y emergencias.</v>
      </c>
      <c r="V365" s="219" t="s">
        <v>232</v>
      </c>
      <c r="W365" s="221" t="str">
        <f>IFERROR(VLOOKUP(V365,TD!$N$34:$O$46,2,0)," ")</f>
        <v>Servicio de atención a emergencias y desastres</v>
      </c>
      <c r="X365" s="222" t="str">
        <f t="shared" si="22"/>
        <v>004_Servicio de atención a emergencias y desastres</v>
      </c>
      <c r="Y365" s="222" t="str">
        <f t="shared" si="23"/>
        <v>04-Servicio de atención a incidentes y emergencias. 004_Servicio de atención a emergencias y desastres</v>
      </c>
      <c r="Z365" s="221" t="str">
        <f t="shared" si="24"/>
        <v>O23011745032024025504004</v>
      </c>
      <c r="AA365" s="221" t="str">
        <f>IFERROR(VLOOKUP(Y365,TD!$K$47:$L$65,2,0)," ")</f>
        <v>PM/0131/0104/45030040255</v>
      </c>
      <c r="AB365" s="53" t="s">
        <v>138</v>
      </c>
      <c r="AC365" s="223" t="s">
        <v>204</v>
      </c>
    </row>
    <row r="366" spans="2:29" s="28" customFormat="1" ht="99" customHeight="1" x14ac:dyDescent="0.35">
      <c r="B366" s="77">
        <v>20250338</v>
      </c>
      <c r="C366" s="50" t="s">
        <v>209</v>
      </c>
      <c r="D366" s="218" t="s">
        <v>169</v>
      </c>
      <c r="E366" s="219" t="s">
        <v>466</v>
      </c>
      <c r="F366" s="218" t="s">
        <v>545</v>
      </c>
      <c r="G366" s="218" t="s">
        <v>155</v>
      </c>
      <c r="H366" s="93">
        <v>80111600</v>
      </c>
      <c r="I366" s="220">
        <v>3</v>
      </c>
      <c r="J366" s="220">
        <v>4</v>
      </c>
      <c r="K366" s="52">
        <v>0</v>
      </c>
      <c r="L366" s="53">
        <v>19200000</v>
      </c>
      <c r="M366" s="218" t="s">
        <v>465</v>
      </c>
      <c r="N366" s="53" t="s">
        <v>113</v>
      </c>
      <c r="O366" s="219" t="s">
        <v>222</v>
      </c>
      <c r="P366" s="221" t="str">
        <f>IFERROR(VLOOKUP(C366,TD!$B$33:$F$37,2,0)," ")</f>
        <v>O230117</v>
      </c>
      <c r="Q366" s="221" t="str">
        <f>IFERROR(VLOOKUP(C366,TD!$B$33:$F$37,3,0)," ")</f>
        <v>4503</v>
      </c>
      <c r="R366" s="221">
        <f>IFERROR(VLOOKUP(C366,TD!$B$33:$F$37,4,0)," ")</f>
        <v>20240255</v>
      </c>
      <c r="S366" s="219" t="s">
        <v>175</v>
      </c>
      <c r="T366" s="221" t="str">
        <f>IFERROR(VLOOKUP(S366,TD!$J$34:$K$44,2,0)," ")</f>
        <v>Servicio de atención a incidentes y emergencias.</v>
      </c>
      <c r="U366" s="222" t="str">
        <f t="shared" si="21"/>
        <v>04-Servicio de atención a incidentes y emergencias.</v>
      </c>
      <c r="V366" s="219" t="s">
        <v>232</v>
      </c>
      <c r="W366" s="221" t="str">
        <f>IFERROR(VLOOKUP(V366,TD!$N$34:$O$46,2,0)," ")</f>
        <v>Servicio de atención a emergencias y desastres</v>
      </c>
      <c r="X366" s="222" t="str">
        <f t="shared" si="22"/>
        <v>004_Servicio de atención a emergencias y desastres</v>
      </c>
      <c r="Y366" s="222" t="str">
        <f t="shared" si="23"/>
        <v>04-Servicio de atención a incidentes y emergencias. 004_Servicio de atención a emergencias y desastres</v>
      </c>
      <c r="Z366" s="221" t="str">
        <f t="shared" si="24"/>
        <v>O23011745032024025504004</v>
      </c>
      <c r="AA366" s="221" t="str">
        <f>IFERROR(VLOOKUP(Y366,TD!$K$47:$L$65,2,0)," ")</f>
        <v>PM/0131/0104/45030040255</v>
      </c>
      <c r="AB366" s="53" t="s">
        <v>138</v>
      </c>
      <c r="AC366" s="223" t="s">
        <v>204</v>
      </c>
    </row>
    <row r="367" spans="2:29" s="108" customFormat="1" ht="99" customHeight="1" x14ac:dyDescent="0.35">
      <c r="B367" s="77">
        <v>20250339</v>
      </c>
      <c r="C367" s="50" t="s">
        <v>209</v>
      </c>
      <c r="D367" s="218" t="s">
        <v>169</v>
      </c>
      <c r="E367" s="219" t="s">
        <v>466</v>
      </c>
      <c r="F367" s="218" t="s">
        <v>546</v>
      </c>
      <c r="G367" s="218" t="s">
        <v>155</v>
      </c>
      <c r="H367" s="93">
        <v>80111600</v>
      </c>
      <c r="I367" s="220">
        <v>3</v>
      </c>
      <c r="J367" s="220">
        <v>10</v>
      </c>
      <c r="K367" s="52">
        <v>0</v>
      </c>
      <c r="L367" s="53">
        <v>8932875</v>
      </c>
      <c r="M367" s="218" t="s">
        <v>465</v>
      </c>
      <c r="N367" s="53" t="s">
        <v>113</v>
      </c>
      <c r="O367" s="219" t="s">
        <v>222</v>
      </c>
      <c r="P367" s="221" t="str">
        <f>IFERROR(VLOOKUP(C367,TD!$B$33:$F$37,2,0)," ")</f>
        <v>O230117</v>
      </c>
      <c r="Q367" s="221" t="str">
        <f>IFERROR(VLOOKUP(C367,TD!$B$33:$F$37,3,0)," ")</f>
        <v>4503</v>
      </c>
      <c r="R367" s="221">
        <f>IFERROR(VLOOKUP(C367,TD!$B$33:$F$37,4,0)," ")</f>
        <v>20240255</v>
      </c>
      <c r="S367" s="219" t="s">
        <v>175</v>
      </c>
      <c r="T367" s="221" t="str">
        <f>IFERROR(VLOOKUP(S367,TD!$J$34:$K$44,2,0)," ")</f>
        <v>Servicio de atención a incidentes y emergencias.</v>
      </c>
      <c r="U367" s="222" t="str">
        <f t="shared" si="21"/>
        <v>04-Servicio de atención a incidentes y emergencias.</v>
      </c>
      <c r="V367" s="219" t="s">
        <v>232</v>
      </c>
      <c r="W367" s="221" t="str">
        <f>IFERROR(VLOOKUP(V367,TD!$N$34:$O$46,2,0)," ")</f>
        <v>Servicio de atención a emergencias y desastres</v>
      </c>
      <c r="X367" s="222" t="str">
        <f t="shared" si="22"/>
        <v>004_Servicio de atención a emergencias y desastres</v>
      </c>
      <c r="Y367" s="222" t="str">
        <f t="shared" si="23"/>
        <v>04-Servicio de atención a incidentes y emergencias. 004_Servicio de atención a emergencias y desastres</v>
      </c>
      <c r="Z367" s="221" t="str">
        <f t="shared" si="24"/>
        <v>O23011745032024025504004</v>
      </c>
      <c r="AA367" s="221" t="str">
        <f>IFERROR(VLOOKUP(Y367,TD!$K$47:$L$65,2,0)," ")</f>
        <v>PM/0131/0104/45030040255</v>
      </c>
      <c r="AB367" s="53" t="s">
        <v>138</v>
      </c>
      <c r="AC367" s="223" t="s">
        <v>204</v>
      </c>
    </row>
    <row r="368" spans="2:29" s="28" customFormat="1" ht="99" customHeight="1" x14ac:dyDescent="0.35">
      <c r="B368" s="77">
        <v>20250340</v>
      </c>
      <c r="C368" s="50" t="s">
        <v>209</v>
      </c>
      <c r="D368" s="218" t="s">
        <v>169</v>
      </c>
      <c r="E368" s="219" t="s">
        <v>466</v>
      </c>
      <c r="F368" s="218" t="s">
        <v>547</v>
      </c>
      <c r="G368" s="218" t="s">
        <v>155</v>
      </c>
      <c r="H368" s="93">
        <v>80111600</v>
      </c>
      <c r="I368" s="220">
        <v>2</v>
      </c>
      <c r="J368" s="220">
        <v>10</v>
      </c>
      <c r="K368" s="52">
        <v>0</v>
      </c>
      <c r="L368" s="53">
        <v>95000000</v>
      </c>
      <c r="M368" s="218" t="s">
        <v>465</v>
      </c>
      <c r="N368" s="53" t="s">
        <v>113</v>
      </c>
      <c r="O368" s="219" t="s">
        <v>222</v>
      </c>
      <c r="P368" s="221" t="str">
        <f>IFERROR(VLOOKUP(C368,TD!$B$33:$F$37,2,0)," ")</f>
        <v>O230117</v>
      </c>
      <c r="Q368" s="221" t="str">
        <f>IFERROR(VLOOKUP(C368,TD!$B$33:$F$37,3,0)," ")</f>
        <v>4503</v>
      </c>
      <c r="R368" s="221">
        <f>IFERROR(VLOOKUP(C368,TD!$B$33:$F$37,4,0)," ")</f>
        <v>20240255</v>
      </c>
      <c r="S368" s="219" t="s">
        <v>175</v>
      </c>
      <c r="T368" s="221" t="str">
        <f>IFERROR(VLOOKUP(S368,TD!$J$34:$K$44,2,0)," ")</f>
        <v>Servicio de atención a incidentes y emergencias.</v>
      </c>
      <c r="U368" s="222" t="str">
        <f t="shared" si="21"/>
        <v>04-Servicio de atención a incidentes y emergencias.</v>
      </c>
      <c r="V368" s="219" t="s">
        <v>232</v>
      </c>
      <c r="W368" s="221" t="str">
        <f>IFERROR(VLOOKUP(V368,TD!$N$34:$O$46,2,0)," ")</f>
        <v>Servicio de atención a emergencias y desastres</v>
      </c>
      <c r="X368" s="222" t="str">
        <f t="shared" si="22"/>
        <v>004_Servicio de atención a emergencias y desastres</v>
      </c>
      <c r="Y368" s="222" t="str">
        <f t="shared" si="23"/>
        <v>04-Servicio de atención a incidentes y emergencias. 004_Servicio de atención a emergencias y desastres</v>
      </c>
      <c r="Z368" s="221" t="str">
        <f t="shared" si="24"/>
        <v>O23011745032024025504004</v>
      </c>
      <c r="AA368" s="221" t="str">
        <f>IFERROR(VLOOKUP(Y368,TD!$K$47:$L$65,2,0)," ")</f>
        <v>PM/0131/0104/45030040255</v>
      </c>
      <c r="AB368" s="53" t="s">
        <v>138</v>
      </c>
      <c r="AC368" s="223" t="s">
        <v>204</v>
      </c>
    </row>
    <row r="369" spans="2:29" s="28" customFormat="1" ht="99" customHeight="1" x14ac:dyDescent="0.35">
      <c r="B369" s="77">
        <v>20250341</v>
      </c>
      <c r="C369" s="50" t="s">
        <v>209</v>
      </c>
      <c r="D369" s="218" t="s">
        <v>169</v>
      </c>
      <c r="E369" s="219" t="s">
        <v>466</v>
      </c>
      <c r="F369" s="218" t="s">
        <v>548</v>
      </c>
      <c r="G369" s="218" t="s">
        <v>155</v>
      </c>
      <c r="H369" s="93">
        <v>80111600</v>
      </c>
      <c r="I369" s="220">
        <v>2</v>
      </c>
      <c r="J369" s="220">
        <v>5</v>
      </c>
      <c r="K369" s="52">
        <v>0</v>
      </c>
      <c r="L369" s="53">
        <v>35000000</v>
      </c>
      <c r="M369" s="218" t="s">
        <v>465</v>
      </c>
      <c r="N369" s="53" t="s">
        <v>113</v>
      </c>
      <c r="O369" s="219" t="s">
        <v>222</v>
      </c>
      <c r="P369" s="221" t="str">
        <f>IFERROR(VLOOKUP(C369,TD!$B$33:$F$37,2,0)," ")</f>
        <v>O230117</v>
      </c>
      <c r="Q369" s="221" t="str">
        <f>IFERROR(VLOOKUP(C369,TD!$B$33:$F$37,3,0)," ")</f>
        <v>4503</v>
      </c>
      <c r="R369" s="221">
        <f>IFERROR(VLOOKUP(C369,TD!$B$33:$F$37,4,0)," ")</f>
        <v>20240255</v>
      </c>
      <c r="S369" s="219" t="s">
        <v>175</v>
      </c>
      <c r="T369" s="221" t="str">
        <f>IFERROR(VLOOKUP(S369,TD!$J$34:$K$44,2,0)," ")</f>
        <v>Servicio de atención a incidentes y emergencias.</v>
      </c>
      <c r="U369" s="222" t="str">
        <f t="shared" si="21"/>
        <v>04-Servicio de atención a incidentes y emergencias.</v>
      </c>
      <c r="V369" s="219" t="s">
        <v>232</v>
      </c>
      <c r="W369" s="221" t="str">
        <f>IFERROR(VLOOKUP(V369,TD!$N$34:$O$46,2,0)," ")</f>
        <v>Servicio de atención a emergencias y desastres</v>
      </c>
      <c r="X369" s="222" t="str">
        <f t="shared" si="22"/>
        <v>004_Servicio de atención a emergencias y desastres</v>
      </c>
      <c r="Y369" s="222" t="str">
        <f t="shared" si="23"/>
        <v>04-Servicio de atención a incidentes y emergencias. 004_Servicio de atención a emergencias y desastres</v>
      </c>
      <c r="Z369" s="221" t="str">
        <f t="shared" si="24"/>
        <v>O23011745032024025504004</v>
      </c>
      <c r="AA369" s="221" t="str">
        <f>IFERROR(VLOOKUP(Y369,TD!$K$47:$L$65,2,0)," ")</f>
        <v>PM/0131/0104/45030040255</v>
      </c>
      <c r="AB369" s="53" t="s">
        <v>138</v>
      </c>
      <c r="AC369" s="223" t="s">
        <v>204</v>
      </c>
    </row>
    <row r="370" spans="2:29" s="28" customFormat="1" ht="99" customHeight="1" x14ac:dyDescent="0.35">
      <c r="B370" s="77">
        <v>20250342</v>
      </c>
      <c r="C370" s="50" t="s">
        <v>209</v>
      </c>
      <c r="D370" s="218" t="s">
        <v>169</v>
      </c>
      <c r="E370" s="219" t="s">
        <v>466</v>
      </c>
      <c r="F370" s="218" t="s">
        <v>549</v>
      </c>
      <c r="G370" s="218" t="s">
        <v>155</v>
      </c>
      <c r="H370" s="93">
        <v>80111600</v>
      </c>
      <c r="I370" s="220">
        <v>2</v>
      </c>
      <c r="J370" s="220">
        <v>9</v>
      </c>
      <c r="K370" s="52">
        <v>0</v>
      </c>
      <c r="L370" s="53">
        <v>72000000</v>
      </c>
      <c r="M370" s="218" t="s">
        <v>465</v>
      </c>
      <c r="N370" s="53" t="s">
        <v>113</v>
      </c>
      <c r="O370" s="219" t="s">
        <v>222</v>
      </c>
      <c r="P370" s="221" t="str">
        <f>IFERROR(VLOOKUP(C370,TD!$B$33:$F$37,2,0)," ")</f>
        <v>O230117</v>
      </c>
      <c r="Q370" s="221" t="str">
        <f>IFERROR(VLOOKUP(C370,TD!$B$33:$F$37,3,0)," ")</f>
        <v>4503</v>
      </c>
      <c r="R370" s="221">
        <f>IFERROR(VLOOKUP(C370,TD!$B$33:$F$37,4,0)," ")</f>
        <v>20240255</v>
      </c>
      <c r="S370" s="219" t="s">
        <v>175</v>
      </c>
      <c r="T370" s="221" t="str">
        <f>IFERROR(VLOOKUP(S370,TD!$J$34:$K$44,2,0)," ")</f>
        <v>Servicio de atención a incidentes y emergencias.</v>
      </c>
      <c r="U370" s="222" t="str">
        <f t="shared" si="21"/>
        <v>04-Servicio de atención a incidentes y emergencias.</v>
      </c>
      <c r="V370" s="219" t="s">
        <v>232</v>
      </c>
      <c r="W370" s="221" t="str">
        <f>IFERROR(VLOOKUP(V370,TD!$N$34:$O$46,2,0)," ")</f>
        <v>Servicio de atención a emergencias y desastres</v>
      </c>
      <c r="X370" s="222" t="str">
        <f t="shared" si="22"/>
        <v>004_Servicio de atención a emergencias y desastres</v>
      </c>
      <c r="Y370" s="222" t="str">
        <f t="shared" si="23"/>
        <v>04-Servicio de atención a incidentes y emergencias. 004_Servicio de atención a emergencias y desastres</v>
      </c>
      <c r="Z370" s="221" t="str">
        <f t="shared" si="24"/>
        <v>O23011745032024025504004</v>
      </c>
      <c r="AA370" s="221" t="str">
        <f>IFERROR(VLOOKUP(Y370,TD!$K$47:$L$65,2,0)," ")</f>
        <v>PM/0131/0104/45030040255</v>
      </c>
      <c r="AB370" s="53" t="s">
        <v>138</v>
      </c>
      <c r="AC370" s="223" t="s">
        <v>204</v>
      </c>
    </row>
    <row r="371" spans="2:29" s="28" customFormat="1" ht="99" customHeight="1" x14ac:dyDescent="0.35">
      <c r="B371" s="77">
        <v>20250343</v>
      </c>
      <c r="C371" s="50" t="s">
        <v>209</v>
      </c>
      <c r="D371" s="218" t="s">
        <v>169</v>
      </c>
      <c r="E371" s="219" t="s">
        <v>466</v>
      </c>
      <c r="F371" s="218" t="s">
        <v>550</v>
      </c>
      <c r="G371" s="218" t="s">
        <v>155</v>
      </c>
      <c r="H371" s="93">
        <v>80111600</v>
      </c>
      <c r="I371" s="220">
        <v>2</v>
      </c>
      <c r="J371" s="220">
        <v>6</v>
      </c>
      <c r="K371" s="52">
        <v>0</v>
      </c>
      <c r="L371" s="53">
        <v>51000000</v>
      </c>
      <c r="M371" s="218" t="s">
        <v>465</v>
      </c>
      <c r="N371" s="53" t="s">
        <v>113</v>
      </c>
      <c r="O371" s="219" t="s">
        <v>222</v>
      </c>
      <c r="P371" s="221" t="str">
        <f>IFERROR(VLOOKUP(C371,TD!$B$33:$F$37,2,0)," ")</f>
        <v>O230117</v>
      </c>
      <c r="Q371" s="221" t="str">
        <f>IFERROR(VLOOKUP(C371,TD!$B$33:$F$37,3,0)," ")</f>
        <v>4503</v>
      </c>
      <c r="R371" s="221">
        <f>IFERROR(VLOOKUP(C371,TD!$B$33:$F$37,4,0)," ")</f>
        <v>20240255</v>
      </c>
      <c r="S371" s="219" t="s">
        <v>175</v>
      </c>
      <c r="T371" s="221" t="str">
        <f>IFERROR(VLOOKUP(S371,TD!$J$34:$K$44,2,0)," ")</f>
        <v>Servicio de atención a incidentes y emergencias.</v>
      </c>
      <c r="U371" s="222" t="str">
        <f t="shared" si="21"/>
        <v>04-Servicio de atención a incidentes y emergencias.</v>
      </c>
      <c r="V371" s="219" t="s">
        <v>232</v>
      </c>
      <c r="W371" s="221" t="str">
        <f>IFERROR(VLOOKUP(V371,TD!$N$34:$O$46,2,0)," ")</f>
        <v>Servicio de atención a emergencias y desastres</v>
      </c>
      <c r="X371" s="222" t="str">
        <f t="shared" si="22"/>
        <v>004_Servicio de atención a emergencias y desastres</v>
      </c>
      <c r="Y371" s="222" t="str">
        <f t="shared" si="23"/>
        <v>04-Servicio de atención a incidentes y emergencias. 004_Servicio de atención a emergencias y desastres</v>
      </c>
      <c r="Z371" s="221" t="str">
        <f t="shared" si="24"/>
        <v>O23011745032024025504004</v>
      </c>
      <c r="AA371" s="221" t="str">
        <f>IFERROR(VLOOKUP(Y371,TD!$K$47:$L$65,2,0)," ")</f>
        <v>PM/0131/0104/45030040255</v>
      </c>
      <c r="AB371" s="53" t="s">
        <v>138</v>
      </c>
      <c r="AC371" s="223" t="s">
        <v>204</v>
      </c>
    </row>
    <row r="372" spans="2:29" s="28" customFormat="1" ht="99" customHeight="1" x14ac:dyDescent="0.35">
      <c r="B372" s="77">
        <v>20250344</v>
      </c>
      <c r="C372" s="50" t="s">
        <v>209</v>
      </c>
      <c r="D372" s="218" t="s">
        <v>169</v>
      </c>
      <c r="E372" s="219" t="s">
        <v>466</v>
      </c>
      <c r="F372" s="218" t="s">
        <v>551</v>
      </c>
      <c r="G372" s="218" t="s">
        <v>155</v>
      </c>
      <c r="H372" s="93">
        <v>80111600</v>
      </c>
      <c r="I372" s="220">
        <v>2</v>
      </c>
      <c r="J372" s="220">
        <v>6</v>
      </c>
      <c r="K372" s="52">
        <v>0</v>
      </c>
      <c r="L372" s="53">
        <v>36000000</v>
      </c>
      <c r="M372" s="218" t="s">
        <v>465</v>
      </c>
      <c r="N372" s="53" t="s">
        <v>113</v>
      </c>
      <c r="O372" s="219" t="s">
        <v>222</v>
      </c>
      <c r="P372" s="221" t="str">
        <f>IFERROR(VLOOKUP(C372,TD!$B$33:$F$37,2,0)," ")</f>
        <v>O230117</v>
      </c>
      <c r="Q372" s="221" t="str">
        <f>IFERROR(VLOOKUP(C372,TD!$B$33:$F$37,3,0)," ")</f>
        <v>4503</v>
      </c>
      <c r="R372" s="221">
        <f>IFERROR(VLOOKUP(C372,TD!$B$33:$F$37,4,0)," ")</f>
        <v>20240255</v>
      </c>
      <c r="S372" s="219" t="s">
        <v>175</v>
      </c>
      <c r="T372" s="221" t="str">
        <f>IFERROR(VLOOKUP(S372,TD!$J$34:$K$44,2,0)," ")</f>
        <v>Servicio de atención a incidentes y emergencias.</v>
      </c>
      <c r="U372" s="222" t="str">
        <f t="shared" si="21"/>
        <v>04-Servicio de atención a incidentes y emergencias.</v>
      </c>
      <c r="V372" s="219" t="s">
        <v>232</v>
      </c>
      <c r="W372" s="221" t="str">
        <f>IFERROR(VLOOKUP(V372,TD!$N$34:$O$46,2,0)," ")</f>
        <v>Servicio de atención a emergencias y desastres</v>
      </c>
      <c r="X372" s="222" t="str">
        <f t="shared" si="22"/>
        <v>004_Servicio de atención a emergencias y desastres</v>
      </c>
      <c r="Y372" s="222" t="str">
        <f t="shared" si="23"/>
        <v>04-Servicio de atención a incidentes y emergencias. 004_Servicio de atención a emergencias y desastres</v>
      </c>
      <c r="Z372" s="221" t="str">
        <f t="shared" si="24"/>
        <v>O23011745032024025504004</v>
      </c>
      <c r="AA372" s="221" t="str">
        <f>IFERROR(VLOOKUP(Y372,TD!$K$47:$L$65,2,0)," ")</f>
        <v>PM/0131/0104/45030040255</v>
      </c>
      <c r="AB372" s="53" t="s">
        <v>138</v>
      </c>
      <c r="AC372" s="223" t="s">
        <v>204</v>
      </c>
    </row>
    <row r="373" spans="2:29" s="28" customFormat="1" ht="99" customHeight="1" x14ac:dyDescent="0.35">
      <c r="B373" s="77">
        <v>20250345</v>
      </c>
      <c r="C373" s="50" t="s">
        <v>209</v>
      </c>
      <c r="D373" s="218" t="s">
        <v>169</v>
      </c>
      <c r="E373" s="219" t="s">
        <v>466</v>
      </c>
      <c r="F373" s="218" t="s">
        <v>551</v>
      </c>
      <c r="G373" s="218" t="s">
        <v>155</v>
      </c>
      <c r="H373" s="93">
        <v>80111600</v>
      </c>
      <c r="I373" s="220">
        <v>4</v>
      </c>
      <c r="J373" s="220">
        <v>6</v>
      </c>
      <c r="K373" s="52">
        <v>0</v>
      </c>
      <c r="L373" s="53">
        <v>36000000</v>
      </c>
      <c r="M373" s="218" t="s">
        <v>465</v>
      </c>
      <c r="N373" s="53" t="s">
        <v>113</v>
      </c>
      <c r="O373" s="219" t="s">
        <v>222</v>
      </c>
      <c r="P373" s="221" t="str">
        <f>IFERROR(VLOOKUP(C373,TD!$B$33:$F$37,2,0)," ")</f>
        <v>O230117</v>
      </c>
      <c r="Q373" s="221" t="str">
        <f>IFERROR(VLOOKUP(C373,TD!$B$33:$F$37,3,0)," ")</f>
        <v>4503</v>
      </c>
      <c r="R373" s="221">
        <f>IFERROR(VLOOKUP(C373,TD!$B$33:$F$37,4,0)," ")</f>
        <v>20240255</v>
      </c>
      <c r="S373" s="219" t="s">
        <v>175</v>
      </c>
      <c r="T373" s="221" t="str">
        <f>IFERROR(VLOOKUP(S373,TD!$J$34:$K$44,2,0)," ")</f>
        <v>Servicio de atención a incidentes y emergencias.</v>
      </c>
      <c r="U373" s="222" t="str">
        <f t="shared" si="21"/>
        <v>04-Servicio de atención a incidentes y emergencias.</v>
      </c>
      <c r="V373" s="219" t="s">
        <v>232</v>
      </c>
      <c r="W373" s="221" t="str">
        <f>IFERROR(VLOOKUP(V373,TD!$N$34:$O$46,2,0)," ")</f>
        <v>Servicio de atención a emergencias y desastres</v>
      </c>
      <c r="X373" s="222" t="str">
        <f t="shared" si="22"/>
        <v>004_Servicio de atención a emergencias y desastres</v>
      </c>
      <c r="Y373" s="222" t="str">
        <f t="shared" si="23"/>
        <v>04-Servicio de atención a incidentes y emergencias. 004_Servicio de atención a emergencias y desastres</v>
      </c>
      <c r="Z373" s="221" t="str">
        <f t="shared" si="24"/>
        <v>O23011745032024025504004</v>
      </c>
      <c r="AA373" s="221" t="str">
        <f>IFERROR(VLOOKUP(Y373,TD!$K$47:$L$65,2,0)," ")</f>
        <v>PM/0131/0104/45030040255</v>
      </c>
      <c r="AB373" s="53" t="s">
        <v>138</v>
      </c>
      <c r="AC373" s="219" t="s">
        <v>204</v>
      </c>
    </row>
    <row r="374" spans="2:29" s="28" customFormat="1" ht="99" customHeight="1" x14ac:dyDescent="0.35">
      <c r="B374" s="77">
        <v>20250349</v>
      </c>
      <c r="C374" s="50" t="s">
        <v>209</v>
      </c>
      <c r="D374" s="218" t="s">
        <v>169</v>
      </c>
      <c r="E374" s="219" t="s">
        <v>466</v>
      </c>
      <c r="F374" s="218" t="s">
        <v>552</v>
      </c>
      <c r="G374" s="218" t="s">
        <v>109</v>
      </c>
      <c r="H374" s="93">
        <v>80111600</v>
      </c>
      <c r="I374" s="220">
        <v>2</v>
      </c>
      <c r="J374" s="220">
        <v>12</v>
      </c>
      <c r="K374" s="52">
        <v>0</v>
      </c>
      <c r="L374" s="109">
        <f>994376507-507-900000000-74000000+21650000+75000000</f>
        <v>117026000</v>
      </c>
      <c r="M374" s="218" t="s">
        <v>465</v>
      </c>
      <c r="N374" s="53" t="s">
        <v>100</v>
      </c>
      <c r="O374" s="219" t="s">
        <v>223</v>
      </c>
      <c r="P374" s="221" t="str">
        <f>IFERROR(VLOOKUP(C374,TD!$B$33:$F$37,2,0)," ")</f>
        <v>O230117</v>
      </c>
      <c r="Q374" s="221" t="str">
        <f>IFERROR(VLOOKUP(C374,TD!$B$33:$F$37,3,0)," ")</f>
        <v>4503</v>
      </c>
      <c r="R374" s="221">
        <f>IFERROR(VLOOKUP(C374,TD!$B$33:$F$37,4,0)," ")</f>
        <v>20240255</v>
      </c>
      <c r="S374" s="219" t="s">
        <v>175</v>
      </c>
      <c r="T374" s="221" t="str">
        <f>IFERROR(VLOOKUP(S374,TD!$J$34:$K$44,2,0)," ")</f>
        <v>Servicio de atención a incidentes y emergencias.</v>
      </c>
      <c r="U374" s="222" t="str">
        <f t="shared" si="21"/>
        <v>04-Servicio de atención a incidentes y emergencias.</v>
      </c>
      <c r="V374" s="219" t="s">
        <v>232</v>
      </c>
      <c r="W374" s="221" t="str">
        <f>IFERROR(VLOOKUP(V374,TD!$N$34:$O$46,2,0)," ")</f>
        <v>Servicio de atención a emergencias y desastres</v>
      </c>
      <c r="X374" s="222" t="str">
        <f t="shared" si="22"/>
        <v>004_Servicio de atención a emergencias y desastres</v>
      </c>
      <c r="Y374" s="222" t="str">
        <f t="shared" si="23"/>
        <v>04-Servicio de atención a incidentes y emergencias. 004_Servicio de atención a emergencias y desastres</v>
      </c>
      <c r="Z374" s="221" t="str">
        <f t="shared" si="24"/>
        <v>O23011745032024025504004</v>
      </c>
      <c r="AA374" s="221" t="str">
        <f>IFERROR(VLOOKUP(Y374,TD!$K$47:$L$65,2,0)," ")</f>
        <v>PM/0131/0104/45030040255</v>
      </c>
      <c r="AB374" s="53" t="s">
        <v>125</v>
      </c>
      <c r="AC374" s="223" t="s">
        <v>204</v>
      </c>
    </row>
    <row r="375" spans="2:29" s="28" customFormat="1" ht="99" customHeight="1" x14ac:dyDescent="0.35">
      <c r="B375" s="77">
        <v>20250350</v>
      </c>
      <c r="C375" s="110" t="s">
        <v>346</v>
      </c>
      <c r="D375" s="240" t="s">
        <v>169</v>
      </c>
      <c r="E375" s="219" t="s">
        <v>466</v>
      </c>
      <c r="F375" s="240" t="s">
        <v>613</v>
      </c>
      <c r="G375" s="240" t="s">
        <v>109</v>
      </c>
      <c r="H375" s="93">
        <v>53102710</v>
      </c>
      <c r="I375" s="220">
        <v>2</v>
      </c>
      <c r="J375" s="242">
        <v>6</v>
      </c>
      <c r="K375" s="111">
        <v>0</v>
      </c>
      <c r="L375" s="112">
        <v>300050000</v>
      </c>
      <c r="M375" s="240" t="s">
        <v>172</v>
      </c>
      <c r="N375" s="112" t="s">
        <v>95</v>
      </c>
      <c r="O375" s="241" t="s">
        <v>347</v>
      </c>
      <c r="P375" s="243" t="str">
        <f>IFERROR(VLOOKUP(C375,TD!$B$33:$F$37,2,0)," ")</f>
        <v>NA</v>
      </c>
      <c r="Q375" s="243" t="str">
        <f>IFERROR(VLOOKUP(C375,TD!$B$33:$F$37,3,0)," ")</f>
        <v>NA</v>
      </c>
      <c r="R375" s="243" t="str">
        <f>IFERROR(VLOOKUP(C375,TD!$B$33:$F$37,4,0)," ")</f>
        <v>NA</v>
      </c>
      <c r="S375" s="241" t="s">
        <v>406</v>
      </c>
      <c r="T375" s="221" t="str">
        <f>IFERROR(VLOOKUP(S375,TD!$J$34:$K$44,2,0)," ")</f>
        <v>N/A</v>
      </c>
      <c r="U375" s="222" t="str">
        <f t="shared" si="21"/>
        <v>N/A-N/A</v>
      </c>
      <c r="V375" s="219" t="s">
        <v>406</v>
      </c>
      <c r="W375" s="221" t="str">
        <f>IFERROR(VLOOKUP(V375,TD!$N$34:$O$46,2,0)," ")</f>
        <v>N/A</v>
      </c>
      <c r="X375" s="222" t="str">
        <f t="shared" si="22"/>
        <v>N/A_N/A</v>
      </c>
      <c r="Y375" s="222" t="str">
        <f t="shared" si="23"/>
        <v>N/A-N/A N/A_N/A</v>
      </c>
      <c r="Z375" s="243" t="str">
        <f t="shared" si="24"/>
        <v>NANANAN/AN/A</v>
      </c>
      <c r="AA375" s="221" t="str">
        <f>IFERROR(VLOOKUP(Y375,TD!$K$47:$L$65,2,0)," ")</f>
        <v>N/A</v>
      </c>
      <c r="AB375" s="112" t="s">
        <v>614</v>
      </c>
      <c r="AC375" s="244" t="s">
        <v>204</v>
      </c>
    </row>
    <row r="376" spans="2:29" s="28" customFormat="1" ht="99" customHeight="1" x14ac:dyDescent="0.35">
      <c r="B376" s="77">
        <v>20250351</v>
      </c>
      <c r="C376" s="50" t="s">
        <v>208</v>
      </c>
      <c r="D376" s="218" t="s">
        <v>162</v>
      </c>
      <c r="E376" s="219" t="s">
        <v>355</v>
      </c>
      <c r="F376" s="218" t="s">
        <v>781</v>
      </c>
      <c r="G376" s="218" t="s">
        <v>155</v>
      </c>
      <c r="H376" s="93">
        <v>80111600</v>
      </c>
      <c r="I376" s="220">
        <v>2</v>
      </c>
      <c r="J376" s="220">
        <v>11</v>
      </c>
      <c r="K376" s="52">
        <v>0</v>
      </c>
      <c r="L376" s="53">
        <v>104500000</v>
      </c>
      <c r="M376" s="218" t="s">
        <v>465</v>
      </c>
      <c r="N376" s="53" t="s">
        <v>113</v>
      </c>
      <c r="O376" s="219" t="s">
        <v>215</v>
      </c>
      <c r="P376" s="221" t="str">
        <f>IFERROR(VLOOKUP(C376,TD!$B$33:$F$37,2,0)," ")</f>
        <v>O230117</v>
      </c>
      <c r="Q376" s="221" t="str">
        <f>IFERROR(VLOOKUP(C376,TD!$B$33:$F$37,3,0)," ")</f>
        <v>4599</v>
      </c>
      <c r="R376" s="221">
        <f>IFERROR(VLOOKUP(C376,TD!$B$33:$F$37,4,0)," ")</f>
        <v>20240207</v>
      </c>
      <c r="S376" s="219" t="s">
        <v>179</v>
      </c>
      <c r="T376" s="221" t="str">
        <f>IFERROR(VLOOKUP(S376,TD!$J$34:$K$44,2,0)," ")</f>
        <v>Infraestructura Tecnológica   (Sistemas de Información y Tecnologia)</v>
      </c>
      <c r="U376" s="222" t="str">
        <f t="shared" si="21"/>
        <v>11-Infraestructura Tecnológica   (Sistemas de Información y Tecnologia)</v>
      </c>
      <c r="V376" s="219" t="s">
        <v>239</v>
      </c>
      <c r="W376" s="221" t="str">
        <f>IFERROR(VLOOKUP(V376,TD!$N$34:$O$46,2,0)," ")</f>
        <v>Servicios tecnológicos</v>
      </c>
      <c r="X376" s="222" t="str">
        <f t="shared" si="22"/>
        <v>007_Servicios tecnológicos</v>
      </c>
      <c r="Y376" s="222" t="str">
        <f t="shared" si="23"/>
        <v>11-Infraestructura Tecnológica   (Sistemas de Información y Tecnologia) 007_Servicios tecnológicos</v>
      </c>
      <c r="Z376" s="221" t="str">
        <f t="shared" si="24"/>
        <v>O23011745992024020711007</v>
      </c>
      <c r="AA376" s="221" t="str">
        <f>IFERROR(VLOOKUP(Y376,TD!$K$47:$L$65,2,0)," ")</f>
        <v>PM/0131/0111/45990070207</v>
      </c>
      <c r="AB376" s="53" t="s">
        <v>138</v>
      </c>
      <c r="AC376" s="223" t="s">
        <v>204</v>
      </c>
    </row>
    <row r="377" spans="2:29" s="28" customFormat="1" ht="99" customHeight="1" x14ac:dyDescent="0.35">
      <c r="B377" s="130">
        <v>20250352</v>
      </c>
      <c r="C377" s="132" t="s">
        <v>208</v>
      </c>
      <c r="D377" s="224" t="s">
        <v>162</v>
      </c>
      <c r="E377" s="225" t="s">
        <v>355</v>
      </c>
      <c r="F377" s="224" t="s">
        <v>782</v>
      </c>
      <c r="G377" s="224" t="s">
        <v>155</v>
      </c>
      <c r="H377" s="133">
        <v>80111600</v>
      </c>
      <c r="I377" s="226">
        <v>2</v>
      </c>
      <c r="J377" s="226">
        <v>11</v>
      </c>
      <c r="K377" s="129">
        <v>0</v>
      </c>
      <c r="L377" s="128">
        <v>37500000</v>
      </c>
      <c r="M377" s="224" t="s">
        <v>465</v>
      </c>
      <c r="N377" s="128" t="s">
        <v>113</v>
      </c>
      <c r="O377" s="225" t="s">
        <v>216</v>
      </c>
      <c r="P377" s="227" t="str">
        <f>IFERROR(VLOOKUP(C377,TD!$B$33:$F$37,2,0)," ")</f>
        <v>O230117</v>
      </c>
      <c r="Q377" s="227" t="str">
        <f>IFERROR(VLOOKUP(C377,TD!$B$33:$F$37,3,0)," ")</f>
        <v>4599</v>
      </c>
      <c r="R377" s="227">
        <f>IFERROR(VLOOKUP(C377,TD!$B$33:$F$37,4,0)," ")</f>
        <v>20240207</v>
      </c>
      <c r="S377" s="225" t="s">
        <v>179</v>
      </c>
      <c r="T377" s="227" t="str">
        <f>IFERROR(VLOOKUP(S377,TD!$J$34:$K$44,2,0)," ")</f>
        <v>Infraestructura Tecnológica   (Sistemas de Información y Tecnologia)</v>
      </c>
      <c r="U377" s="222" t="str">
        <f t="shared" si="21"/>
        <v>11-Infraestructura Tecnológica   (Sistemas de Información y Tecnologia)</v>
      </c>
      <c r="V377" s="225" t="s">
        <v>239</v>
      </c>
      <c r="W377" s="227" t="str">
        <f>IFERROR(VLOOKUP(V377,TD!$N$34:$O$46,2,0)," ")</f>
        <v>Servicios tecnológicos</v>
      </c>
      <c r="X377" s="222" t="str">
        <f t="shared" si="22"/>
        <v>007_Servicios tecnológicos</v>
      </c>
      <c r="Y377" s="222" t="str">
        <f t="shared" si="23"/>
        <v>11-Infraestructura Tecnológica   (Sistemas de Información y Tecnologia) 007_Servicios tecnológicos</v>
      </c>
      <c r="Z377" s="227" t="str">
        <f t="shared" si="24"/>
        <v>O23011745992024020711007</v>
      </c>
      <c r="AA377" s="227" t="str">
        <f>IFERROR(VLOOKUP(Y377,TD!$K$47:$L$65,2,0)," ")</f>
        <v>PM/0131/0111/45990070207</v>
      </c>
      <c r="AB377" s="128" t="s">
        <v>138</v>
      </c>
      <c r="AC377" s="228" t="s">
        <v>204</v>
      </c>
    </row>
    <row r="378" spans="2:29" s="28" customFormat="1" ht="99" customHeight="1" x14ac:dyDescent="0.35">
      <c r="B378" s="130">
        <v>20250353</v>
      </c>
      <c r="C378" s="132" t="s">
        <v>208</v>
      </c>
      <c r="D378" s="224" t="s">
        <v>162</v>
      </c>
      <c r="E378" s="225" t="s">
        <v>355</v>
      </c>
      <c r="F378" s="224" t="s">
        <v>783</v>
      </c>
      <c r="G378" s="224" t="s">
        <v>155</v>
      </c>
      <c r="H378" s="133">
        <v>80111600</v>
      </c>
      <c r="I378" s="226">
        <v>2</v>
      </c>
      <c r="J378" s="226">
        <v>11</v>
      </c>
      <c r="K378" s="129">
        <v>0</v>
      </c>
      <c r="L378" s="128">
        <v>39000000</v>
      </c>
      <c r="M378" s="224" t="s">
        <v>465</v>
      </c>
      <c r="N378" s="128" t="s">
        <v>113</v>
      </c>
      <c r="O378" s="225" t="s">
        <v>215</v>
      </c>
      <c r="P378" s="227" t="str">
        <f>IFERROR(VLOOKUP(C378,TD!$B$33:$F$37,2,0)," ")</f>
        <v>O230117</v>
      </c>
      <c r="Q378" s="227" t="str">
        <f>IFERROR(VLOOKUP(C378,TD!$B$33:$F$37,3,0)," ")</f>
        <v>4599</v>
      </c>
      <c r="R378" s="227">
        <f>IFERROR(VLOOKUP(C378,TD!$B$33:$F$37,4,0)," ")</f>
        <v>20240207</v>
      </c>
      <c r="S378" s="225" t="s">
        <v>179</v>
      </c>
      <c r="T378" s="227" t="str">
        <f>IFERROR(VLOOKUP(S378,TD!$J$34:$K$44,2,0)," ")</f>
        <v>Infraestructura Tecnológica   (Sistemas de Información y Tecnologia)</v>
      </c>
      <c r="U378" s="222" t="str">
        <f t="shared" si="21"/>
        <v>11-Infraestructura Tecnológica   (Sistemas de Información y Tecnologia)</v>
      </c>
      <c r="V378" s="225" t="s">
        <v>239</v>
      </c>
      <c r="W378" s="227" t="str">
        <f>IFERROR(VLOOKUP(V378,TD!$N$34:$O$46,2,0)," ")</f>
        <v>Servicios tecnológicos</v>
      </c>
      <c r="X378" s="222" t="str">
        <f t="shared" si="22"/>
        <v>007_Servicios tecnológicos</v>
      </c>
      <c r="Y378" s="222" t="str">
        <f t="shared" si="23"/>
        <v>11-Infraestructura Tecnológica   (Sistemas de Información y Tecnologia) 007_Servicios tecnológicos</v>
      </c>
      <c r="Z378" s="227" t="str">
        <f t="shared" si="24"/>
        <v>O23011745992024020711007</v>
      </c>
      <c r="AA378" s="227" t="str">
        <f>IFERROR(VLOOKUP(Y378,TD!$K$47:$L$65,2,0)," ")</f>
        <v>PM/0131/0111/45990070207</v>
      </c>
      <c r="AB378" s="128" t="s">
        <v>120</v>
      </c>
      <c r="AC378" s="228" t="s">
        <v>204</v>
      </c>
    </row>
    <row r="379" spans="2:29" s="28" customFormat="1" ht="99" customHeight="1" x14ac:dyDescent="0.35">
      <c r="B379" s="130">
        <v>20250354</v>
      </c>
      <c r="C379" s="132" t="s">
        <v>208</v>
      </c>
      <c r="D379" s="224" t="s">
        <v>162</v>
      </c>
      <c r="E379" s="225" t="s">
        <v>355</v>
      </c>
      <c r="F379" s="224" t="s">
        <v>408</v>
      </c>
      <c r="G379" s="224" t="s">
        <v>155</v>
      </c>
      <c r="H379" s="133">
        <v>80111600</v>
      </c>
      <c r="I379" s="226">
        <v>2</v>
      </c>
      <c r="J379" s="226">
        <v>11</v>
      </c>
      <c r="K379" s="129">
        <v>0</v>
      </c>
      <c r="L379" s="128">
        <v>37250000</v>
      </c>
      <c r="M379" s="224" t="s">
        <v>465</v>
      </c>
      <c r="N379" s="128" t="s">
        <v>113</v>
      </c>
      <c r="O379" s="225" t="s">
        <v>214</v>
      </c>
      <c r="P379" s="227" t="str">
        <f>IFERROR(VLOOKUP(C379,TD!$B$33:$F$37,2,0)," ")</f>
        <v>O230117</v>
      </c>
      <c r="Q379" s="227" t="str">
        <f>IFERROR(VLOOKUP(C379,TD!$B$33:$F$37,3,0)," ")</f>
        <v>4599</v>
      </c>
      <c r="R379" s="227">
        <f>IFERROR(VLOOKUP(C379,TD!$B$33:$F$37,4,0)," ")</f>
        <v>20240207</v>
      </c>
      <c r="S379" s="225" t="s">
        <v>179</v>
      </c>
      <c r="T379" s="227" t="str">
        <f>IFERROR(VLOOKUP(S379,TD!$J$34:$K$44,2,0)," ")</f>
        <v>Infraestructura Tecnológica   (Sistemas de Información y Tecnologia)</v>
      </c>
      <c r="U379" s="222" t="str">
        <f t="shared" si="21"/>
        <v>11-Infraestructura Tecnológica   (Sistemas de Información y Tecnologia)</v>
      </c>
      <c r="V379" s="225" t="s">
        <v>239</v>
      </c>
      <c r="W379" s="227" t="str">
        <f>IFERROR(VLOOKUP(V379,TD!$N$34:$O$46,2,0)," ")</f>
        <v>Servicios tecnológicos</v>
      </c>
      <c r="X379" s="222" t="str">
        <f t="shared" si="22"/>
        <v>007_Servicios tecnológicos</v>
      </c>
      <c r="Y379" s="222" t="str">
        <f t="shared" si="23"/>
        <v>11-Infraestructura Tecnológica   (Sistemas de Información y Tecnologia) 007_Servicios tecnológicos</v>
      </c>
      <c r="Z379" s="227" t="str">
        <f t="shared" si="24"/>
        <v>O23011745992024020711007</v>
      </c>
      <c r="AA379" s="227" t="str">
        <f>IFERROR(VLOOKUP(Y379,TD!$K$47:$L$65,2,0)," ")</f>
        <v>PM/0131/0111/45990070207</v>
      </c>
      <c r="AB379" s="128" t="s">
        <v>138</v>
      </c>
      <c r="AC379" s="228" t="s">
        <v>204</v>
      </c>
    </row>
    <row r="380" spans="2:29" s="28" customFormat="1" ht="99" customHeight="1" x14ac:dyDescent="0.35">
      <c r="B380" s="130">
        <v>20250355</v>
      </c>
      <c r="C380" s="132" t="s">
        <v>208</v>
      </c>
      <c r="D380" s="224" t="s">
        <v>162</v>
      </c>
      <c r="E380" s="225" t="s">
        <v>355</v>
      </c>
      <c r="F380" s="224" t="s">
        <v>409</v>
      </c>
      <c r="G380" s="224" t="s">
        <v>155</v>
      </c>
      <c r="H380" s="133">
        <v>80111600</v>
      </c>
      <c r="I380" s="226">
        <v>2</v>
      </c>
      <c r="J380" s="226">
        <v>11</v>
      </c>
      <c r="K380" s="129">
        <v>0</v>
      </c>
      <c r="L380" s="128">
        <v>49680000</v>
      </c>
      <c r="M380" s="224" t="s">
        <v>465</v>
      </c>
      <c r="N380" s="128" t="s">
        <v>113</v>
      </c>
      <c r="O380" s="225" t="s">
        <v>215</v>
      </c>
      <c r="P380" s="227" t="str">
        <f>IFERROR(VLOOKUP(C380,TD!$B$33:$F$37,2,0)," ")</f>
        <v>O230117</v>
      </c>
      <c r="Q380" s="227" t="str">
        <f>IFERROR(VLOOKUP(C380,TD!$B$33:$F$37,3,0)," ")</f>
        <v>4599</v>
      </c>
      <c r="R380" s="227">
        <f>IFERROR(VLOOKUP(C380,TD!$B$33:$F$37,4,0)," ")</f>
        <v>20240207</v>
      </c>
      <c r="S380" s="225" t="s">
        <v>179</v>
      </c>
      <c r="T380" s="227" t="str">
        <f>IFERROR(VLOOKUP(S380,TD!$J$34:$K$44,2,0)," ")</f>
        <v>Infraestructura Tecnológica   (Sistemas de Información y Tecnologia)</v>
      </c>
      <c r="U380" s="222" t="str">
        <f t="shared" si="21"/>
        <v>11-Infraestructura Tecnológica   (Sistemas de Información y Tecnologia)</v>
      </c>
      <c r="V380" s="225" t="s">
        <v>239</v>
      </c>
      <c r="W380" s="227" t="str">
        <f>IFERROR(VLOOKUP(V380,TD!$N$34:$O$46,2,0)," ")</f>
        <v>Servicios tecnológicos</v>
      </c>
      <c r="X380" s="222" t="str">
        <f t="shared" si="22"/>
        <v>007_Servicios tecnológicos</v>
      </c>
      <c r="Y380" s="222" t="str">
        <f t="shared" si="23"/>
        <v>11-Infraestructura Tecnológica   (Sistemas de Información y Tecnologia) 007_Servicios tecnológicos</v>
      </c>
      <c r="Z380" s="227" t="str">
        <f t="shared" si="24"/>
        <v>O23011745992024020711007</v>
      </c>
      <c r="AA380" s="227" t="str">
        <f>IFERROR(VLOOKUP(Y380,TD!$K$47:$L$65,2,0)," ")</f>
        <v>PM/0131/0111/45990070207</v>
      </c>
      <c r="AB380" s="128" t="s">
        <v>138</v>
      </c>
      <c r="AC380" s="228" t="s">
        <v>204</v>
      </c>
    </row>
    <row r="381" spans="2:29" s="28" customFormat="1" ht="99" customHeight="1" x14ac:dyDescent="0.35">
      <c r="B381" s="130">
        <v>20250356</v>
      </c>
      <c r="C381" s="132" t="s">
        <v>208</v>
      </c>
      <c r="D381" s="224" t="s">
        <v>162</v>
      </c>
      <c r="E381" s="225" t="s">
        <v>355</v>
      </c>
      <c r="F381" s="224" t="s">
        <v>784</v>
      </c>
      <c r="G381" s="224" t="s">
        <v>156</v>
      </c>
      <c r="H381" s="133">
        <v>80111600</v>
      </c>
      <c r="I381" s="226">
        <v>2</v>
      </c>
      <c r="J381" s="226">
        <v>11</v>
      </c>
      <c r="K381" s="129">
        <v>0</v>
      </c>
      <c r="L381" s="128">
        <v>40500000</v>
      </c>
      <c r="M381" s="224" t="s">
        <v>465</v>
      </c>
      <c r="N381" s="128" t="s">
        <v>113</v>
      </c>
      <c r="O381" s="225" t="s">
        <v>217</v>
      </c>
      <c r="P381" s="227" t="str">
        <f>IFERROR(VLOOKUP(C381,TD!$B$33:$F$37,2,0)," ")</f>
        <v>O230117</v>
      </c>
      <c r="Q381" s="227" t="str">
        <f>IFERROR(VLOOKUP(C381,TD!$B$33:$F$37,3,0)," ")</f>
        <v>4599</v>
      </c>
      <c r="R381" s="227">
        <f>IFERROR(VLOOKUP(C381,TD!$B$33:$F$37,4,0)," ")</f>
        <v>20240207</v>
      </c>
      <c r="S381" s="225" t="s">
        <v>179</v>
      </c>
      <c r="T381" s="227" t="str">
        <f>IFERROR(VLOOKUP(S381,TD!$J$34:$K$44,2,0)," ")</f>
        <v>Infraestructura Tecnológica   (Sistemas de Información y Tecnologia)</v>
      </c>
      <c r="U381" s="222" t="str">
        <f t="shared" si="21"/>
        <v>11-Infraestructura Tecnológica   (Sistemas de Información y Tecnologia)</v>
      </c>
      <c r="V381" s="225" t="s">
        <v>239</v>
      </c>
      <c r="W381" s="227" t="str">
        <f>IFERROR(VLOOKUP(V381,TD!$N$34:$O$46,2,0)," ")</f>
        <v>Servicios tecnológicos</v>
      </c>
      <c r="X381" s="222" t="str">
        <f t="shared" si="22"/>
        <v>007_Servicios tecnológicos</v>
      </c>
      <c r="Y381" s="222" t="str">
        <f t="shared" si="23"/>
        <v>11-Infraestructura Tecnológica   (Sistemas de Información y Tecnologia) 007_Servicios tecnológicos</v>
      </c>
      <c r="Z381" s="227" t="str">
        <f t="shared" si="24"/>
        <v>O23011745992024020711007</v>
      </c>
      <c r="AA381" s="227" t="str">
        <f>IFERROR(VLOOKUP(Y381,TD!$K$47:$L$65,2,0)," ")</f>
        <v>PM/0131/0111/45990070207</v>
      </c>
      <c r="AB381" s="128" t="s">
        <v>138</v>
      </c>
      <c r="AC381" s="228" t="s">
        <v>204</v>
      </c>
    </row>
    <row r="382" spans="2:29" s="28" customFormat="1" ht="99" customHeight="1" x14ac:dyDescent="0.35">
      <c r="B382" s="77">
        <v>20250357</v>
      </c>
      <c r="C382" s="50" t="s">
        <v>208</v>
      </c>
      <c r="D382" s="218" t="s">
        <v>162</v>
      </c>
      <c r="E382" s="219" t="s">
        <v>355</v>
      </c>
      <c r="F382" s="218" t="s">
        <v>785</v>
      </c>
      <c r="G382" s="218" t="s">
        <v>155</v>
      </c>
      <c r="H382" s="93">
        <v>80111600</v>
      </c>
      <c r="I382" s="220">
        <v>2</v>
      </c>
      <c r="J382" s="52">
        <v>11</v>
      </c>
      <c r="K382" s="52">
        <v>0</v>
      </c>
      <c r="L382" s="53">
        <v>37250000</v>
      </c>
      <c r="M382" s="218" t="s">
        <v>465</v>
      </c>
      <c r="N382" s="53" t="s">
        <v>113</v>
      </c>
      <c r="O382" s="219" t="s">
        <v>215</v>
      </c>
      <c r="P382" s="221" t="str">
        <f>IFERROR(VLOOKUP(C382,TD!$B$33:$F$37,2,0)," ")</f>
        <v>O230117</v>
      </c>
      <c r="Q382" s="221" t="str">
        <f>IFERROR(VLOOKUP(C382,TD!$B$33:$F$37,3,0)," ")</f>
        <v>4599</v>
      </c>
      <c r="R382" s="221">
        <f>IFERROR(VLOOKUP(C382,TD!$B$33:$F$37,4,0)," ")</f>
        <v>20240207</v>
      </c>
      <c r="S382" s="219" t="s">
        <v>179</v>
      </c>
      <c r="T382" s="221" t="str">
        <f>IFERROR(VLOOKUP(S382,TD!$J$34:$K$44,2,0)," ")</f>
        <v>Infraestructura Tecnológica   (Sistemas de Información y Tecnologia)</v>
      </c>
      <c r="U382" s="222" t="str">
        <f t="shared" si="21"/>
        <v>11-Infraestructura Tecnológica   (Sistemas de Información y Tecnologia)</v>
      </c>
      <c r="V382" s="219" t="s">
        <v>239</v>
      </c>
      <c r="W382" s="221" t="str">
        <f>IFERROR(VLOOKUP(V382,TD!$N$34:$O$46,2,0)," ")</f>
        <v>Servicios tecnológicos</v>
      </c>
      <c r="X382" s="222" t="str">
        <f t="shared" si="22"/>
        <v>007_Servicios tecnológicos</v>
      </c>
      <c r="Y382" s="222" t="str">
        <f t="shared" si="23"/>
        <v>11-Infraestructura Tecnológica   (Sistemas de Información y Tecnologia) 007_Servicios tecnológicos</v>
      </c>
      <c r="Z382" s="221" t="str">
        <f t="shared" si="24"/>
        <v>O23011745992024020711007</v>
      </c>
      <c r="AA382" s="221" t="str">
        <f>IFERROR(VLOOKUP(Y382,TD!$K$47:$L$65,2,0)," ")</f>
        <v>PM/0131/0111/45990070207</v>
      </c>
      <c r="AB382" s="53" t="s">
        <v>138</v>
      </c>
      <c r="AC382" s="223" t="s">
        <v>204</v>
      </c>
    </row>
    <row r="383" spans="2:29" s="28" customFormat="1" ht="99" customHeight="1" x14ac:dyDescent="0.35">
      <c r="B383" s="130">
        <v>20250358</v>
      </c>
      <c r="C383" s="132" t="s">
        <v>208</v>
      </c>
      <c r="D383" s="224" t="s">
        <v>162</v>
      </c>
      <c r="E383" s="225" t="s">
        <v>355</v>
      </c>
      <c r="F383" s="224" t="s">
        <v>786</v>
      </c>
      <c r="G383" s="224" t="s">
        <v>155</v>
      </c>
      <c r="H383" s="133">
        <v>80111600</v>
      </c>
      <c r="I383" s="226">
        <v>2</v>
      </c>
      <c r="J383" s="129">
        <v>11</v>
      </c>
      <c r="K383" s="129">
        <v>0</v>
      </c>
      <c r="L383" s="128">
        <v>37250000</v>
      </c>
      <c r="M383" s="224" t="s">
        <v>465</v>
      </c>
      <c r="N383" s="128" t="s">
        <v>113</v>
      </c>
      <c r="O383" s="225" t="s">
        <v>214</v>
      </c>
      <c r="P383" s="227" t="str">
        <f>IFERROR(VLOOKUP(C383,TD!$B$33:$F$37,2,0)," ")</f>
        <v>O230117</v>
      </c>
      <c r="Q383" s="227" t="str">
        <f>IFERROR(VLOOKUP(C383,TD!$B$33:$F$37,3,0)," ")</f>
        <v>4599</v>
      </c>
      <c r="R383" s="227">
        <f>IFERROR(VLOOKUP(C383,TD!$B$33:$F$37,4,0)," ")</f>
        <v>20240207</v>
      </c>
      <c r="S383" s="225" t="s">
        <v>179</v>
      </c>
      <c r="T383" s="227" t="str">
        <f>IFERROR(VLOOKUP(S383,TD!$J$34:$K$44,2,0)," ")</f>
        <v>Infraestructura Tecnológica   (Sistemas de Información y Tecnologia)</v>
      </c>
      <c r="U383" s="222" t="str">
        <f t="shared" si="21"/>
        <v>11-Infraestructura Tecnológica   (Sistemas de Información y Tecnologia)</v>
      </c>
      <c r="V383" s="225" t="s">
        <v>239</v>
      </c>
      <c r="W383" s="227" t="str">
        <f>IFERROR(VLOOKUP(V383,TD!$N$34:$O$46,2,0)," ")</f>
        <v>Servicios tecnológicos</v>
      </c>
      <c r="X383" s="222" t="str">
        <f t="shared" si="22"/>
        <v>007_Servicios tecnológicos</v>
      </c>
      <c r="Y383" s="222" t="str">
        <f t="shared" si="23"/>
        <v>11-Infraestructura Tecnológica   (Sistemas de Información y Tecnologia) 007_Servicios tecnológicos</v>
      </c>
      <c r="Z383" s="227" t="str">
        <f t="shared" si="24"/>
        <v>O23011745992024020711007</v>
      </c>
      <c r="AA383" s="227" t="str">
        <f>IFERROR(VLOOKUP(Y383,TD!$K$47:$L$65,2,0)," ")</f>
        <v>PM/0131/0111/45990070207</v>
      </c>
      <c r="AB383" s="128" t="s">
        <v>138</v>
      </c>
      <c r="AC383" s="228" t="s">
        <v>204</v>
      </c>
    </row>
    <row r="384" spans="2:29" s="28" customFormat="1" ht="99" customHeight="1" x14ac:dyDescent="0.35">
      <c r="B384" s="130">
        <v>20250359</v>
      </c>
      <c r="C384" s="132" t="s">
        <v>208</v>
      </c>
      <c r="D384" s="224" t="s">
        <v>162</v>
      </c>
      <c r="E384" s="225" t="s">
        <v>355</v>
      </c>
      <c r="F384" s="224" t="s">
        <v>787</v>
      </c>
      <c r="G384" s="224" t="s">
        <v>155</v>
      </c>
      <c r="H384" s="133">
        <v>80111600</v>
      </c>
      <c r="I384" s="226">
        <v>2</v>
      </c>
      <c r="J384" s="129">
        <v>11</v>
      </c>
      <c r="K384" s="129">
        <v>0</v>
      </c>
      <c r="L384" s="128">
        <v>74500000</v>
      </c>
      <c r="M384" s="224" t="s">
        <v>465</v>
      </c>
      <c r="N384" s="128" t="s">
        <v>113</v>
      </c>
      <c r="O384" s="225" t="s">
        <v>216</v>
      </c>
      <c r="P384" s="227" t="str">
        <f>IFERROR(VLOOKUP(C384,TD!$B$33:$F$37,2,0)," ")</f>
        <v>O230117</v>
      </c>
      <c r="Q384" s="227" t="str">
        <f>IFERROR(VLOOKUP(C384,TD!$B$33:$F$37,3,0)," ")</f>
        <v>4599</v>
      </c>
      <c r="R384" s="227">
        <f>IFERROR(VLOOKUP(C384,TD!$B$33:$F$37,4,0)," ")</f>
        <v>20240207</v>
      </c>
      <c r="S384" s="225" t="s">
        <v>179</v>
      </c>
      <c r="T384" s="227" t="str">
        <f>IFERROR(VLOOKUP(S384,TD!$J$34:$K$44,2,0)," ")</f>
        <v>Infraestructura Tecnológica   (Sistemas de Información y Tecnologia)</v>
      </c>
      <c r="U384" s="222" t="str">
        <f t="shared" si="21"/>
        <v>11-Infraestructura Tecnológica   (Sistemas de Información y Tecnologia)</v>
      </c>
      <c r="V384" s="225" t="s">
        <v>239</v>
      </c>
      <c r="W384" s="227" t="str">
        <f>IFERROR(VLOOKUP(V384,TD!$N$34:$O$46,2,0)," ")</f>
        <v>Servicios tecnológicos</v>
      </c>
      <c r="X384" s="222" t="str">
        <f t="shared" si="22"/>
        <v>007_Servicios tecnológicos</v>
      </c>
      <c r="Y384" s="222" t="str">
        <f t="shared" si="23"/>
        <v>11-Infraestructura Tecnológica   (Sistemas de Información y Tecnologia) 007_Servicios tecnológicos</v>
      </c>
      <c r="Z384" s="227" t="str">
        <f t="shared" si="24"/>
        <v>O23011745992024020711007</v>
      </c>
      <c r="AA384" s="227" t="str">
        <f>IFERROR(VLOOKUP(Y384,TD!$K$47:$L$65,2,0)," ")</f>
        <v>PM/0131/0111/45990070207</v>
      </c>
      <c r="AB384" s="128" t="s">
        <v>138</v>
      </c>
      <c r="AC384" s="228" t="s">
        <v>204</v>
      </c>
    </row>
    <row r="385" spans="2:29" s="28" customFormat="1" ht="99" customHeight="1" x14ac:dyDescent="0.35">
      <c r="B385" s="130">
        <v>20250360</v>
      </c>
      <c r="C385" s="132" t="s">
        <v>208</v>
      </c>
      <c r="D385" s="224" t="s">
        <v>162</v>
      </c>
      <c r="E385" s="225" t="s">
        <v>355</v>
      </c>
      <c r="F385" s="224" t="s">
        <v>410</v>
      </c>
      <c r="G385" s="224" t="s">
        <v>155</v>
      </c>
      <c r="H385" s="133">
        <v>80111600</v>
      </c>
      <c r="I385" s="226">
        <v>2</v>
      </c>
      <c r="J385" s="129">
        <v>11</v>
      </c>
      <c r="K385" s="129">
        <v>0</v>
      </c>
      <c r="L385" s="128">
        <v>78000000</v>
      </c>
      <c r="M385" s="224" t="s">
        <v>465</v>
      </c>
      <c r="N385" s="128" t="s">
        <v>113</v>
      </c>
      <c r="O385" s="225" t="s">
        <v>215</v>
      </c>
      <c r="P385" s="227" t="str">
        <f>IFERROR(VLOOKUP(C385,TD!$B$33:$F$37,2,0)," ")</f>
        <v>O230117</v>
      </c>
      <c r="Q385" s="227" t="str">
        <f>IFERROR(VLOOKUP(C385,TD!$B$33:$F$37,3,0)," ")</f>
        <v>4599</v>
      </c>
      <c r="R385" s="227">
        <f>IFERROR(VLOOKUP(C385,TD!$B$33:$F$37,4,0)," ")</f>
        <v>20240207</v>
      </c>
      <c r="S385" s="225" t="s">
        <v>179</v>
      </c>
      <c r="T385" s="227" t="str">
        <f>IFERROR(VLOOKUP(S385,TD!$J$34:$K$44,2,0)," ")</f>
        <v>Infraestructura Tecnológica   (Sistemas de Información y Tecnologia)</v>
      </c>
      <c r="U385" s="222" t="str">
        <f t="shared" si="21"/>
        <v>11-Infraestructura Tecnológica   (Sistemas de Información y Tecnologia)</v>
      </c>
      <c r="V385" s="225" t="s">
        <v>239</v>
      </c>
      <c r="W385" s="227" t="str">
        <f>IFERROR(VLOOKUP(V385,TD!$N$34:$O$46,2,0)," ")</f>
        <v>Servicios tecnológicos</v>
      </c>
      <c r="X385" s="222" t="str">
        <f t="shared" si="22"/>
        <v>007_Servicios tecnológicos</v>
      </c>
      <c r="Y385" s="222" t="str">
        <f t="shared" si="23"/>
        <v>11-Infraestructura Tecnológica   (Sistemas de Información y Tecnologia) 007_Servicios tecnológicos</v>
      </c>
      <c r="Z385" s="227" t="str">
        <f t="shared" si="24"/>
        <v>O23011745992024020711007</v>
      </c>
      <c r="AA385" s="227" t="str">
        <f>IFERROR(VLOOKUP(Y385,TD!$K$47:$L$65,2,0)," ")</f>
        <v>PM/0131/0111/45990070207</v>
      </c>
      <c r="AB385" s="128" t="s">
        <v>120</v>
      </c>
      <c r="AC385" s="228" t="s">
        <v>204</v>
      </c>
    </row>
    <row r="386" spans="2:29" s="28" customFormat="1" ht="99" customHeight="1" x14ac:dyDescent="0.35">
      <c r="B386" s="130">
        <v>20250361</v>
      </c>
      <c r="C386" s="132" t="s">
        <v>208</v>
      </c>
      <c r="D386" s="224" t="s">
        <v>162</v>
      </c>
      <c r="E386" s="225" t="s">
        <v>355</v>
      </c>
      <c r="F386" s="224" t="s">
        <v>788</v>
      </c>
      <c r="G386" s="224" t="s">
        <v>155</v>
      </c>
      <c r="H386" s="133">
        <v>80111600</v>
      </c>
      <c r="I386" s="226">
        <v>2</v>
      </c>
      <c r="J386" s="129">
        <v>11</v>
      </c>
      <c r="K386" s="129">
        <v>0</v>
      </c>
      <c r="L386" s="128">
        <v>37250000</v>
      </c>
      <c r="M386" s="224" t="s">
        <v>465</v>
      </c>
      <c r="N386" s="128" t="s">
        <v>113</v>
      </c>
      <c r="O386" s="225" t="s">
        <v>215</v>
      </c>
      <c r="P386" s="227" t="str">
        <f>IFERROR(VLOOKUP(C386,TD!$B$33:$F$37,2,0)," ")</f>
        <v>O230117</v>
      </c>
      <c r="Q386" s="227" t="str">
        <f>IFERROR(VLOOKUP(C386,TD!$B$33:$F$37,3,0)," ")</f>
        <v>4599</v>
      </c>
      <c r="R386" s="227">
        <f>IFERROR(VLOOKUP(C386,TD!$B$33:$F$37,4,0)," ")</f>
        <v>20240207</v>
      </c>
      <c r="S386" s="225" t="s">
        <v>179</v>
      </c>
      <c r="T386" s="227" t="str">
        <f>IFERROR(VLOOKUP(S386,TD!$J$34:$K$44,2,0)," ")</f>
        <v>Infraestructura Tecnológica   (Sistemas de Información y Tecnologia)</v>
      </c>
      <c r="U386" s="222" t="str">
        <f t="shared" si="21"/>
        <v>11-Infraestructura Tecnológica   (Sistemas de Información y Tecnologia)</v>
      </c>
      <c r="V386" s="225" t="s">
        <v>239</v>
      </c>
      <c r="W386" s="227" t="str">
        <f>IFERROR(VLOOKUP(V386,TD!$N$34:$O$46,2,0)," ")</f>
        <v>Servicios tecnológicos</v>
      </c>
      <c r="X386" s="222" t="str">
        <f t="shared" si="22"/>
        <v>007_Servicios tecnológicos</v>
      </c>
      <c r="Y386" s="222" t="str">
        <f t="shared" si="23"/>
        <v>11-Infraestructura Tecnológica   (Sistemas de Información y Tecnologia) 007_Servicios tecnológicos</v>
      </c>
      <c r="Z386" s="227" t="str">
        <f t="shared" si="24"/>
        <v>O23011745992024020711007</v>
      </c>
      <c r="AA386" s="227" t="str">
        <f>IFERROR(VLOOKUP(Y386,TD!$K$47:$L$65,2,0)," ")</f>
        <v>PM/0131/0111/45990070207</v>
      </c>
      <c r="AB386" s="128" t="s">
        <v>138</v>
      </c>
      <c r="AC386" s="228" t="s">
        <v>204</v>
      </c>
    </row>
    <row r="387" spans="2:29" s="28" customFormat="1" ht="99" customHeight="1" x14ac:dyDescent="0.35">
      <c r="B387" s="130">
        <v>20250362</v>
      </c>
      <c r="C387" s="132" t="s">
        <v>208</v>
      </c>
      <c r="D387" s="224" t="s">
        <v>162</v>
      </c>
      <c r="E387" s="225" t="s">
        <v>355</v>
      </c>
      <c r="F387" s="224" t="s">
        <v>789</v>
      </c>
      <c r="G387" s="224" t="s">
        <v>155</v>
      </c>
      <c r="H387" s="133">
        <v>80111600</v>
      </c>
      <c r="I387" s="226">
        <v>2</v>
      </c>
      <c r="J387" s="129">
        <v>11</v>
      </c>
      <c r="K387" s="129">
        <v>0</v>
      </c>
      <c r="L387" s="128">
        <v>85500000</v>
      </c>
      <c r="M387" s="224" t="s">
        <v>465</v>
      </c>
      <c r="N387" s="128" t="s">
        <v>113</v>
      </c>
      <c r="O387" s="225" t="s">
        <v>214</v>
      </c>
      <c r="P387" s="227" t="str">
        <f>IFERROR(VLOOKUP(C387,TD!$B$33:$F$37,2,0)," ")</f>
        <v>O230117</v>
      </c>
      <c r="Q387" s="227" t="str">
        <f>IFERROR(VLOOKUP(C387,TD!$B$33:$F$37,3,0)," ")</f>
        <v>4599</v>
      </c>
      <c r="R387" s="227">
        <f>IFERROR(VLOOKUP(C387,TD!$B$33:$F$37,4,0)," ")</f>
        <v>20240207</v>
      </c>
      <c r="S387" s="225" t="s">
        <v>179</v>
      </c>
      <c r="T387" s="227" t="str">
        <f>IFERROR(VLOOKUP(S387,TD!$J$34:$K$44,2,0)," ")</f>
        <v>Infraestructura Tecnológica   (Sistemas de Información y Tecnologia)</v>
      </c>
      <c r="U387" s="222" t="str">
        <f t="shared" si="21"/>
        <v>11-Infraestructura Tecnológica   (Sistemas de Información y Tecnologia)</v>
      </c>
      <c r="V387" s="225" t="s">
        <v>239</v>
      </c>
      <c r="W387" s="227" t="str">
        <f>IFERROR(VLOOKUP(V387,TD!$N$34:$O$46,2,0)," ")</f>
        <v>Servicios tecnológicos</v>
      </c>
      <c r="X387" s="222" t="str">
        <f t="shared" si="22"/>
        <v>007_Servicios tecnológicos</v>
      </c>
      <c r="Y387" s="222" t="str">
        <f t="shared" si="23"/>
        <v>11-Infraestructura Tecnológica   (Sistemas de Información y Tecnologia) 007_Servicios tecnológicos</v>
      </c>
      <c r="Z387" s="227" t="str">
        <f t="shared" si="24"/>
        <v>O23011745992024020711007</v>
      </c>
      <c r="AA387" s="227" t="str">
        <f>IFERROR(VLOOKUP(Y387,TD!$K$47:$L$65,2,0)," ")</f>
        <v>PM/0131/0111/45990070207</v>
      </c>
      <c r="AB387" s="128" t="s">
        <v>138</v>
      </c>
      <c r="AC387" s="228" t="s">
        <v>204</v>
      </c>
    </row>
    <row r="388" spans="2:29" s="28" customFormat="1" ht="99" customHeight="1" x14ac:dyDescent="0.35">
      <c r="B388" s="77">
        <v>20250363</v>
      </c>
      <c r="C388" s="50" t="s">
        <v>208</v>
      </c>
      <c r="D388" s="218" t="s">
        <v>162</v>
      </c>
      <c r="E388" s="219" t="s">
        <v>355</v>
      </c>
      <c r="F388" s="218" t="s">
        <v>790</v>
      </c>
      <c r="G388" s="218" t="s">
        <v>155</v>
      </c>
      <c r="H388" s="93">
        <v>80111600</v>
      </c>
      <c r="I388" s="220">
        <v>2</v>
      </c>
      <c r="J388" s="52">
        <v>11</v>
      </c>
      <c r="K388" s="52">
        <v>0</v>
      </c>
      <c r="L388" s="53">
        <v>68310000</v>
      </c>
      <c r="M388" s="218" t="s">
        <v>465</v>
      </c>
      <c r="N388" s="53" t="s">
        <v>113</v>
      </c>
      <c r="O388" s="219" t="s">
        <v>216</v>
      </c>
      <c r="P388" s="221" t="str">
        <f>IFERROR(VLOOKUP(C388,TD!$B$33:$F$37,2,0)," ")</f>
        <v>O230117</v>
      </c>
      <c r="Q388" s="221" t="str">
        <f>IFERROR(VLOOKUP(C388,TD!$B$33:$F$37,3,0)," ")</f>
        <v>4599</v>
      </c>
      <c r="R388" s="221">
        <f>IFERROR(VLOOKUP(C388,TD!$B$33:$F$37,4,0)," ")</f>
        <v>20240207</v>
      </c>
      <c r="S388" s="219" t="s">
        <v>179</v>
      </c>
      <c r="T388" s="221" t="str">
        <f>IFERROR(VLOOKUP(S388,TD!$J$34:$K$44,2,0)," ")</f>
        <v>Infraestructura Tecnológica   (Sistemas de Información y Tecnologia)</v>
      </c>
      <c r="U388" s="222" t="str">
        <f t="shared" si="21"/>
        <v>11-Infraestructura Tecnológica   (Sistemas de Información y Tecnologia)</v>
      </c>
      <c r="V388" s="219" t="s">
        <v>239</v>
      </c>
      <c r="W388" s="221" t="str">
        <f>IFERROR(VLOOKUP(V388,TD!$N$34:$O$46,2,0)," ")</f>
        <v>Servicios tecnológicos</v>
      </c>
      <c r="X388" s="222" t="str">
        <f t="shared" si="22"/>
        <v>007_Servicios tecnológicos</v>
      </c>
      <c r="Y388" s="222" t="str">
        <f t="shared" si="23"/>
        <v>11-Infraestructura Tecnológica   (Sistemas de Información y Tecnologia) 007_Servicios tecnológicos</v>
      </c>
      <c r="Z388" s="221" t="str">
        <f t="shared" si="24"/>
        <v>O23011745992024020711007</v>
      </c>
      <c r="AA388" s="221" t="str">
        <f>IFERROR(VLOOKUP(Y388,TD!$K$47:$L$65,2,0)," ")</f>
        <v>PM/0131/0111/45990070207</v>
      </c>
      <c r="AB388" s="53" t="s">
        <v>138</v>
      </c>
      <c r="AC388" s="223" t="s">
        <v>204</v>
      </c>
    </row>
    <row r="389" spans="2:29" s="28" customFormat="1" ht="99" customHeight="1" x14ac:dyDescent="0.35">
      <c r="B389" s="130">
        <v>20250364</v>
      </c>
      <c r="C389" s="132" t="s">
        <v>208</v>
      </c>
      <c r="D389" s="224" t="s">
        <v>162</v>
      </c>
      <c r="E389" s="225" t="s">
        <v>355</v>
      </c>
      <c r="F389" s="224" t="s">
        <v>411</v>
      </c>
      <c r="G389" s="224" t="s">
        <v>155</v>
      </c>
      <c r="H389" s="133">
        <v>80111600</v>
      </c>
      <c r="I389" s="226">
        <v>2</v>
      </c>
      <c r="J389" s="129">
        <v>11</v>
      </c>
      <c r="K389" s="129">
        <v>0</v>
      </c>
      <c r="L389" s="128">
        <v>64000000</v>
      </c>
      <c r="M389" s="224" t="s">
        <v>465</v>
      </c>
      <c r="N389" s="128" t="s">
        <v>113</v>
      </c>
      <c r="O389" s="225" t="s">
        <v>214</v>
      </c>
      <c r="P389" s="227" t="str">
        <f>IFERROR(VLOOKUP(C389,TD!$B$33:$F$37,2,0)," ")</f>
        <v>O230117</v>
      </c>
      <c r="Q389" s="227" t="str">
        <f>IFERROR(VLOOKUP(C389,TD!$B$33:$F$37,3,0)," ")</f>
        <v>4599</v>
      </c>
      <c r="R389" s="227">
        <f>IFERROR(VLOOKUP(C389,TD!$B$33:$F$37,4,0)," ")</f>
        <v>20240207</v>
      </c>
      <c r="S389" s="225" t="s">
        <v>179</v>
      </c>
      <c r="T389" s="227" t="str">
        <f>IFERROR(VLOOKUP(S389,TD!$J$34:$K$44,2,0)," ")</f>
        <v>Infraestructura Tecnológica   (Sistemas de Información y Tecnologia)</v>
      </c>
      <c r="U389" s="222" t="str">
        <f t="shared" si="21"/>
        <v>11-Infraestructura Tecnológica   (Sistemas de Información y Tecnologia)</v>
      </c>
      <c r="V389" s="225" t="s">
        <v>239</v>
      </c>
      <c r="W389" s="227" t="str">
        <f>IFERROR(VLOOKUP(V389,TD!$N$34:$O$46,2,0)," ")</f>
        <v>Servicios tecnológicos</v>
      </c>
      <c r="X389" s="222" t="str">
        <f t="shared" si="22"/>
        <v>007_Servicios tecnológicos</v>
      </c>
      <c r="Y389" s="222" t="str">
        <f t="shared" si="23"/>
        <v>11-Infraestructura Tecnológica   (Sistemas de Información y Tecnologia) 007_Servicios tecnológicos</v>
      </c>
      <c r="Z389" s="227" t="str">
        <f t="shared" si="24"/>
        <v>O23011745992024020711007</v>
      </c>
      <c r="AA389" s="227" t="str">
        <f>IFERROR(VLOOKUP(Y389,TD!$K$47:$L$65,2,0)," ")</f>
        <v>PM/0131/0111/45990070207</v>
      </c>
      <c r="AB389" s="128" t="s">
        <v>138</v>
      </c>
      <c r="AC389" s="228" t="s">
        <v>204</v>
      </c>
    </row>
    <row r="390" spans="2:29" s="28" customFormat="1" ht="99" customHeight="1" x14ac:dyDescent="0.35">
      <c r="B390" s="77">
        <v>20250365</v>
      </c>
      <c r="C390" s="50" t="s">
        <v>208</v>
      </c>
      <c r="D390" s="218" t="s">
        <v>162</v>
      </c>
      <c r="E390" s="219" t="s">
        <v>355</v>
      </c>
      <c r="F390" s="218" t="s">
        <v>412</v>
      </c>
      <c r="G390" s="218" t="s">
        <v>155</v>
      </c>
      <c r="H390" s="93">
        <v>80111600</v>
      </c>
      <c r="I390" s="220">
        <v>2</v>
      </c>
      <c r="J390" s="52">
        <v>11</v>
      </c>
      <c r="K390" s="52">
        <v>0</v>
      </c>
      <c r="L390" s="53">
        <v>74800000</v>
      </c>
      <c r="M390" s="218" t="s">
        <v>465</v>
      </c>
      <c r="N390" s="53" t="s">
        <v>113</v>
      </c>
      <c r="O390" s="219" t="s">
        <v>215</v>
      </c>
      <c r="P390" s="221" t="str">
        <f>IFERROR(VLOOKUP(C390,TD!$B$33:$F$37,2,0)," ")</f>
        <v>O230117</v>
      </c>
      <c r="Q390" s="221" t="str">
        <f>IFERROR(VLOOKUP(C390,TD!$B$33:$F$37,3,0)," ")</f>
        <v>4599</v>
      </c>
      <c r="R390" s="221">
        <f>IFERROR(VLOOKUP(C390,TD!$B$33:$F$37,4,0)," ")</f>
        <v>20240207</v>
      </c>
      <c r="S390" s="219" t="s">
        <v>179</v>
      </c>
      <c r="T390" s="221" t="str">
        <f>IFERROR(VLOOKUP(S390,TD!$J$34:$K$44,2,0)," ")</f>
        <v>Infraestructura Tecnológica   (Sistemas de Información y Tecnologia)</v>
      </c>
      <c r="U390" s="222" t="str">
        <f t="shared" si="21"/>
        <v>11-Infraestructura Tecnológica   (Sistemas de Información y Tecnologia)</v>
      </c>
      <c r="V390" s="219" t="s">
        <v>239</v>
      </c>
      <c r="W390" s="221" t="str">
        <f>IFERROR(VLOOKUP(V390,TD!$N$34:$O$46,2,0)," ")</f>
        <v>Servicios tecnológicos</v>
      </c>
      <c r="X390" s="222" t="str">
        <f t="shared" si="22"/>
        <v>007_Servicios tecnológicos</v>
      </c>
      <c r="Y390" s="222" t="str">
        <f t="shared" si="23"/>
        <v>11-Infraestructura Tecnológica   (Sistemas de Información y Tecnologia) 007_Servicios tecnológicos</v>
      </c>
      <c r="Z390" s="221" t="str">
        <f t="shared" si="24"/>
        <v>O23011745992024020711007</v>
      </c>
      <c r="AA390" s="221" t="str">
        <f>IFERROR(VLOOKUP(Y390,TD!$K$47:$L$65,2,0)," ")</f>
        <v>PM/0131/0111/45990070207</v>
      </c>
      <c r="AB390" s="53" t="s">
        <v>138</v>
      </c>
      <c r="AC390" s="223" t="s">
        <v>204</v>
      </c>
    </row>
    <row r="391" spans="2:29" s="28" customFormat="1" ht="99" customHeight="1" x14ac:dyDescent="0.35">
      <c r="B391" s="130">
        <v>20250366</v>
      </c>
      <c r="C391" s="132" t="s">
        <v>208</v>
      </c>
      <c r="D391" s="224" t="s">
        <v>162</v>
      </c>
      <c r="E391" s="225" t="s">
        <v>355</v>
      </c>
      <c r="F391" s="224" t="s">
        <v>791</v>
      </c>
      <c r="G391" s="224" t="s">
        <v>156</v>
      </c>
      <c r="H391" s="133">
        <v>80111600</v>
      </c>
      <c r="I391" s="226">
        <v>2</v>
      </c>
      <c r="J391" s="129">
        <v>11</v>
      </c>
      <c r="K391" s="129">
        <v>0</v>
      </c>
      <c r="L391" s="128">
        <v>30400000</v>
      </c>
      <c r="M391" s="224" t="s">
        <v>465</v>
      </c>
      <c r="N391" s="128" t="s">
        <v>113</v>
      </c>
      <c r="O391" s="225" t="s">
        <v>216</v>
      </c>
      <c r="P391" s="227" t="str">
        <f>IFERROR(VLOOKUP(C391,TD!$B$33:$F$37,2,0)," ")</f>
        <v>O230117</v>
      </c>
      <c r="Q391" s="227" t="str">
        <f>IFERROR(VLOOKUP(C391,TD!$B$33:$F$37,3,0)," ")</f>
        <v>4599</v>
      </c>
      <c r="R391" s="227">
        <f>IFERROR(VLOOKUP(C391,TD!$B$33:$F$37,4,0)," ")</f>
        <v>20240207</v>
      </c>
      <c r="S391" s="225" t="s">
        <v>179</v>
      </c>
      <c r="T391" s="227" t="str">
        <f>IFERROR(VLOOKUP(S391,TD!$J$34:$K$44,2,0)," ")</f>
        <v>Infraestructura Tecnológica   (Sistemas de Información y Tecnologia)</v>
      </c>
      <c r="U391" s="222" t="str">
        <f t="shared" si="21"/>
        <v>11-Infraestructura Tecnológica   (Sistemas de Información y Tecnologia)</v>
      </c>
      <c r="V391" s="225" t="s">
        <v>239</v>
      </c>
      <c r="W391" s="227" t="str">
        <f>IFERROR(VLOOKUP(V391,TD!$N$34:$O$46,2,0)," ")</f>
        <v>Servicios tecnológicos</v>
      </c>
      <c r="X391" s="222" t="str">
        <f t="shared" si="22"/>
        <v>007_Servicios tecnológicos</v>
      </c>
      <c r="Y391" s="222" t="str">
        <f t="shared" si="23"/>
        <v>11-Infraestructura Tecnológica   (Sistemas de Información y Tecnologia) 007_Servicios tecnológicos</v>
      </c>
      <c r="Z391" s="227" t="str">
        <f t="shared" si="24"/>
        <v>O23011745992024020711007</v>
      </c>
      <c r="AA391" s="227" t="str">
        <f>IFERROR(VLOOKUP(Y391,TD!$K$47:$L$65,2,0)," ")</f>
        <v>PM/0131/0111/45990070207</v>
      </c>
      <c r="AB391" s="128" t="s">
        <v>138</v>
      </c>
      <c r="AC391" s="228" t="s">
        <v>204</v>
      </c>
    </row>
    <row r="392" spans="2:29" s="28" customFormat="1" ht="99" customHeight="1" x14ac:dyDescent="0.35">
      <c r="B392" s="130">
        <v>20250367</v>
      </c>
      <c r="C392" s="132" t="s">
        <v>208</v>
      </c>
      <c r="D392" s="224" t="s">
        <v>162</v>
      </c>
      <c r="E392" s="225" t="s">
        <v>355</v>
      </c>
      <c r="F392" s="224" t="s">
        <v>792</v>
      </c>
      <c r="G392" s="224" t="s">
        <v>156</v>
      </c>
      <c r="H392" s="133">
        <v>80111600</v>
      </c>
      <c r="I392" s="226">
        <v>2</v>
      </c>
      <c r="J392" s="129">
        <v>11</v>
      </c>
      <c r="K392" s="129">
        <v>0</v>
      </c>
      <c r="L392" s="128">
        <v>33000000</v>
      </c>
      <c r="M392" s="224" t="s">
        <v>465</v>
      </c>
      <c r="N392" s="128" t="s">
        <v>113</v>
      </c>
      <c r="O392" s="225" t="s">
        <v>215</v>
      </c>
      <c r="P392" s="227" t="str">
        <f>IFERROR(VLOOKUP(C392,TD!$B$33:$F$37,2,0)," ")</f>
        <v>O230117</v>
      </c>
      <c r="Q392" s="227" t="str">
        <f>IFERROR(VLOOKUP(C392,TD!$B$33:$F$37,3,0)," ")</f>
        <v>4599</v>
      </c>
      <c r="R392" s="227">
        <f>IFERROR(VLOOKUP(C392,TD!$B$33:$F$37,4,0)," ")</f>
        <v>20240207</v>
      </c>
      <c r="S392" s="225" t="s">
        <v>179</v>
      </c>
      <c r="T392" s="227" t="str">
        <f>IFERROR(VLOOKUP(S392,TD!$J$34:$K$44,2,0)," ")</f>
        <v>Infraestructura Tecnológica   (Sistemas de Información y Tecnologia)</v>
      </c>
      <c r="U392" s="222" t="str">
        <f t="shared" si="21"/>
        <v>11-Infraestructura Tecnológica   (Sistemas de Información y Tecnologia)</v>
      </c>
      <c r="V392" s="225" t="s">
        <v>239</v>
      </c>
      <c r="W392" s="227" t="str">
        <f>IFERROR(VLOOKUP(V392,TD!$N$34:$O$46,2,0)," ")</f>
        <v>Servicios tecnológicos</v>
      </c>
      <c r="X392" s="222" t="str">
        <f t="shared" si="22"/>
        <v>007_Servicios tecnológicos</v>
      </c>
      <c r="Y392" s="222" t="str">
        <f t="shared" si="23"/>
        <v>11-Infraestructura Tecnológica   (Sistemas de Información y Tecnologia) 007_Servicios tecnológicos</v>
      </c>
      <c r="Z392" s="227" t="str">
        <f t="shared" si="24"/>
        <v>O23011745992024020711007</v>
      </c>
      <c r="AA392" s="227" t="str">
        <f>IFERROR(VLOOKUP(Y392,TD!$K$47:$L$65,2,0)," ")</f>
        <v>PM/0131/0111/45990070207</v>
      </c>
      <c r="AB392" s="128" t="s">
        <v>138</v>
      </c>
      <c r="AC392" s="228" t="s">
        <v>204</v>
      </c>
    </row>
    <row r="393" spans="2:29" s="28" customFormat="1" ht="99" customHeight="1" x14ac:dyDescent="0.35">
      <c r="B393" s="130">
        <v>20250368</v>
      </c>
      <c r="C393" s="132" t="s">
        <v>208</v>
      </c>
      <c r="D393" s="224" t="s">
        <v>162</v>
      </c>
      <c r="E393" s="225" t="s">
        <v>355</v>
      </c>
      <c r="F393" s="224" t="s">
        <v>793</v>
      </c>
      <c r="G393" s="224" t="s">
        <v>156</v>
      </c>
      <c r="H393" s="133">
        <v>80111600</v>
      </c>
      <c r="I393" s="226">
        <v>2</v>
      </c>
      <c r="J393" s="129">
        <v>11</v>
      </c>
      <c r="K393" s="129">
        <v>0</v>
      </c>
      <c r="L393" s="128">
        <v>39600000</v>
      </c>
      <c r="M393" s="224" t="s">
        <v>465</v>
      </c>
      <c r="N393" s="128" t="s">
        <v>113</v>
      </c>
      <c r="O393" s="225" t="s">
        <v>215</v>
      </c>
      <c r="P393" s="227" t="str">
        <f>IFERROR(VLOOKUP(C393,TD!$B$33:$F$37,2,0)," ")</f>
        <v>O230117</v>
      </c>
      <c r="Q393" s="227" t="str">
        <f>IFERROR(VLOOKUP(C393,TD!$B$33:$F$37,3,0)," ")</f>
        <v>4599</v>
      </c>
      <c r="R393" s="227">
        <f>IFERROR(VLOOKUP(C393,TD!$B$33:$F$37,4,0)," ")</f>
        <v>20240207</v>
      </c>
      <c r="S393" s="225" t="s">
        <v>179</v>
      </c>
      <c r="T393" s="227" t="str">
        <f>IFERROR(VLOOKUP(S393,TD!$J$34:$K$44,2,0)," ")</f>
        <v>Infraestructura Tecnológica   (Sistemas de Información y Tecnologia)</v>
      </c>
      <c r="U393" s="222" t="str">
        <f t="shared" si="21"/>
        <v>11-Infraestructura Tecnológica   (Sistemas de Información y Tecnologia)</v>
      </c>
      <c r="V393" s="225" t="s">
        <v>239</v>
      </c>
      <c r="W393" s="227" t="str">
        <f>IFERROR(VLOOKUP(V393,TD!$N$34:$O$46,2,0)," ")</f>
        <v>Servicios tecnológicos</v>
      </c>
      <c r="X393" s="222" t="str">
        <f t="shared" si="22"/>
        <v>007_Servicios tecnológicos</v>
      </c>
      <c r="Y393" s="222" t="str">
        <f t="shared" si="23"/>
        <v>11-Infraestructura Tecnológica   (Sistemas de Información y Tecnologia) 007_Servicios tecnológicos</v>
      </c>
      <c r="Z393" s="227" t="str">
        <f t="shared" si="24"/>
        <v>O23011745992024020711007</v>
      </c>
      <c r="AA393" s="227" t="str">
        <f>IFERROR(VLOOKUP(Y393,TD!$K$47:$L$65,2,0)," ")</f>
        <v>PM/0131/0111/45990070207</v>
      </c>
      <c r="AB393" s="128" t="s">
        <v>138</v>
      </c>
      <c r="AC393" s="228" t="s">
        <v>204</v>
      </c>
    </row>
    <row r="394" spans="2:29" s="28" customFormat="1" ht="99" customHeight="1" x14ac:dyDescent="0.35">
      <c r="B394" s="130">
        <v>20250369</v>
      </c>
      <c r="C394" s="132" t="s">
        <v>208</v>
      </c>
      <c r="D394" s="224" t="s">
        <v>162</v>
      </c>
      <c r="E394" s="225" t="s">
        <v>355</v>
      </c>
      <c r="F394" s="224" t="s">
        <v>794</v>
      </c>
      <c r="G394" s="224" t="s">
        <v>156</v>
      </c>
      <c r="H394" s="133">
        <v>80111600</v>
      </c>
      <c r="I394" s="226">
        <v>2</v>
      </c>
      <c r="J394" s="129">
        <v>11</v>
      </c>
      <c r="K394" s="129">
        <v>0</v>
      </c>
      <c r="L394" s="128">
        <v>38000000</v>
      </c>
      <c r="M394" s="224" t="s">
        <v>465</v>
      </c>
      <c r="N394" s="128" t="s">
        <v>113</v>
      </c>
      <c r="O394" s="225" t="s">
        <v>215</v>
      </c>
      <c r="P394" s="227" t="str">
        <f>IFERROR(VLOOKUP(C394,TD!$B$33:$F$37,2,0)," ")</f>
        <v>O230117</v>
      </c>
      <c r="Q394" s="227" t="str">
        <f>IFERROR(VLOOKUP(C394,TD!$B$33:$F$37,3,0)," ")</f>
        <v>4599</v>
      </c>
      <c r="R394" s="227">
        <f>IFERROR(VLOOKUP(C394,TD!$B$33:$F$37,4,0)," ")</f>
        <v>20240207</v>
      </c>
      <c r="S394" s="225" t="s">
        <v>179</v>
      </c>
      <c r="T394" s="227" t="str">
        <f>IFERROR(VLOOKUP(S394,TD!$J$34:$K$44,2,0)," ")</f>
        <v>Infraestructura Tecnológica   (Sistemas de Información y Tecnologia)</v>
      </c>
      <c r="U394" s="222" t="str">
        <f t="shared" si="21"/>
        <v>11-Infraestructura Tecnológica   (Sistemas de Información y Tecnologia)</v>
      </c>
      <c r="V394" s="225" t="s">
        <v>239</v>
      </c>
      <c r="W394" s="227" t="str">
        <f>IFERROR(VLOOKUP(V394,TD!$N$34:$O$46,2,0)," ")</f>
        <v>Servicios tecnológicos</v>
      </c>
      <c r="X394" s="222" t="str">
        <f t="shared" si="22"/>
        <v>007_Servicios tecnológicos</v>
      </c>
      <c r="Y394" s="222" t="str">
        <f t="shared" si="23"/>
        <v>11-Infraestructura Tecnológica   (Sistemas de Información y Tecnologia) 007_Servicios tecnológicos</v>
      </c>
      <c r="Z394" s="227" t="str">
        <f t="shared" si="24"/>
        <v>O23011745992024020711007</v>
      </c>
      <c r="AA394" s="227" t="str">
        <f>IFERROR(VLOOKUP(Y394,TD!$K$47:$L$65,2,0)," ")</f>
        <v>PM/0131/0111/45990070207</v>
      </c>
      <c r="AB394" s="128" t="s">
        <v>138</v>
      </c>
      <c r="AC394" s="228" t="s">
        <v>204</v>
      </c>
    </row>
    <row r="395" spans="2:29" s="28" customFormat="1" ht="99" customHeight="1" x14ac:dyDescent="0.35">
      <c r="B395" s="130">
        <v>20250370</v>
      </c>
      <c r="C395" s="132" t="s">
        <v>208</v>
      </c>
      <c r="D395" s="224" t="s">
        <v>162</v>
      </c>
      <c r="E395" s="225" t="s">
        <v>355</v>
      </c>
      <c r="F395" s="224" t="s">
        <v>795</v>
      </c>
      <c r="G395" s="224" t="s">
        <v>156</v>
      </c>
      <c r="H395" s="133">
        <v>80111600</v>
      </c>
      <c r="I395" s="226">
        <v>2</v>
      </c>
      <c r="J395" s="129">
        <v>11</v>
      </c>
      <c r="K395" s="129">
        <v>0</v>
      </c>
      <c r="L395" s="128">
        <v>22500000</v>
      </c>
      <c r="M395" s="224" t="s">
        <v>465</v>
      </c>
      <c r="N395" s="128" t="s">
        <v>113</v>
      </c>
      <c r="O395" s="225" t="s">
        <v>215</v>
      </c>
      <c r="P395" s="227" t="str">
        <f>IFERROR(VLOOKUP(C395,TD!$B$33:$F$37,2,0)," ")</f>
        <v>O230117</v>
      </c>
      <c r="Q395" s="227" t="str">
        <f>IFERROR(VLOOKUP(C395,TD!$B$33:$F$37,3,0)," ")</f>
        <v>4599</v>
      </c>
      <c r="R395" s="227">
        <f>IFERROR(VLOOKUP(C395,TD!$B$33:$F$37,4,0)," ")</f>
        <v>20240207</v>
      </c>
      <c r="S395" s="225" t="s">
        <v>179</v>
      </c>
      <c r="T395" s="227" t="str">
        <f>IFERROR(VLOOKUP(S395,TD!$J$34:$K$44,2,0)," ")</f>
        <v>Infraestructura Tecnológica   (Sistemas de Información y Tecnologia)</v>
      </c>
      <c r="U395" s="222" t="str">
        <f t="shared" si="21"/>
        <v>11-Infraestructura Tecnológica   (Sistemas de Información y Tecnologia)</v>
      </c>
      <c r="V395" s="225" t="s">
        <v>239</v>
      </c>
      <c r="W395" s="227" t="str">
        <f>IFERROR(VLOOKUP(V395,TD!$N$34:$O$46,2,0)," ")</f>
        <v>Servicios tecnológicos</v>
      </c>
      <c r="X395" s="222" t="str">
        <f t="shared" si="22"/>
        <v>007_Servicios tecnológicos</v>
      </c>
      <c r="Y395" s="222" t="str">
        <f t="shared" si="23"/>
        <v>11-Infraestructura Tecnológica   (Sistemas de Información y Tecnologia) 007_Servicios tecnológicos</v>
      </c>
      <c r="Z395" s="227" t="str">
        <f t="shared" si="24"/>
        <v>O23011745992024020711007</v>
      </c>
      <c r="AA395" s="227" t="str">
        <f>IFERROR(VLOOKUP(Y395,TD!$K$47:$L$65,2,0)," ")</f>
        <v>PM/0131/0111/45990070207</v>
      </c>
      <c r="AB395" s="128" t="s">
        <v>138</v>
      </c>
      <c r="AC395" s="228" t="s">
        <v>204</v>
      </c>
    </row>
    <row r="396" spans="2:29" s="28" customFormat="1" ht="99" customHeight="1" x14ac:dyDescent="0.35">
      <c r="B396" s="130">
        <v>20250371</v>
      </c>
      <c r="C396" s="132" t="s">
        <v>208</v>
      </c>
      <c r="D396" s="224" t="s">
        <v>162</v>
      </c>
      <c r="E396" s="225" t="s">
        <v>355</v>
      </c>
      <c r="F396" s="224" t="s">
        <v>796</v>
      </c>
      <c r="G396" s="224" t="s">
        <v>155</v>
      </c>
      <c r="H396" s="133">
        <v>80111600</v>
      </c>
      <c r="I396" s="226">
        <v>3</v>
      </c>
      <c r="J396" s="129">
        <v>10</v>
      </c>
      <c r="K396" s="129">
        <v>0</v>
      </c>
      <c r="L396" s="128">
        <v>45000000</v>
      </c>
      <c r="M396" s="224" t="s">
        <v>465</v>
      </c>
      <c r="N396" s="128" t="s">
        <v>113</v>
      </c>
      <c r="O396" s="225" t="s">
        <v>214</v>
      </c>
      <c r="P396" s="227" t="str">
        <f>IFERROR(VLOOKUP(C396,TD!$B$33:$F$37,2,0)," ")</f>
        <v>O230117</v>
      </c>
      <c r="Q396" s="227" t="str">
        <f>IFERROR(VLOOKUP(C396,TD!$B$33:$F$37,3,0)," ")</f>
        <v>4599</v>
      </c>
      <c r="R396" s="227">
        <f>IFERROR(VLOOKUP(C396,TD!$B$33:$F$37,4,0)," ")</f>
        <v>20240207</v>
      </c>
      <c r="S396" s="225" t="s">
        <v>179</v>
      </c>
      <c r="T396" s="227" t="str">
        <f>IFERROR(VLOOKUP(S396,TD!$J$34:$K$44,2,0)," ")</f>
        <v>Infraestructura Tecnológica   (Sistemas de Información y Tecnologia)</v>
      </c>
      <c r="U396" s="222" t="str">
        <f t="shared" ref="U396:U459" si="25">CONCATENATE(S396,"-",T396)</f>
        <v>11-Infraestructura Tecnológica   (Sistemas de Información y Tecnologia)</v>
      </c>
      <c r="V396" s="225" t="s">
        <v>239</v>
      </c>
      <c r="W396" s="227" t="str">
        <f>IFERROR(VLOOKUP(V396,TD!$N$34:$O$46,2,0)," ")</f>
        <v>Servicios tecnológicos</v>
      </c>
      <c r="X396" s="222" t="str">
        <f t="shared" ref="X396:X459" si="26">CONCATENATE(V396,"_",W396)</f>
        <v>007_Servicios tecnológicos</v>
      </c>
      <c r="Y396" s="222" t="str">
        <f t="shared" ref="Y396:Y459" si="27">CONCATENATE(U396," ",X396)</f>
        <v>11-Infraestructura Tecnológica   (Sistemas de Información y Tecnologia) 007_Servicios tecnológicos</v>
      </c>
      <c r="Z396" s="227" t="str">
        <f t="shared" ref="Z396:Z459" si="28">CONCATENATE(P396,Q396,R396,S396,V396)</f>
        <v>O23011745992024020711007</v>
      </c>
      <c r="AA396" s="227" t="str">
        <f>IFERROR(VLOOKUP(Y396,TD!$K$47:$L$65,2,0)," ")</f>
        <v>PM/0131/0111/45990070207</v>
      </c>
      <c r="AB396" s="128" t="s">
        <v>138</v>
      </c>
      <c r="AC396" s="228" t="s">
        <v>204</v>
      </c>
    </row>
    <row r="397" spans="2:29" s="28" customFormat="1" ht="99" customHeight="1" x14ac:dyDescent="0.35">
      <c r="B397" s="130">
        <v>20250372</v>
      </c>
      <c r="C397" s="132" t="s">
        <v>208</v>
      </c>
      <c r="D397" s="224" t="s">
        <v>162</v>
      </c>
      <c r="E397" s="225" t="s">
        <v>355</v>
      </c>
      <c r="F397" s="224" t="s">
        <v>797</v>
      </c>
      <c r="G397" s="224" t="s">
        <v>156</v>
      </c>
      <c r="H397" s="133">
        <v>80111600</v>
      </c>
      <c r="I397" s="226">
        <v>2</v>
      </c>
      <c r="J397" s="129">
        <v>11</v>
      </c>
      <c r="K397" s="129">
        <v>0</v>
      </c>
      <c r="L397" s="128">
        <v>45000000</v>
      </c>
      <c r="M397" s="224" t="s">
        <v>465</v>
      </c>
      <c r="N397" s="128" t="s">
        <v>113</v>
      </c>
      <c r="O397" s="225" t="s">
        <v>216</v>
      </c>
      <c r="P397" s="227" t="str">
        <f>IFERROR(VLOOKUP(C397,TD!$B$33:$F$37,2,0)," ")</f>
        <v>O230117</v>
      </c>
      <c r="Q397" s="227" t="str">
        <f>IFERROR(VLOOKUP(C397,TD!$B$33:$F$37,3,0)," ")</f>
        <v>4599</v>
      </c>
      <c r="R397" s="227">
        <f>IFERROR(VLOOKUP(C397,TD!$B$33:$F$37,4,0)," ")</f>
        <v>20240207</v>
      </c>
      <c r="S397" s="225" t="s">
        <v>179</v>
      </c>
      <c r="T397" s="227" t="str">
        <f>IFERROR(VLOOKUP(S397,TD!$J$34:$K$44,2,0)," ")</f>
        <v>Infraestructura Tecnológica   (Sistemas de Información y Tecnologia)</v>
      </c>
      <c r="U397" s="222" t="str">
        <f t="shared" si="25"/>
        <v>11-Infraestructura Tecnológica   (Sistemas de Información y Tecnologia)</v>
      </c>
      <c r="V397" s="225" t="s">
        <v>239</v>
      </c>
      <c r="W397" s="227" t="str">
        <f>IFERROR(VLOOKUP(V397,TD!$N$34:$O$46,2,0)," ")</f>
        <v>Servicios tecnológicos</v>
      </c>
      <c r="X397" s="222" t="str">
        <f t="shared" si="26"/>
        <v>007_Servicios tecnológicos</v>
      </c>
      <c r="Y397" s="222" t="str">
        <f t="shared" si="27"/>
        <v>11-Infraestructura Tecnológica   (Sistemas de Información y Tecnologia) 007_Servicios tecnológicos</v>
      </c>
      <c r="Z397" s="227" t="str">
        <f t="shared" si="28"/>
        <v>O23011745992024020711007</v>
      </c>
      <c r="AA397" s="227" t="str">
        <f>IFERROR(VLOOKUP(Y397,TD!$K$47:$L$65,2,0)," ")</f>
        <v>PM/0131/0111/45990070207</v>
      </c>
      <c r="AB397" s="128" t="s">
        <v>138</v>
      </c>
      <c r="AC397" s="228" t="s">
        <v>204</v>
      </c>
    </row>
    <row r="398" spans="2:29" s="28" customFormat="1" ht="99" customHeight="1" x14ac:dyDescent="0.35">
      <c r="B398" s="130">
        <v>20250373</v>
      </c>
      <c r="C398" s="132" t="s">
        <v>208</v>
      </c>
      <c r="D398" s="224" t="s">
        <v>162</v>
      </c>
      <c r="E398" s="225" t="s">
        <v>355</v>
      </c>
      <c r="F398" s="224" t="s">
        <v>798</v>
      </c>
      <c r="G398" s="224" t="s">
        <v>155</v>
      </c>
      <c r="H398" s="133">
        <v>80111600</v>
      </c>
      <c r="I398" s="226">
        <v>2</v>
      </c>
      <c r="J398" s="129">
        <v>11</v>
      </c>
      <c r="K398" s="129">
        <v>0</v>
      </c>
      <c r="L398" s="128">
        <v>77000000</v>
      </c>
      <c r="M398" s="224" t="s">
        <v>465</v>
      </c>
      <c r="N398" s="128" t="s">
        <v>113</v>
      </c>
      <c r="O398" s="225" t="s">
        <v>217</v>
      </c>
      <c r="P398" s="227" t="str">
        <f>IFERROR(VLOOKUP(C398,TD!$B$33:$F$37,2,0)," ")</f>
        <v>O230117</v>
      </c>
      <c r="Q398" s="227" t="str">
        <f>IFERROR(VLOOKUP(C398,TD!$B$33:$F$37,3,0)," ")</f>
        <v>4599</v>
      </c>
      <c r="R398" s="227">
        <f>IFERROR(VLOOKUP(C398,TD!$B$33:$F$37,4,0)," ")</f>
        <v>20240207</v>
      </c>
      <c r="S398" s="225" t="s">
        <v>179</v>
      </c>
      <c r="T398" s="227" t="str">
        <f>IFERROR(VLOOKUP(S398,TD!$J$34:$K$44,2,0)," ")</f>
        <v>Infraestructura Tecnológica   (Sistemas de Información y Tecnologia)</v>
      </c>
      <c r="U398" s="222" t="str">
        <f t="shared" si="25"/>
        <v>11-Infraestructura Tecnológica   (Sistemas de Información y Tecnologia)</v>
      </c>
      <c r="V398" s="225" t="s">
        <v>239</v>
      </c>
      <c r="W398" s="227" t="str">
        <f>IFERROR(VLOOKUP(V398,TD!$N$34:$O$46,2,0)," ")</f>
        <v>Servicios tecnológicos</v>
      </c>
      <c r="X398" s="222" t="str">
        <f t="shared" si="26"/>
        <v>007_Servicios tecnológicos</v>
      </c>
      <c r="Y398" s="222" t="str">
        <f t="shared" si="27"/>
        <v>11-Infraestructura Tecnológica   (Sistemas de Información y Tecnologia) 007_Servicios tecnológicos</v>
      </c>
      <c r="Z398" s="227" t="str">
        <f t="shared" si="28"/>
        <v>O23011745992024020711007</v>
      </c>
      <c r="AA398" s="227" t="str">
        <f>IFERROR(VLOOKUP(Y398,TD!$K$47:$L$65,2,0)," ")</f>
        <v>PM/0131/0111/45990070207</v>
      </c>
      <c r="AB398" s="128" t="s">
        <v>138</v>
      </c>
      <c r="AC398" s="228" t="s">
        <v>204</v>
      </c>
    </row>
    <row r="399" spans="2:29" s="28" customFormat="1" ht="99" customHeight="1" x14ac:dyDescent="0.35">
      <c r="B399" s="77">
        <v>20250374</v>
      </c>
      <c r="C399" s="50" t="s">
        <v>208</v>
      </c>
      <c r="D399" s="218" t="s">
        <v>162</v>
      </c>
      <c r="E399" s="219" t="s">
        <v>355</v>
      </c>
      <c r="F399" s="218" t="s">
        <v>799</v>
      </c>
      <c r="G399" s="218" t="s">
        <v>155</v>
      </c>
      <c r="H399" s="93">
        <v>80111600</v>
      </c>
      <c r="I399" s="220">
        <v>2</v>
      </c>
      <c r="J399" s="220">
        <v>11</v>
      </c>
      <c r="K399" s="52">
        <v>0</v>
      </c>
      <c r="L399" s="53">
        <v>77000000</v>
      </c>
      <c r="M399" s="218" t="s">
        <v>465</v>
      </c>
      <c r="N399" s="53" t="s">
        <v>113</v>
      </c>
      <c r="O399" s="219" t="s">
        <v>214</v>
      </c>
      <c r="P399" s="221" t="str">
        <f>IFERROR(VLOOKUP(C399,TD!$B$33:$F$37,2,0)," ")</f>
        <v>O230117</v>
      </c>
      <c r="Q399" s="221" t="str">
        <f>IFERROR(VLOOKUP(C399,TD!$B$33:$F$37,3,0)," ")</f>
        <v>4599</v>
      </c>
      <c r="R399" s="221">
        <f>IFERROR(VLOOKUP(C399,TD!$B$33:$F$37,4,0)," ")</f>
        <v>20240207</v>
      </c>
      <c r="S399" s="219" t="s">
        <v>179</v>
      </c>
      <c r="T399" s="221" t="str">
        <f>IFERROR(VLOOKUP(S399,TD!$J$34:$K$44,2,0)," ")</f>
        <v>Infraestructura Tecnológica   (Sistemas de Información y Tecnologia)</v>
      </c>
      <c r="U399" s="222" t="str">
        <f t="shared" si="25"/>
        <v>11-Infraestructura Tecnológica   (Sistemas de Información y Tecnologia)</v>
      </c>
      <c r="V399" s="219" t="s">
        <v>239</v>
      </c>
      <c r="W399" s="221" t="str">
        <f>IFERROR(VLOOKUP(V399,TD!$N$34:$O$46,2,0)," ")</f>
        <v>Servicios tecnológicos</v>
      </c>
      <c r="X399" s="222" t="str">
        <f t="shared" si="26"/>
        <v>007_Servicios tecnológicos</v>
      </c>
      <c r="Y399" s="222" t="str">
        <f t="shared" si="27"/>
        <v>11-Infraestructura Tecnológica   (Sistemas de Información y Tecnologia) 007_Servicios tecnológicos</v>
      </c>
      <c r="Z399" s="221" t="str">
        <f t="shared" si="28"/>
        <v>O23011745992024020711007</v>
      </c>
      <c r="AA399" s="221" t="str">
        <f>IFERROR(VLOOKUP(Y399,TD!$K$47:$L$65,2,0)," ")</f>
        <v>PM/0131/0111/45990070207</v>
      </c>
      <c r="AB399" s="53" t="s">
        <v>138</v>
      </c>
      <c r="AC399" s="223" t="s">
        <v>204</v>
      </c>
    </row>
    <row r="400" spans="2:29" s="28" customFormat="1" ht="99" customHeight="1" x14ac:dyDescent="0.35">
      <c r="B400" s="130">
        <v>20250375</v>
      </c>
      <c r="C400" s="132" t="s">
        <v>208</v>
      </c>
      <c r="D400" s="224" t="s">
        <v>162</v>
      </c>
      <c r="E400" s="225" t="s">
        <v>355</v>
      </c>
      <c r="F400" s="224" t="s">
        <v>799</v>
      </c>
      <c r="G400" s="224" t="s">
        <v>155</v>
      </c>
      <c r="H400" s="133">
        <v>80111600</v>
      </c>
      <c r="I400" s="226">
        <v>2</v>
      </c>
      <c r="J400" s="226">
        <v>11</v>
      </c>
      <c r="K400" s="129">
        <v>0</v>
      </c>
      <c r="L400" s="128">
        <v>70000000</v>
      </c>
      <c r="M400" s="224" t="s">
        <v>465</v>
      </c>
      <c r="N400" s="128" t="s">
        <v>113</v>
      </c>
      <c r="O400" s="225" t="s">
        <v>214</v>
      </c>
      <c r="P400" s="227" t="str">
        <f>IFERROR(VLOOKUP(C400,TD!$B$33:$F$37,2,0)," ")</f>
        <v>O230117</v>
      </c>
      <c r="Q400" s="227" t="str">
        <f>IFERROR(VLOOKUP(C400,TD!$B$33:$F$37,3,0)," ")</f>
        <v>4599</v>
      </c>
      <c r="R400" s="227">
        <f>IFERROR(VLOOKUP(C400,TD!$B$33:$F$37,4,0)," ")</f>
        <v>20240207</v>
      </c>
      <c r="S400" s="225" t="s">
        <v>179</v>
      </c>
      <c r="T400" s="227" t="str">
        <f>IFERROR(VLOOKUP(S400,TD!$J$34:$K$44,2,0)," ")</f>
        <v>Infraestructura Tecnológica   (Sistemas de Información y Tecnologia)</v>
      </c>
      <c r="U400" s="222" t="str">
        <f t="shared" si="25"/>
        <v>11-Infraestructura Tecnológica   (Sistemas de Información y Tecnologia)</v>
      </c>
      <c r="V400" s="225" t="s">
        <v>239</v>
      </c>
      <c r="W400" s="227" t="str">
        <f>IFERROR(VLOOKUP(V400,TD!$N$34:$O$46,2,0)," ")</f>
        <v>Servicios tecnológicos</v>
      </c>
      <c r="X400" s="222" t="str">
        <f t="shared" si="26"/>
        <v>007_Servicios tecnológicos</v>
      </c>
      <c r="Y400" s="222" t="str">
        <f t="shared" si="27"/>
        <v>11-Infraestructura Tecnológica   (Sistemas de Información y Tecnologia) 007_Servicios tecnológicos</v>
      </c>
      <c r="Z400" s="227" t="str">
        <f t="shared" si="28"/>
        <v>O23011745992024020711007</v>
      </c>
      <c r="AA400" s="227" t="str">
        <f>IFERROR(VLOOKUP(Y400,TD!$K$47:$L$65,2,0)," ")</f>
        <v>PM/0131/0111/45990070207</v>
      </c>
      <c r="AB400" s="128" t="s">
        <v>138</v>
      </c>
      <c r="AC400" s="228" t="s">
        <v>204</v>
      </c>
    </row>
    <row r="401" spans="2:29" s="28" customFormat="1" ht="99" customHeight="1" x14ac:dyDescent="0.35">
      <c r="B401" s="130">
        <v>20250376</v>
      </c>
      <c r="C401" s="132" t="s">
        <v>208</v>
      </c>
      <c r="D401" s="224" t="s">
        <v>162</v>
      </c>
      <c r="E401" s="225" t="s">
        <v>355</v>
      </c>
      <c r="F401" s="224" t="s">
        <v>800</v>
      </c>
      <c r="G401" s="224" t="s">
        <v>155</v>
      </c>
      <c r="H401" s="133">
        <v>80111600</v>
      </c>
      <c r="I401" s="226">
        <v>2</v>
      </c>
      <c r="J401" s="226">
        <v>11</v>
      </c>
      <c r="K401" s="129">
        <v>0</v>
      </c>
      <c r="L401" s="128">
        <v>40410000</v>
      </c>
      <c r="M401" s="224" t="s">
        <v>465</v>
      </c>
      <c r="N401" s="128" t="s">
        <v>113</v>
      </c>
      <c r="O401" s="225" t="s">
        <v>214</v>
      </c>
      <c r="P401" s="227" t="str">
        <f>IFERROR(VLOOKUP(C401,TD!$B$33:$F$37,2,0)," ")</f>
        <v>O230117</v>
      </c>
      <c r="Q401" s="227" t="str">
        <f>IFERROR(VLOOKUP(C401,TD!$B$33:$F$37,3,0)," ")</f>
        <v>4599</v>
      </c>
      <c r="R401" s="227">
        <f>IFERROR(VLOOKUP(C401,TD!$B$33:$F$37,4,0)," ")</f>
        <v>20240207</v>
      </c>
      <c r="S401" s="225" t="s">
        <v>179</v>
      </c>
      <c r="T401" s="227" t="str">
        <f>IFERROR(VLOOKUP(S401,TD!$J$34:$K$44,2,0)," ")</f>
        <v>Infraestructura Tecnológica   (Sistemas de Información y Tecnologia)</v>
      </c>
      <c r="U401" s="222" t="str">
        <f t="shared" si="25"/>
        <v>11-Infraestructura Tecnológica   (Sistemas de Información y Tecnologia)</v>
      </c>
      <c r="V401" s="225" t="s">
        <v>239</v>
      </c>
      <c r="W401" s="227" t="str">
        <f>IFERROR(VLOOKUP(V401,TD!$N$34:$O$46,2,0)," ")</f>
        <v>Servicios tecnológicos</v>
      </c>
      <c r="X401" s="222" t="str">
        <f t="shared" si="26"/>
        <v>007_Servicios tecnológicos</v>
      </c>
      <c r="Y401" s="222" t="str">
        <f t="shared" si="27"/>
        <v>11-Infraestructura Tecnológica   (Sistemas de Información y Tecnologia) 007_Servicios tecnológicos</v>
      </c>
      <c r="Z401" s="227" t="str">
        <f t="shared" si="28"/>
        <v>O23011745992024020711007</v>
      </c>
      <c r="AA401" s="227" t="str">
        <f>IFERROR(VLOOKUP(Y401,TD!$K$47:$L$65,2,0)," ")</f>
        <v>PM/0131/0111/45990070207</v>
      </c>
      <c r="AB401" s="128" t="s">
        <v>138</v>
      </c>
      <c r="AC401" s="228" t="s">
        <v>204</v>
      </c>
    </row>
    <row r="402" spans="2:29" s="28" customFormat="1" ht="99" customHeight="1" x14ac:dyDescent="0.35">
      <c r="B402" s="130">
        <v>20250377</v>
      </c>
      <c r="C402" s="132" t="s">
        <v>208</v>
      </c>
      <c r="D402" s="224" t="s">
        <v>162</v>
      </c>
      <c r="E402" s="225" t="s">
        <v>355</v>
      </c>
      <c r="F402" s="224" t="s">
        <v>801</v>
      </c>
      <c r="G402" s="224" t="s">
        <v>155</v>
      </c>
      <c r="H402" s="133">
        <v>80111600</v>
      </c>
      <c r="I402" s="226">
        <v>2</v>
      </c>
      <c r="J402" s="226">
        <v>11</v>
      </c>
      <c r="K402" s="129">
        <v>0</v>
      </c>
      <c r="L402" s="128">
        <v>40410000</v>
      </c>
      <c r="M402" s="224" t="s">
        <v>465</v>
      </c>
      <c r="N402" s="128" t="s">
        <v>113</v>
      </c>
      <c r="O402" s="225" t="s">
        <v>214</v>
      </c>
      <c r="P402" s="227" t="str">
        <f>IFERROR(VLOOKUP(C402,TD!$B$33:$F$37,2,0)," ")</f>
        <v>O230117</v>
      </c>
      <c r="Q402" s="227" t="str">
        <f>IFERROR(VLOOKUP(C402,TD!$B$33:$F$37,3,0)," ")</f>
        <v>4599</v>
      </c>
      <c r="R402" s="227">
        <f>IFERROR(VLOOKUP(C402,TD!$B$33:$F$37,4,0)," ")</f>
        <v>20240207</v>
      </c>
      <c r="S402" s="225" t="s">
        <v>179</v>
      </c>
      <c r="T402" s="227" t="str">
        <f>IFERROR(VLOOKUP(S402,TD!$J$34:$K$44,2,0)," ")</f>
        <v>Infraestructura Tecnológica   (Sistemas de Información y Tecnologia)</v>
      </c>
      <c r="U402" s="222" t="str">
        <f t="shared" si="25"/>
        <v>11-Infraestructura Tecnológica   (Sistemas de Información y Tecnologia)</v>
      </c>
      <c r="V402" s="225" t="s">
        <v>239</v>
      </c>
      <c r="W402" s="227" t="str">
        <f>IFERROR(VLOOKUP(V402,TD!$N$34:$O$46,2,0)," ")</f>
        <v>Servicios tecnológicos</v>
      </c>
      <c r="X402" s="222" t="str">
        <f t="shared" si="26"/>
        <v>007_Servicios tecnológicos</v>
      </c>
      <c r="Y402" s="222" t="str">
        <f t="shared" si="27"/>
        <v>11-Infraestructura Tecnológica   (Sistemas de Información y Tecnologia) 007_Servicios tecnológicos</v>
      </c>
      <c r="Z402" s="227" t="str">
        <f t="shared" si="28"/>
        <v>O23011745992024020711007</v>
      </c>
      <c r="AA402" s="227" t="str">
        <f>IFERROR(VLOOKUP(Y402,TD!$K$47:$L$65,2,0)," ")</f>
        <v>PM/0131/0111/45990070207</v>
      </c>
      <c r="AB402" s="128" t="s">
        <v>138</v>
      </c>
      <c r="AC402" s="228" t="s">
        <v>204</v>
      </c>
    </row>
    <row r="403" spans="2:29" s="28" customFormat="1" ht="99" customHeight="1" x14ac:dyDescent="0.35">
      <c r="B403" s="130">
        <v>20250378</v>
      </c>
      <c r="C403" s="132" t="s">
        <v>208</v>
      </c>
      <c r="D403" s="224" t="s">
        <v>162</v>
      </c>
      <c r="E403" s="225" t="s">
        <v>355</v>
      </c>
      <c r="F403" s="224" t="s">
        <v>802</v>
      </c>
      <c r="G403" s="224" t="s">
        <v>156</v>
      </c>
      <c r="H403" s="133">
        <v>80111600</v>
      </c>
      <c r="I403" s="226">
        <v>2</v>
      </c>
      <c r="J403" s="226">
        <v>11</v>
      </c>
      <c r="K403" s="129">
        <v>0</v>
      </c>
      <c r="L403" s="128">
        <v>30400000</v>
      </c>
      <c r="M403" s="224" t="s">
        <v>465</v>
      </c>
      <c r="N403" s="128" t="s">
        <v>113</v>
      </c>
      <c r="O403" s="225" t="s">
        <v>215</v>
      </c>
      <c r="P403" s="227" t="str">
        <f>IFERROR(VLOOKUP(C403,TD!$B$33:$F$37,2,0)," ")</f>
        <v>O230117</v>
      </c>
      <c r="Q403" s="227" t="str">
        <f>IFERROR(VLOOKUP(C403,TD!$B$33:$F$37,3,0)," ")</f>
        <v>4599</v>
      </c>
      <c r="R403" s="227">
        <f>IFERROR(VLOOKUP(C403,TD!$B$33:$F$37,4,0)," ")</f>
        <v>20240207</v>
      </c>
      <c r="S403" s="225" t="s">
        <v>179</v>
      </c>
      <c r="T403" s="227" t="str">
        <f>IFERROR(VLOOKUP(S403,TD!$J$34:$K$44,2,0)," ")</f>
        <v>Infraestructura Tecnológica   (Sistemas de Información y Tecnologia)</v>
      </c>
      <c r="U403" s="222" t="str">
        <f t="shared" si="25"/>
        <v>11-Infraestructura Tecnológica   (Sistemas de Información y Tecnologia)</v>
      </c>
      <c r="V403" s="225" t="s">
        <v>239</v>
      </c>
      <c r="W403" s="227" t="str">
        <f>IFERROR(VLOOKUP(V403,TD!$N$34:$O$46,2,0)," ")</f>
        <v>Servicios tecnológicos</v>
      </c>
      <c r="X403" s="222" t="str">
        <f t="shared" si="26"/>
        <v>007_Servicios tecnológicos</v>
      </c>
      <c r="Y403" s="222" t="str">
        <f t="shared" si="27"/>
        <v>11-Infraestructura Tecnológica   (Sistemas de Información y Tecnologia) 007_Servicios tecnológicos</v>
      </c>
      <c r="Z403" s="227" t="str">
        <f t="shared" si="28"/>
        <v>O23011745992024020711007</v>
      </c>
      <c r="AA403" s="227" t="str">
        <f>IFERROR(VLOOKUP(Y403,TD!$K$47:$L$65,2,0)," ")</f>
        <v>PM/0131/0111/45990070207</v>
      </c>
      <c r="AB403" s="128" t="s">
        <v>138</v>
      </c>
      <c r="AC403" s="228" t="s">
        <v>204</v>
      </c>
    </row>
    <row r="404" spans="2:29" s="28" customFormat="1" ht="99" customHeight="1" x14ac:dyDescent="0.35">
      <c r="B404" s="130">
        <v>20250379</v>
      </c>
      <c r="C404" s="132" t="s">
        <v>208</v>
      </c>
      <c r="D404" s="224" t="s">
        <v>162</v>
      </c>
      <c r="E404" s="225" t="s">
        <v>355</v>
      </c>
      <c r="F404" s="224" t="s">
        <v>803</v>
      </c>
      <c r="G404" s="224" t="s">
        <v>155</v>
      </c>
      <c r="H404" s="133">
        <v>80111600</v>
      </c>
      <c r="I404" s="226">
        <v>2</v>
      </c>
      <c r="J404" s="226">
        <v>11</v>
      </c>
      <c r="K404" s="129">
        <v>0</v>
      </c>
      <c r="L404" s="128">
        <v>25800000</v>
      </c>
      <c r="M404" s="224" t="s">
        <v>465</v>
      </c>
      <c r="N404" s="128" t="s">
        <v>113</v>
      </c>
      <c r="O404" s="225" t="s">
        <v>215</v>
      </c>
      <c r="P404" s="227" t="str">
        <f>IFERROR(VLOOKUP(C404,TD!$B$33:$F$37,2,0)," ")</f>
        <v>O230117</v>
      </c>
      <c r="Q404" s="227" t="str">
        <f>IFERROR(VLOOKUP(C404,TD!$B$33:$F$37,3,0)," ")</f>
        <v>4599</v>
      </c>
      <c r="R404" s="227">
        <f>IFERROR(VLOOKUP(C404,TD!$B$33:$F$37,4,0)," ")</f>
        <v>20240207</v>
      </c>
      <c r="S404" s="225" t="s">
        <v>179</v>
      </c>
      <c r="T404" s="227" t="str">
        <f>IFERROR(VLOOKUP(S404,TD!$J$34:$K$44,2,0)," ")</f>
        <v>Infraestructura Tecnológica   (Sistemas de Información y Tecnologia)</v>
      </c>
      <c r="U404" s="222" t="str">
        <f t="shared" si="25"/>
        <v>11-Infraestructura Tecnológica   (Sistemas de Información y Tecnologia)</v>
      </c>
      <c r="V404" s="225" t="s">
        <v>239</v>
      </c>
      <c r="W404" s="227" t="str">
        <f>IFERROR(VLOOKUP(V404,TD!$N$34:$O$46,2,0)," ")</f>
        <v>Servicios tecnológicos</v>
      </c>
      <c r="X404" s="222" t="str">
        <f t="shared" si="26"/>
        <v>007_Servicios tecnológicos</v>
      </c>
      <c r="Y404" s="222" t="str">
        <f t="shared" si="27"/>
        <v>11-Infraestructura Tecnológica   (Sistemas de Información y Tecnologia) 007_Servicios tecnológicos</v>
      </c>
      <c r="Z404" s="227" t="str">
        <f t="shared" si="28"/>
        <v>O23011745992024020711007</v>
      </c>
      <c r="AA404" s="227" t="str">
        <f>IFERROR(VLOOKUP(Y404,TD!$K$47:$L$65,2,0)," ")</f>
        <v>PM/0131/0111/45990070207</v>
      </c>
      <c r="AB404" s="128" t="s">
        <v>138</v>
      </c>
      <c r="AC404" s="228" t="s">
        <v>204</v>
      </c>
    </row>
    <row r="405" spans="2:29" s="28" customFormat="1" ht="99" customHeight="1" x14ac:dyDescent="0.35">
      <c r="B405" s="130">
        <v>20250380</v>
      </c>
      <c r="C405" s="132" t="s">
        <v>208</v>
      </c>
      <c r="D405" s="224" t="s">
        <v>162</v>
      </c>
      <c r="E405" s="225" t="s">
        <v>355</v>
      </c>
      <c r="F405" s="224" t="s">
        <v>804</v>
      </c>
      <c r="G405" s="224" t="s">
        <v>155</v>
      </c>
      <c r="H405" s="133">
        <v>80111600</v>
      </c>
      <c r="I405" s="226">
        <v>2</v>
      </c>
      <c r="J405" s="226">
        <v>11</v>
      </c>
      <c r="K405" s="129">
        <v>0</v>
      </c>
      <c r="L405" s="128">
        <v>47500000</v>
      </c>
      <c r="M405" s="224" t="s">
        <v>465</v>
      </c>
      <c r="N405" s="128" t="s">
        <v>113</v>
      </c>
      <c r="O405" s="225" t="s">
        <v>215</v>
      </c>
      <c r="P405" s="227" t="str">
        <f>IFERROR(VLOOKUP(C405,TD!$B$33:$F$37,2,0)," ")</f>
        <v>O230117</v>
      </c>
      <c r="Q405" s="227" t="str">
        <f>IFERROR(VLOOKUP(C405,TD!$B$33:$F$37,3,0)," ")</f>
        <v>4599</v>
      </c>
      <c r="R405" s="227">
        <f>IFERROR(VLOOKUP(C405,TD!$B$33:$F$37,4,0)," ")</f>
        <v>20240207</v>
      </c>
      <c r="S405" s="225" t="s">
        <v>179</v>
      </c>
      <c r="T405" s="227" t="str">
        <f>IFERROR(VLOOKUP(S405,TD!$J$34:$K$44,2,0)," ")</f>
        <v>Infraestructura Tecnológica   (Sistemas de Información y Tecnologia)</v>
      </c>
      <c r="U405" s="222" t="str">
        <f t="shared" si="25"/>
        <v>11-Infraestructura Tecnológica   (Sistemas de Información y Tecnologia)</v>
      </c>
      <c r="V405" s="225" t="s">
        <v>239</v>
      </c>
      <c r="W405" s="227" t="str">
        <f>IFERROR(VLOOKUP(V405,TD!$N$34:$O$46,2,0)," ")</f>
        <v>Servicios tecnológicos</v>
      </c>
      <c r="X405" s="222" t="str">
        <f t="shared" si="26"/>
        <v>007_Servicios tecnológicos</v>
      </c>
      <c r="Y405" s="222" t="str">
        <f t="shared" si="27"/>
        <v>11-Infraestructura Tecnológica   (Sistemas de Información y Tecnologia) 007_Servicios tecnológicos</v>
      </c>
      <c r="Z405" s="227" t="str">
        <f t="shared" si="28"/>
        <v>O23011745992024020711007</v>
      </c>
      <c r="AA405" s="227" t="str">
        <f>IFERROR(VLOOKUP(Y405,TD!$K$47:$L$65,2,0)," ")</f>
        <v>PM/0131/0111/45990070207</v>
      </c>
      <c r="AB405" s="128" t="s">
        <v>120</v>
      </c>
      <c r="AC405" s="228" t="s">
        <v>204</v>
      </c>
    </row>
    <row r="406" spans="2:29" s="28" customFormat="1" ht="99" customHeight="1" x14ac:dyDescent="0.35">
      <c r="B406" s="130">
        <v>20250381</v>
      </c>
      <c r="C406" s="132" t="s">
        <v>208</v>
      </c>
      <c r="D406" s="224" t="s">
        <v>162</v>
      </c>
      <c r="E406" s="225" t="s">
        <v>355</v>
      </c>
      <c r="F406" s="224" t="s">
        <v>805</v>
      </c>
      <c r="G406" s="224" t="s">
        <v>155</v>
      </c>
      <c r="H406" s="133">
        <v>80111600</v>
      </c>
      <c r="I406" s="226">
        <v>2</v>
      </c>
      <c r="J406" s="226">
        <v>11</v>
      </c>
      <c r="K406" s="129">
        <v>0</v>
      </c>
      <c r="L406" s="128">
        <v>39000000</v>
      </c>
      <c r="M406" s="224" t="s">
        <v>465</v>
      </c>
      <c r="N406" s="128" t="s">
        <v>113</v>
      </c>
      <c r="O406" s="225" t="s">
        <v>215</v>
      </c>
      <c r="P406" s="227" t="str">
        <f>IFERROR(VLOOKUP(C406,TD!$B$33:$F$37,2,0)," ")</f>
        <v>O230117</v>
      </c>
      <c r="Q406" s="227" t="str">
        <f>IFERROR(VLOOKUP(C406,TD!$B$33:$F$37,3,0)," ")</f>
        <v>4599</v>
      </c>
      <c r="R406" s="227">
        <f>IFERROR(VLOOKUP(C406,TD!$B$33:$F$37,4,0)," ")</f>
        <v>20240207</v>
      </c>
      <c r="S406" s="225" t="s">
        <v>179</v>
      </c>
      <c r="T406" s="227" t="str">
        <f>IFERROR(VLOOKUP(S406,TD!$J$34:$K$44,2,0)," ")</f>
        <v>Infraestructura Tecnológica   (Sistemas de Información y Tecnologia)</v>
      </c>
      <c r="U406" s="222" t="str">
        <f t="shared" si="25"/>
        <v>11-Infraestructura Tecnológica   (Sistemas de Información y Tecnologia)</v>
      </c>
      <c r="V406" s="225" t="s">
        <v>239</v>
      </c>
      <c r="W406" s="227" t="str">
        <f>IFERROR(VLOOKUP(V406,TD!$N$34:$O$46,2,0)," ")</f>
        <v>Servicios tecnológicos</v>
      </c>
      <c r="X406" s="222" t="str">
        <f t="shared" si="26"/>
        <v>007_Servicios tecnológicos</v>
      </c>
      <c r="Y406" s="222" t="str">
        <f t="shared" si="27"/>
        <v>11-Infraestructura Tecnológica   (Sistemas de Información y Tecnologia) 007_Servicios tecnológicos</v>
      </c>
      <c r="Z406" s="227" t="str">
        <f t="shared" si="28"/>
        <v>O23011745992024020711007</v>
      </c>
      <c r="AA406" s="227" t="str">
        <f>IFERROR(VLOOKUP(Y406,TD!$K$47:$L$65,2,0)," ")</f>
        <v>PM/0131/0111/45990070207</v>
      </c>
      <c r="AB406" s="128" t="s">
        <v>120</v>
      </c>
      <c r="AC406" s="228" t="s">
        <v>204</v>
      </c>
    </row>
    <row r="407" spans="2:29" s="28" customFormat="1" ht="99" customHeight="1" x14ac:dyDescent="0.35">
      <c r="B407" s="130">
        <v>20250383</v>
      </c>
      <c r="C407" s="132" t="s">
        <v>208</v>
      </c>
      <c r="D407" s="224" t="s">
        <v>162</v>
      </c>
      <c r="E407" s="225" t="s">
        <v>355</v>
      </c>
      <c r="F407" s="224" t="s">
        <v>553</v>
      </c>
      <c r="G407" s="224" t="s">
        <v>96</v>
      </c>
      <c r="H407" s="133" t="s">
        <v>806</v>
      </c>
      <c r="I407" s="226">
        <v>3</v>
      </c>
      <c r="J407" s="226">
        <v>9</v>
      </c>
      <c r="K407" s="129">
        <v>0</v>
      </c>
      <c r="L407" s="128">
        <v>95933779</v>
      </c>
      <c r="M407" s="224" t="s">
        <v>465</v>
      </c>
      <c r="N407" s="128" t="s">
        <v>123</v>
      </c>
      <c r="O407" s="225" t="s">
        <v>214</v>
      </c>
      <c r="P407" s="227" t="str">
        <f>IFERROR(VLOOKUP(C407,TD!$B$33:$F$37,2,0)," ")</f>
        <v>O230117</v>
      </c>
      <c r="Q407" s="227" t="str">
        <f>IFERROR(VLOOKUP(C407,TD!$B$33:$F$37,3,0)," ")</f>
        <v>4599</v>
      </c>
      <c r="R407" s="227">
        <f>IFERROR(VLOOKUP(C407,TD!$B$33:$F$37,4,0)," ")</f>
        <v>20240207</v>
      </c>
      <c r="S407" s="225" t="s">
        <v>179</v>
      </c>
      <c r="T407" s="227" t="str">
        <f>IFERROR(VLOOKUP(S407,TD!$J$34:$K$44,2,0)," ")</f>
        <v>Infraestructura Tecnológica   (Sistemas de Información y Tecnologia)</v>
      </c>
      <c r="U407" s="222" t="str">
        <f t="shared" si="25"/>
        <v>11-Infraestructura Tecnológica   (Sistemas de Información y Tecnologia)</v>
      </c>
      <c r="V407" s="225" t="s">
        <v>239</v>
      </c>
      <c r="W407" s="227" t="str">
        <f>IFERROR(VLOOKUP(V407,TD!$N$34:$O$46,2,0)," ")</f>
        <v>Servicios tecnológicos</v>
      </c>
      <c r="X407" s="222" t="str">
        <f t="shared" si="26"/>
        <v>007_Servicios tecnológicos</v>
      </c>
      <c r="Y407" s="222" t="str">
        <f t="shared" si="27"/>
        <v>11-Infraestructura Tecnológica   (Sistemas de Información y Tecnologia) 007_Servicios tecnológicos</v>
      </c>
      <c r="Z407" s="227" t="str">
        <f t="shared" si="28"/>
        <v>O23011745992024020711007</v>
      </c>
      <c r="AA407" s="227" t="str">
        <f>IFERROR(VLOOKUP(Y407,TD!$K$47:$L$65,2,0)," ")</f>
        <v>PM/0131/0111/45990070207</v>
      </c>
      <c r="AB407" s="128" t="s">
        <v>125</v>
      </c>
      <c r="AC407" s="228" t="s">
        <v>204</v>
      </c>
    </row>
    <row r="408" spans="2:29" s="28" customFormat="1" ht="99" customHeight="1" x14ac:dyDescent="0.35">
      <c r="B408" s="130">
        <v>20250385</v>
      </c>
      <c r="C408" s="132" t="s">
        <v>208</v>
      </c>
      <c r="D408" s="224" t="s">
        <v>162</v>
      </c>
      <c r="E408" s="225" t="s">
        <v>355</v>
      </c>
      <c r="F408" s="224" t="s">
        <v>940</v>
      </c>
      <c r="G408" s="224" t="s">
        <v>109</v>
      </c>
      <c r="H408" s="133">
        <v>81111801</v>
      </c>
      <c r="I408" s="226">
        <v>6</v>
      </c>
      <c r="J408" s="226">
        <v>12</v>
      </c>
      <c r="K408" s="129">
        <v>0</v>
      </c>
      <c r="L408" s="128">
        <f>9000000+6000000</f>
        <v>15000000</v>
      </c>
      <c r="M408" s="224" t="s">
        <v>465</v>
      </c>
      <c r="N408" s="128" t="s">
        <v>100</v>
      </c>
      <c r="O408" s="225" t="s">
        <v>214</v>
      </c>
      <c r="P408" s="227" t="str">
        <f>IFERROR(VLOOKUP(C408,TD!$B$33:$F$37,2,0)," ")</f>
        <v>O230117</v>
      </c>
      <c r="Q408" s="227" t="str">
        <f>IFERROR(VLOOKUP(C408,TD!$B$33:$F$37,3,0)," ")</f>
        <v>4599</v>
      </c>
      <c r="R408" s="227">
        <f>IFERROR(VLOOKUP(C408,TD!$B$33:$F$37,4,0)," ")</f>
        <v>20240207</v>
      </c>
      <c r="S408" s="225" t="s">
        <v>179</v>
      </c>
      <c r="T408" s="227" t="str">
        <f>IFERROR(VLOOKUP(S408,TD!$J$34:$K$44,2,0)," ")</f>
        <v>Infraestructura Tecnológica   (Sistemas de Información y Tecnologia)</v>
      </c>
      <c r="U408" s="222" t="str">
        <f t="shared" si="25"/>
        <v>11-Infraestructura Tecnológica   (Sistemas de Información y Tecnologia)</v>
      </c>
      <c r="V408" s="225" t="s">
        <v>239</v>
      </c>
      <c r="W408" s="227" t="str">
        <f>IFERROR(VLOOKUP(V408,TD!$N$34:$O$46,2,0)," ")</f>
        <v>Servicios tecnológicos</v>
      </c>
      <c r="X408" s="222" t="str">
        <f t="shared" si="26"/>
        <v>007_Servicios tecnológicos</v>
      </c>
      <c r="Y408" s="222" t="str">
        <f t="shared" si="27"/>
        <v>11-Infraestructura Tecnológica   (Sistemas de Información y Tecnologia) 007_Servicios tecnológicos</v>
      </c>
      <c r="Z408" s="227" t="str">
        <f t="shared" si="28"/>
        <v>O23011745992024020711007</v>
      </c>
      <c r="AA408" s="227" t="str">
        <f>IFERROR(VLOOKUP(Y408,TD!$K$47:$L$65,2,0)," ")</f>
        <v>PM/0131/0111/45990070207</v>
      </c>
      <c r="AB408" s="128" t="s">
        <v>125</v>
      </c>
      <c r="AC408" s="228" t="s">
        <v>204</v>
      </c>
    </row>
    <row r="409" spans="2:29" s="28" customFormat="1" ht="99" customHeight="1" x14ac:dyDescent="0.35">
      <c r="B409" s="130">
        <v>20250386</v>
      </c>
      <c r="C409" s="132" t="s">
        <v>208</v>
      </c>
      <c r="D409" s="224" t="s">
        <v>162</v>
      </c>
      <c r="E409" s="225" t="s">
        <v>355</v>
      </c>
      <c r="F409" s="224" t="s">
        <v>555</v>
      </c>
      <c r="G409" s="224" t="s">
        <v>152</v>
      </c>
      <c r="H409" s="133" t="s">
        <v>556</v>
      </c>
      <c r="I409" s="226">
        <v>3</v>
      </c>
      <c r="J409" s="226">
        <v>9</v>
      </c>
      <c r="K409" s="129">
        <v>0</v>
      </c>
      <c r="L409" s="128">
        <v>216142630</v>
      </c>
      <c r="M409" s="224" t="s">
        <v>465</v>
      </c>
      <c r="N409" s="128" t="s">
        <v>95</v>
      </c>
      <c r="O409" s="225" t="s">
        <v>217</v>
      </c>
      <c r="P409" s="227" t="str">
        <f>IFERROR(VLOOKUP(C409,TD!$B$33:$F$37,2,0)," ")</f>
        <v>O230117</v>
      </c>
      <c r="Q409" s="227" t="str">
        <f>IFERROR(VLOOKUP(C409,TD!$B$33:$F$37,3,0)," ")</f>
        <v>4599</v>
      </c>
      <c r="R409" s="227">
        <f>IFERROR(VLOOKUP(C409,TD!$B$33:$F$37,4,0)," ")</f>
        <v>20240207</v>
      </c>
      <c r="S409" s="225" t="s">
        <v>179</v>
      </c>
      <c r="T409" s="227" t="str">
        <f>IFERROR(VLOOKUP(S409,TD!$J$34:$K$44,2,0)," ")</f>
        <v>Infraestructura Tecnológica   (Sistemas de Información y Tecnologia)</v>
      </c>
      <c r="U409" s="222" t="str">
        <f t="shared" si="25"/>
        <v>11-Infraestructura Tecnológica   (Sistemas de Información y Tecnologia)</v>
      </c>
      <c r="V409" s="225" t="s">
        <v>239</v>
      </c>
      <c r="W409" s="227" t="str">
        <f>IFERROR(VLOOKUP(V409,TD!$N$34:$O$46,2,0)," ")</f>
        <v>Servicios tecnológicos</v>
      </c>
      <c r="X409" s="222" t="str">
        <f t="shared" si="26"/>
        <v>007_Servicios tecnológicos</v>
      </c>
      <c r="Y409" s="222" t="str">
        <f t="shared" si="27"/>
        <v>11-Infraestructura Tecnológica   (Sistemas de Información y Tecnologia) 007_Servicios tecnológicos</v>
      </c>
      <c r="Z409" s="227" t="str">
        <f t="shared" si="28"/>
        <v>O23011745992024020711007</v>
      </c>
      <c r="AA409" s="227" t="str">
        <f>IFERROR(VLOOKUP(Y409,TD!$K$47:$L$65,2,0)," ")</f>
        <v>PM/0131/0111/45990070207</v>
      </c>
      <c r="AB409" s="128" t="s">
        <v>125</v>
      </c>
      <c r="AC409" s="228" t="s">
        <v>204</v>
      </c>
    </row>
    <row r="410" spans="2:29" s="28" customFormat="1" ht="99" customHeight="1" x14ac:dyDescent="0.35">
      <c r="B410" s="130">
        <v>20250388</v>
      </c>
      <c r="C410" s="132" t="s">
        <v>208</v>
      </c>
      <c r="D410" s="224" t="s">
        <v>162</v>
      </c>
      <c r="E410" s="225" t="s">
        <v>355</v>
      </c>
      <c r="F410" s="224" t="s">
        <v>557</v>
      </c>
      <c r="G410" s="224" t="s">
        <v>96</v>
      </c>
      <c r="H410" s="133" t="s">
        <v>558</v>
      </c>
      <c r="I410" s="226">
        <v>3</v>
      </c>
      <c r="J410" s="226">
        <v>9</v>
      </c>
      <c r="K410" s="129">
        <v>0</v>
      </c>
      <c r="L410" s="128">
        <v>688906483</v>
      </c>
      <c r="M410" s="224" t="s">
        <v>465</v>
      </c>
      <c r="N410" s="128" t="s">
        <v>123</v>
      </c>
      <c r="O410" s="225" t="s">
        <v>214</v>
      </c>
      <c r="P410" s="227" t="str">
        <f>IFERROR(VLOOKUP(C410,TD!$B$33:$F$37,2,0)," ")</f>
        <v>O230117</v>
      </c>
      <c r="Q410" s="227" t="str">
        <f>IFERROR(VLOOKUP(C410,TD!$B$33:$F$37,3,0)," ")</f>
        <v>4599</v>
      </c>
      <c r="R410" s="227">
        <f>IFERROR(VLOOKUP(C410,TD!$B$33:$F$37,4,0)," ")</f>
        <v>20240207</v>
      </c>
      <c r="S410" s="225" t="s">
        <v>179</v>
      </c>
      <c r="T410" s="227" t="str">
        <f>IFERROR(VLOOKUP(S410,TD!$J$34:$K$44,2,0)," ")</f>
        <v>Infraestructura Tecnológica   (Sistemas de Información y Tecnologia)</v>
      </c>
      <c r="U410" s="222" t="str">
        <f t="shared" si="25"/>
        <v>11-Infraestructura Tecnológica   (Sistemas de Información y Tecnologia)</v>
      </c>
      <c r="V410" s="225" t="s">
        <v>239</v>
      </c>
      <c r="W410" s="227" t="str">
        <f>IFERROR(VLOOKUP(V410,TD!$N$34:$O$46,2,0)," ")</f>
        <v>Servicios tecnológicos</v>
      </c>
      <c r="X410" s="222" t="str">
        <f t="shared" si="26"/>
        <v>007_Servicios tecnológicos</v>
      </c>
      <c r="Y410" s="222" t="str">
        <f t="shared" si="27"/>
        <v>11-Infraestructura Tecnológica   (Sistemas de Información y Tecnologia) 007_Servicios tecnológicos</v>
      </c>
      <c r="Z410" s="227" t="str">
        <f t="shared" si="28"/>
        <v>O23011745992024020711007</v>
      </c>
      <c r="AA410" s="227" t="str">
        <f>IFERROR(VLOOKUP(Y410,TD!$K$47:$L$65,2,0)," ")</f>
        <v>PM/0131/0111/45990070207</v>
      </c>
      <c r="AB410" s="128" t="s">
        <v>130</v>
      </c>
      <c r="AC410" s="228" t="s">
        <v>204</v>
      </c>
    </row>
    <row r="411" spans="2:29" s="28" customFormat="1" ht="99" customHeight="1" x14ac:dyDescent="0.35">
      <c r="B411" s="130">
        <v>20250389</v>
      </c>
      <c r="C411" s="132" t="s">
        <v>208</v>
      </c>
      <c r="D411" s="224" t="s">
        <v>162</v>
      </c>
      <c r="E411" s="225" t="s">
        <v>355</v>
      </c>
      <c r="F411" s="224" t="s">
        <v>559</v>
      </c>
      <c r="G411" s="224" t="s">
        <v>153</v>
      </c>
      <c r="H411" s="133">
        <v>81112401</v>
      </c>
      <c r="I411" s="226">
        <v>3</v>
      </c>
      <c r="J411" s="226">
        <v>9</v>
      </c>
      <c r="K411" s="129">
        <v>0</v>
      </c>
      <c r="L411" s="128">
        <v>26656000</v>
      </c>
      <c r="M411" s="224" t="s">
        <v>465</v>
      </c>
      <c r="N411" s="128" t="s">
        <v>100</v>
      </c>
      <c r="O411" s="225" t="s">
        <v>215</v>
      </c>
      <c r="P411" s="227" t="str">
        <f>IFERROR(VLOOKUP(C411,TD!$B$33:$F$37,2,0)," ")</f>
        <v>O230117</v>
      </c>
      <c r="Q411" s="227" t="str">
        <f>IFERROR(VLOOKUP(C411,TD!$B$33:$F$37,3,0)," ")</f>
        <v>4599</v>
      </c>
      <c r="R411" s="227">
        <f>IFERROR(VLOOKUP(C411,TD!$B$33:$F$37,4,0)," ")</f>
        <v>20240207</v>
      </c>
      <c r="S411" s="225" t="s">
        <v>179</v>
      </c>
      <c r="T411" s="227" t="str">
        <f>IFERROR(VLOOKUP(S411,TD!$J$34:$K$44,2,0)," ")</f>
        <v>Infraestructura Tecnológica   (Sistemas de Información y Tecnologia)</v>
      </c>
      <c r="U411" s="222" t="str">
        <f t="shared" si="25"/>
        <v>11-Infraestructura Tecnológica   (Sistemas de Información y Tecnologia)</v>
      </c>
      <c r="V411" s="227" t="s">
        <v>239</v>
      </c>
      <c r="W411" s="227" t="str">
        <f>IFERROR(VLOOKUP(V411,TD!$N$34:$O$46,2,0)," ")</f>
        <v>Servicios tecnológicos</v>
      </c>
      <c r="X411" s="245" t="str">
        <f t="shared" si="26"/>
        <v>007_Servicios tecnológicos</v>
      </c>
      <c r="Y411" s="109" t="str">
        <f t="shared" si="27"/>
        <v>11-Infraestructura Tecnológica   (Sistemas de Información y Tecnologia) 007_Servicios tecnológicos</v>
      </c>
      <c r="Z411" s="225" t="str">
        <f t="shared" si="28"/>
        <v>O23011745992024020711007</v>
      </c>
      <c r="AA411" s="246" t="str">
        <f>IFERROR(VLOOKUP(Y411,TD!$K$47:$L$65,2,0)," ")</f>
        <v>PM/0131/0111/45990070207</v>
      </c>
      <c r="AB411" s="224" t="s">
        <v>130</v>
      </c>
      <c r="AC411" s="228" t="s">
        <v>204</v>
      </c>
    </row>
    <row r="412" spans="2:29" s="28" customFormat="1" ht="99" customHeight="1" x14ac:dyDescent="0.35">
      <c r="B412" s="130">
        <v>20250390</v>
      </c>
      <c r="C412" s="132" t="s">
        <v>208</v>
      </c>
      <c r="D412" s="224" t="s">
        <v>162</v>
      </c>
      <c r="E412" s="225" t="s">
        <v>355</v>
      </c>
      <c r="F412" s="224" t="s">
        <v>560</v>
      </c>
      <c r="G412" s="224" t="s">
        <v>139</v>
      </c>
      <c r="H412" s="133" t="s">
        <v>413</v>
      </c>
      <c r="I412" s="226">
        <v>3</v>
      </c>
      <c r="J412" s="226">
        <v>9</v>
      </c>
      <c r="K412" s="129">
        <v>0</v>
      </c>
      <c r="L412" s="128">
        <v>169000000</v>
      </c>
      <c r="M412" s="224" t="s">
        <v>465</v>
      </c>
      <c r="N412" s="128" t="s">
        <v>113</v>
      </c>
      <c r="O412" s="225" t="s">
        <v>214</v>
      </c>
      <c r="P412" s="227" t="str">
        <f>IFERROR(VLOOKUP(C412,TD!$B$33:$F$37,2,0)," ")</f>
        <v>O230117</v>
      </c>
      <c r="Q412" s="227" t="str">
        <f>IFERROR(VLOOKUP(C412,TD!$B$33:$F$37,3,0)," ")</f>
        <v>4599</v>
      </c>
      <c r="R412" s="227">
        <f>IFERROR(VLOOKUP(C412,TD!$B$33:$F$37,4,0)," ")</f>
        <v>20240207</v>
      </c>
      <c r="S412" s="225" t="s">
        <v>179</v>
      </c>
      <c r="T412" s="227" t="str">
        <f>IFERROR(VLOOKUP(S412,TD!$J$34:$K$44,2,0)," ")</f>
        <v>Infraestructura Tecnológica   (Sistemas de Información y Tecnologia)</v>
      </c>
      <c r="U412" s="222" t="str">
        <f t="shared" si="25"/>
        <v>11-Infraestructura Tecnológica   (Sistemas de Información y Tecnologia)</v>
      </c>
      <c r="V412" s="225" t="s">
        <v>239</v>
      </c>
      <c r="W412" s="227" t="str">
        <f>IFERROR(VLOOKUP(V412,TD!$N$34:$O$46,2,0)," ")</f>
        <v>Servicios tecnológicos</v>
      </c>
      <c r="X412" s="222" t="str">
        <f t="shared" si="26"/>
        <v>007_Servicios tecnológicos</v>
      </c>
      <c r="Y412" s="222" t="str">
        <f t="shared" si="27"/>
        <v>11-Infraestructura Tecnológica   (Sistemas de Información y Tecnologia) 007_Servicios tecnológicos</v>
      </c>
      <c r="Z412" s="227" t="str">
        <f t="shared" si="28"/>
        <v>O23011745992024020711007</v>
      </c>
      <c r="AA412" s="227" t="str">
        <f>IFERROR(VLOOKUP(Y412,TD!$K$47:$L$65,2,0)," ")</f>
        <v>PM/0131/0111/45990070207</v>
      </c>
      <c r="AB412" s="128" t="s">
        <v>125</v>
      </c>
      <c r="AC412" s="228" t="s">
        <v>204</v>
      </c>
    </row>
    <row r="413" spans="2:29" s="28" customFormat="1" ht="99" customHeight="1" x14ac:dyDescent="0.35">
      <c r="B413" s="77">
        <v>20250394</v>
      </c>
      <c r="C413" s="50" t="s">
        <v>208</v>
      </c>
      <c r="D413" s="218" t="s">
        <v>162</v>
      </c>
      <c r="E413" s="219" t="s">
        <v>355</v>
      </c>
      <c r="F413" s="218" t="s">
        <v>561</v>
      </c>
      <c r="G413" s="218" t="s">
        <v>96</v>
      </c>
      <c r="H413" s="93" t="s">
        <v>414</v>
      </c>
      <c r="I413" s="220">
        <v>3</v>
      </c>
      <c r="J413" s="220">
        <v>9</v>
      </c>
      <c r="K413" s="52">
        <v>0</v>
      </c>
      <c r="L413" s="53">
        <v>500000000</v>
      </c>
      <c r="M413" s="218" t="s">
        <v>465</v>
      </c>
      <c r="N413" s="53" t="s">
        <v>113</v>
      </c>
      <c r="O413" s="219" t="s">
        <v>215</v>
      </c>
      <c r="P413" s="221" t="str">
        <f>IFERROR(VLOOKUP(C413,TD!$B$33:$F$37,2,0)," ")</f>
        <v>O230117</v>
      </c>
      <c r="Q413" s="221" t="str">
        <f>IFERROR(VLOOKUP(C413,TD!$B$33:$F$37,3,0)," ")</f>
        <v>4599</v>
      </c>
      <c r="R413" s="221">
        <f>IFERROR(VLOOKUP(C413,TD!$B$33:$F$37,4,0)," ")</f>
        <v>20240207</v>
      </c>
      <c r="S413" s="219" t="s">
        <v>179</v>
      </c>
      <c r="T413" s="221" t="str">
        <f>IFERROR(VLOOKUP(S413,TD!$J$34:$K$44,2,0)," ")</f>
        <v>Infraestructura Tecnológica   (Sistemas de Información y Tecnologia)</v>
      </c>
      <c r="U413" s="222" t="str">
        <f t="shared" si="25"/>
        <v>11-Infraestructura Tecnológica   (Sistemas de Información y Tecnologia)</v>
      </c>
      <c r="V413" s="219" t="s">
        <v>239</v>
      </c>
      <c r="W413" s="221" t="str">
        <f>IFERROR(VLOOKUP(V413,TD!$N$34:$O$46,2,0)," ")</f>
        <v>Servicios tecnológicos</v>
      </c>
      <c r="X413" s="222" t="str">
        <f t="shared" si="26"/>
        <v>007_Servicios tecnológicos</v>
      </c>
      <c r="Y413" s="222" t="str">
        <f t="shared" si="27"/>
        <v>11-Infraestructura Tecnológica   (Sistemas de Información y Tecnologia) 007_Servicios tecnológicos</v>
      </c>
      <c r="Z413" s="221" t="str">
        <f t="shared" si="28"/>
        <v>O23011745992024020711007</v>
      </c>
      <c r="AA413" s="221" t="str">
        <f>IFERROR(VLOOKUP(Y413,TD!$K$47:$L$65,2,0)," ")</f>
        <v>PM/0131/0111/45990070207</v>
      </c>
      <c r="AB413" s="53" t="s">
        <v>125</v>
      </c>
      <c r="AC413" s="223" t="s">
        <v>204</v>
      </c>
    </row>
    <row r="414" spans="2:29" s="28" customFormat="1" ht="99" customHeight="1" x14ac:dyDescent="0.35">
      <c r="B414" s="77">
        <v>20250396</v>
      </c>
      <c r="C414" s="50" t="s">
        <v>208</v>
      </c>
      <c r="D414" s="218" t="s">
        <v>162</v>
      </c>
      <c r="E414" s="219" t="s">
        <v>355</v>
      </c>
      <c r="F414" s="218" t="s">
        <v>807</v>
      </c>
      <c r="G414" s="218" t="s">
        <v>146</v>
      </c>
      <c r="H414" s="93" t="s">
        <v>808</v>
      </c>
      <c r="I414" s="220">
        <v>3</v>
      </c>
      <c r="J414" s="220">
        <v>9</v>
      </c>
      <c r="K414" s="52">
        <v>0</v>
      </c>
      <c r="L414" s="53">
        <v>200000000</v>
      </c>
      <c r="M414" s="218" t="s">
        <v>465</v>
      </c>
      <c r="N414" s="53" t="s">
        <v>95</v>
      </c>
      <c r="O414" s="219" t="s">
        <v>215</v>
      </c>
      <c r="P414" s="221" t="str">
        <f>IFERROR(VLOOKUP(C414,TD!$B$33:$F$37,2,0)," ")</f>
        <v>O230117</v>
      </c>
      <c r="Q414" s="221" t="str">
        <f>IFERROR(VLOOKUP(C414,TD!$B$33:$F$37,3,0)," ")</f>
        <v>4599</v>
      </c>
      <c r="R414" s="221">
        <f>IFERROR(VLOOKUP(C414,TD!$B$33:$F$37,4,0)," ")</f>
        <v>20240207</v>
      </c>
      <c r="S414" s="219" t="s">
        <v>179</v>
      </c>
      <c r="T414" s="221" t="str">
        <f>IFERROR(VLOOKUP(S414,TD!$J$34:$K$44,2,0)," ")</f>
        <v>Infraestructura Tecnológica   (Sistemas de Información y Tecnologia)</v>
      </c>
      <c r="U414" s="222" t="str">
        <f t="shared" si="25"/>
        <v>11-Infraestructura Tecnológica   (Sistemas de Información y Tecnologia)</v>
      </c>
      <c r="V414" s="219" t="s">
        <v>239</v>
      </c>
      <c r="W414" s="221" t="str">
        <f>IFERROR(VLOOKUP(V414,TD!$N$34:$O$46,2,0)," ")</f>
        <v>Servicios tecnológicos</v>
      </c>
      <c r="X414" s="222" t="str">
        <f t="shared" si="26"/>
        <v>007_Servicios tecnológicos</v>
      </c>
      <c r="Y414" s="222" t="str">
        <f t="shared" si="27"/>
        <v>11-Infraestructura Tecnológica   (Sistemas de Información y Tecnologia) 007_Servicios tecnológicos</v>
      </c>
      <c r="Z414" s="221" t="str">
        <f t="shared" si="28"/>
        <v>O23011745992024020711007</v>
      </c>
      <c r="AA414" s="221" t="str">
        <f>IFERROR(VLOOKUP(Y414,TD!$K$47:$L$65,2,0)," ")</f>
        <v>PM/0131/0111/45990070207</v>
      </c>
      <c r="AB414" s="53" t="s">
        <v>125</v>
      </c>
      <c r="AC414" s="223" t="s">
        <v>204</v>
      </c>
    </row>
    <row r="415" spans="2:29" s="28" customFormat="1" ht="99" customHeight="1" x14ac:dyDescent="0.35">
      <c r="B415" s="130">
        <v>20250397</v>
      </c>
      <c r="C415" s="132" t="s">
        <v>208</v>
      </c>
      <c r="D415" s="224" t="s">
        <v>162</v>
      </c>
      <c r="E415" s="225" t="s">
        <v>355</v>
      </c>
      <c r="F415" s="224" t="s">
        <v>1003</v>
      </c>
      <c r="G415" s="224" t="s">
        <v>149</v>
      </c>
      <c r="H415" s="133">
        <v>81112217</v>
      </c>
      <c r="I415" s="226">
        <v>3</v>
      </c>
      <c r="J415" s="226">
        <v>9</v>
      </c>
      <c r="K415" s="129">
        <v>0</v>
      </c>
      <c r="L415" s="128">
        <v>80000000</v>
      </c>
      <c r="M415" s="224" t="s">
        <v>465</v>
      </c>
      <c r="N415" s="128" t="s">
        <v>113</v>
      </c>
      <c r="O415" s="225" t="s">
        <v>214</v>
      </c>
      <c r="P415" s="227" t="str">
        <f>IFERROR(VLOOKUP(C415,TD!$B$33:$F$37,2,0)," ")</f>
        <v>O230117</v>
      </c>
      <c r="Q415" s="227" t="str">
        <f>IFERROR(VLOOKUP(C415,TD!$B$33:$F$37,3,0)," ")</f>
        <v>4599</v>
      </c>
      <c r="R415" s="227">
        <f>IFERROR(VLOOKUP(C415,TD!$B$33:$F$37,4,0)," ")</f>
        <v>20240207</v>
      </c>
      <c r="S415" s="225" t="s">
        <v>179</v>
      </c>
      <c r="T415" s="227" t="str">
        <f>IFERROR(VLOOKUP(S415,TD!$J$34:$K$44,2,0)," ")</f>
        <v>Infraestructura Tecnológica   (Sistemas de Información y Tecnologia)</v>
      </c>
      <c r="U415" s="222" t="str">
        <f t="shared" si="25"/>
        <v>11-Infraestructura Tecnológica   (Sistemas de Información y Tecnologia)</v>
      </c>
      <c r="V415" s="225" t="s">
        <v>239</v>
      </c>
      <c r="W415" s="227" t="str">
        <f>IFERROR(VLOOKUP(V415,TD!$N$34:$O$46,2,0)," ")</f>
        <v>Servicios tecnológicos</v>
      </c>
      <c r="X415" s="222" t="str">
        <f t="shared" si="26"/>
        <v>007_Servicios tecnológicos</v>
      </c>
      <c r="Y415" s="222" t="str">
        <f t="shared" si="27"/>
        <v>11-Infraestructura Tecnológica   (Sistemas de Información y Tecnologia) 007_Servicios tecnológicos</v>
      </c>
      <c r="Z415" s="227" t="str">
        <f t="shared" si="28"/>
        <v>O23011745992024020711007</v>
      </c>
      <c r="AA415" s="227" t="str">
        <f>IFERROR(VLOOKUP(Y415,TD!$K$47:$L$65,2,0)," ")</f>
        <v>PM/0131/0111/45990070207</v>
      </c>
      <c r="AB415" s="128" t="s">
        <v>125</v>
      </c>
      <c r="AC415" s="228" t="s">
        <v>205</v>
      </c>
    </row>
    <row r="416" spans="2:29" s="28" customFormat="1" ht="99" customHeight="1" x14ac:dyDescent="0.35">
      <c r="B416" s="130">
        <v>20250398</v>
      </c>
      <c r="C416" s="132" t="s">
        <v>208</v>
      </c>
      <c r="D416" s="224" t="s">
        <v>162</v>
      </c>
      <c r="E416" s="225" t="s">
        <v>355</v>
      </c>
      <c r="F416" s="224" t="s">
        <v>562</v>
      </c>
      <c r="G416" s="224" t="s">
        <v>149</v>
      </c>
      <c r="H416" s="133">
        <v>81112217</v>
      </c>
      <c r="I416" s="226">
        <v>1</v>
      </c>
      <c r="J416" s="226">
        <v>12</v>
      </c>
      <c r="K416" s="129">
        <v>0</v>
      </c>
      <c r="L416" s="128">
        <v>16142952</v>
      </c>
      <c r="M416" s="224" t="s">
        <v>465</v>
      </c>
      <c r="N416" s="128" t="s">
        <v>113</v>
      </c>
      <c r="O416" s="225" t="s">
        <v>214</v>
      </c>
      <c r="P416" s="227" t="str">
        <f>IFERROR(VLOOKUP(C416,TD!$B$33:$F$37,2,0)," ")</f>
        <v>O230117</v>
      </c>
      <c r="Q416" s="227" t="str">
        <f>IFERROR(VLOOKUP(C416,TD!$B$33:$F$37,3,0)," ")</f>
        <v>4599</v>
      </c>
      <c r="R416" s="227">
        <f>IFERROR(VLOOKUP(C416,TD!$B$33:$F$37,4,0)," ")</f>
        <v>20240207</v>
      </c>
      <c r="S416" s="225" t="s">
        <v>179</v>
      </c>
      <c r="T416" s="227" t="str">
        <f>IFERROR(VLOOKUP(S416,TD!$J$34:$K$44,2,0)," ")</f>
        <v>Infraestructura Tecnológica   (Sistemas de Información y Tecnologia)</v>
      </c>
      <c r="U416" s="222" t="str">
        <f t="shared" si="25"/>
        <v>11-Infraestructura Tecnológica   (Sistemas de Información y Tecnologia)</v>
      </c>
      <c r="V416" s="225" t="s">
        <v>239</v>
      </c>
      <c r="W416" s="227" t="str">
        <f>IFERROR(VLOOKUP(V416,TD!$N$34:$O$46,2,0)," ")</f>
        <v>Servicios tecnológicos</v>
      </c>
      <c r="X416" s="222" t="str">
        <f t="shared" si="26"/>
        <v>007_Servicios tecnológicos</v>
      </c>
      <c r="Y416" s="222" t="str">
        <f t="shared" si="27"/>
        <v>11-Infraestructura Tecnológica   (Sistemas de Información y Tecnologia) 007_Servicios tecnológicos</v>
      </c>
      <c r="Z416" s="227" t="str">
        <f t="shared" si="28"/>
        <v>O23011745992024020711007</v>
      </c>
      <c r="AA416" s="227" t="str">
        <f>IFERROR(VLOOKUP(Y416,TD!$K$47:$L$65,2,0)," ")</f>
        <v>PM/0131/0111/45990070207</v>
      </c>
      <c r="AB416" s="128" t="s">
        <v>125</v>
      </c>
      <c r="AC416" s="228" t="s">
        <v>204</v>
      </c>
    </row>
    <row r="417" spans="2:29" s="28" customFormat="1" ht="99" customHeight="1" x14ac:dyDescent="0.35">
      <c r="B417" s="130">
        <v>20250399</v>
      </c>
      <c r="C417" s="132" t="s">
        <v>208</v>
      </c>
      <c r="D417" s="224" t="s">
        <v>162</v>
      </c>
      <c r="E417" s="225" t="s">
        <v>355</v>
      </c>
      <c r="F417" s="224" t="s">
        <v>809</v>
      </c>
      <c r="G417" s="224" t="s">
        <v>96</v>
      </c>
      <c r="H417" s="133" t="s">
        <v>415</v>
      </c>
      <c r="I417" s="226">
        <v>3</v>
      </c>
      <c r="J417" s="226">
        <v>12</v>
      </c>
      <c r="K417" s="129">
        <v>0</v>
      </c>
      <c r="L417" s="128">
        <v>30000000</v>
      </c>
      <c r="M417" s="224" t="s">
        <v>465</v>
      </c>
      <c r="N417" s="128" t="s">
        <v>100</v>
      </c>
      <c r="O417" s="225" t="s">
        <v>215</v>
      </c>
      <c r="P417" s="227" t="str">
        <f>IFERROR(VLOOKUP(C417,TD!$B$33:$F$37,2,0)," ")</f>
        <v>O230117</v>
      </c>
      <c r="Q417" s="227" t="str">
        <f>IFERROR(VLOOKUP(C417,TD!$B$33:$F$37,3,0)," ")</f>
        <v>4599</v>
      </c>
      <c r="R417" s="227">
        <f>IFERROR(VLOOKUP(C417,TD!$B$33:$F$37,4,0)," ")</f>
        <v>20240207</v>
      </c>
      <c r="S417" s="225" t="s">
        <v>179</v>
      </c>
      <c r="T417" s="227" t="str">
        <f>IFERROR(VLOOKUP(S417,TD!$J$34:$K$44,2,0)," ")</f>
        <v>Infraestructura Tecnológica   (Sistemas de Información y Tecnologia)</v>
      </c>
      <c r="U417" s="222" t="str">
        <f t="shared" si="25"/>
        <v>11-Infraestructura Tecnológica   (Sistemas de Información y Tecnologia)</v>
      </c>
      <c r="V417" s="225" t="s">
        <v>239</v>
      </c>
      <c r="W417" s="227" t="str">
        <f>IFERROR(VLOOKUP(V417,TD!$N$34:$O$46,2,0)," ")</f>
        <v>Servicios tecnológicos</v>
      </c>
      <c r="X417" s="222" t="str">
        <f t="shared" si="26"/>
        <v>007_Servicios tecnológicos</v>
      </c>
      <c r="Y417" s="222" t="str">
        <f t="shared" si="27"/>
        <v>11-Infraestructura Tecnológica   (Sistemas de Información y Tecnologia) 007_Servicios tecnológicos</v>
      </c>
      <c r="Z417" s="227" t="str">
        <f t="shared" si="28"/>
        <v>O23011745992024020711007</v>
      </c>
      <c r="AA417" s="227" t="str">
        <f>IFERROR(VLOOKUP(Y417,TD!$K$47:$L$65,2,0)," ")</f>
        <v>PM/0131/0111/45990070207</v>
      </c>
      <c r="AB417" s="128" t="s">
        <v>125</v>
      </c>
      <c r="AC417" s="228" t="s">
        <v>204</v>
      </c>
    </row>
    <row r="418" spans="2:29" s="28" customFormat="1" ht="99" customHeight="1" x14ac:dyDescent="0.35">
      <c r="B418" s="77">
        <v>20250401</v>
      </c>
      <c r="C418" s="50" t="s">
        <v>208</v>
      </c>
      <c r="D418" s="218" t="s">
        <v>162</v>
      </c>
      <c r="E418" s="219" t="s">
        <v>355</v>
      </c>
      <c r="F418" s="218" t="s">
        <v>810</v>
      </c>
      <c r="G418" s="218" t="s">
        <v>109</v>
      </c>
      <c r="H418" s="93" t="s">
        <v>563</v>
      </c>
      <c r="I418" s="220">
        <v>3</v>
      </c>
      <c r="J418" s="220">
        <v>9</v>
      </c>
      <c r="K418" s="52">
        <v>0</v>
      </c>
      <c r="L418" s="53">
        <v>13446666.666666627</v>
      </c>
      <c r="M418" s="218" t="s">
        <v>465</v>
      </c>
      <c r="N418" s="53" t="s">
        <v>123</v>
      </c>
      <c r="O418" s="219" t="s">
        <v>215</v>
      </c>
      <c r="P418" s="221" t="str">
        <f>IFERROR(VLOOKUP(C418,TD!$B$33:$F$37,2,0)," ")</f>
        <v>O230117</v>
      </c>
      <c r="Q418" s="221" t="str">
        <f>IFERROR(VLOOKUP(C418,TD!$B$33:$F$37,3,0)," ")</f>
        <v>4599</v>
      </c>
      <c r="R418" s="221">
        <f>IFERROR(VLOOKUP(C418,TD!$B$33:$F$37,4,0)," ")</f>
        <v>20240207</v>
      </c>
      <c r="S418" s="219" t="s">
        <v>179</v>
      </c>
      <c r="T418" s="221" t="str">
        <f>IFERROR(VLOOKUP(S418,TD!$J$34:$K$44,2,0)," ")</f>
        <v>Infraestructura Tecnológica   (Sistemas de Información y Tecnologia)</v>
      </c>
      <c r="U418" s="222" t="str">
        <f t="shared" si="25"/>
        <v>11-Infraestructura Tecnológica   (Sistemas de Información y Tecnologia)</v>
      </c>
      <c r="V418" s="219" t="s">
        <v>239</v>
      </c>
      <c r="W418" s="221" t="str">
        <f>IFERROR(VLOOKUP(V418,TD!$N$34:$O$46,2,0)," ")</f>
        <v>Servicios tecnológicos</v>
      </c>
      <c r="X418" s="222" t="str">
        <f t="shared" si="26"/>
        <v>007_Servicios tecnológicos</v>
      </c>
      <c r="Y418" s="222" t="str">
        <f t="shared" si="27"/>
        <v>11-Infraestructura Tecnológica   (Sistemas de Información y Tecnologia) 007_Servicios tecnológicos</v>
      </c>
      <c r="Z418" s="221" t="str">
        <f t="shared" si="28"/>
        <v>O23011745992024020711007</v>
      </c>
      <c r="AA418" s="221" t="str">
        <f>IFERROR(VLOOKUP(Y418,TD!$K$47:$L$65,2,0)," ")</f>
        <v>PM/0131/0111/45990070207</v>
      </c>
      <c r="AB418" s="53" t="s">
        <v>125</v>
      </c>
      <c r="AC418" s="223" t="s">
        <v>204</v>
      </c>
    </row>
    <row r="419" spans="2:29" s="28" customFormat="1" ht="99" customHeight="1" x14ac:dyDescent="0.35">
      <c r="B419" s="77">
        <v>20250402</v>
      </c>
      <c r="C419" s="50" t="s">
        <v>208</v>
      </c>
      <c r="D419" s="218" t="s">
        <v>162</v>
      </c>
      <c r="E419" s="219" t="s">
        <v>355</v>
      </c>
      <c r="F419" s="218" t="s">
        <v>811</v>
      </c>
      <c r="G419" s="218" t="s">
        <v>96</v>
      </c>
      <c r="H419" s="93" t="s">
        <v>415</v>
      </c>
      <c r="I419" s="220">
        <v>3</v>
      </c>
      <c r="J419" s="220">
        <v>9</v>
      </c>
      <c r="K419" s="52">
        <v>0</v>
      </c>
      <c r="L419" s="53">
        <v>34554076</v>
      </c>
      <c r="M419" s="218" t="s">
        <v>465</v>
      </c>
      <c r="N419" s="53" t="s">
        <v>123</v>
      </c>
      <c r="O419" s="219" t="s">
        <v>215</v>
      </c>
      <c r="P419" s="221" t="str">
        <f>IFERROR(VLOOKUP(C419,TD!$B$33:$F$37,2,0)," ")</f>
        <v>O230117</v>
      </c>
      <c r="Q419" s="221" t="str">
        <f>IFERROR(VLOOKUP(C419,TD!$B$33:$F$37,3,0)," ")</f>
        <v>4599</v>
      </c>
      <c r="R419" s="221">
        <f>IFERROR(VLOOKUP(C419,TD!$B$33:$F$37,4,0)," ")</f>
        <v>20240207</v>
      </c>
      <c r="S419" s="219" t="s">
        <v>179</v>
      </c>
      <c r="T419" s="221" t="str">
        <f>IFERROR(VLOOKUP(S419,TD!$J$34:$K$44,2,0)," ")</f>
        <v>Infraestructura Tecnológica   (Sistemas de Información y Tecnologia)</v>
      </c>
      <c r="U419" s="222" t="str">
        <f t="shared" si="25"/>
        <v>11-Infraestructura Tecnológica   (Sistemas de Información y Tecnologia)</v>
      </c>
      <c r="V419" s="219" t="s">
        <v>239</v>
      </c>
      <c r="W419" s="221" t="str">
        <f>IFERROR(VLOOKUP(V419,TD!$N$34:$O$46,2,0)," ")</f>
        <v>Servicios tecnológicos</v>
      </c>
      <c r="X419" s="222" t="str">
        <f t="shared" si="26"/>
        <v>007_Servicios tecnológicos</v>
      </c>
      <c r="Y419" s="222" t="str">
        <f t="shared" si="27"/>
        <v>11-Infraestructura Tecnológica   (Sistemas de Información y Tecnologia) 007_Servicios tecnológicos</v>
      </c>
      <c r="Z419" s="221" t="str">
        <f t="shared" si="28"/>
        <v>O23011745992024020711007</v>
      </c>
      <c r="AA419" s="221" t="str">
        <f>IFERROR(VLOOKUP(Y419,TD!$K$47:$L$65,2,0)," ")</f>
        <v>PM/0131/0111/45990070207</v>
      </c>
      <c r="AB419" s="53" t="s">
        <v>130</v>
      </c>
      <c r="AC419" s="223" t="s">
        <v>204</v>
      </c>
    </row>
    <row r="420" spans="2:29" s="28" customFormat="1" ht="99" customHeight="1" x14ac:dyDescent="0.35">
      <c r="B420" s="130">
        <v>20250407</v>
      </c>
      <c r="C420" s="132" t="s">
        <v>208</v>
      </c>
      <c r="D420" s="224" t="s">
        <v>162</v>
      </c>
      <c r="E420" s="225" t="s">
        <v>355</v>
      </c>
      <c r="F420" s="224" t="s">
        <v>814</v>
      </c>
      <c r="G420" s="224" t="s">
        <v>109</v>
      </c>
      <c r="H420" s="133">
        <v>43232505</v>
      </c>
      <c r="I420" s="226">
        <v>6</v>
      </c>
      <c r="J420" s="226">
        <v>12</v>
      </c>
      <c r="K420" s="129">
        <v>0</v>
      </c>
      <c r="L420" s="128">
        <v>60000000</v>
      </c>
      <c r="M420" s="224" t="s">
        <v>465</v>
      </c>
      <c r="N420" s="128" t="s">
        <v>100</v>
      </c>
      <c r="O420" s="225" t="s">
        <v>215</v>
      </c>
      <c r="P420" s="227" t="str">
        <f>IFERROR(VLOOKUP(C420,TD!$B$33:$F$37,2,0)," ")</f>
        <v>O230117</v>
      </c>
      <c r="Q420" s="227" t="str">
        <f>IFERROR(VLOOKUP(C420,TD!$B$33:$F$37,3,0)," ")</f>
        <v>4599</v>
      </c>
      <c r="R420" s="227">
        <f>IFERROR(VLOOKUP(C420,TD!$B$33:$F$37,4,0)," ")</f>
        <v>20240207</v>
      </c>
      <c r="S420" s="225" t="s">
        <v>179</v>
      </c>
      <c r="T420" s="227" t="str">
        <f>IFERROR(VLOOKUP(S420,TD!$J$34:$K$44,2,0)," ")</f>
        <v>Infraestructura Tecnológica   (Sistemas de Información y Tecnologia)</v>
      </c>
      <c r="U420" s="222" t="str">
        <f t="shared" si="25"/>
        <v>11-Infraestructura Tecnológica   (Sistemas de Información y Tecnologia)</v>
      </c>
      <c r="V420" s="225" t="s">
        <v>239</v>
      </c>
      <c r="W420" s="227" t="str">
        <f>IFERROR(VLOOKUP(V420,TD!$N$34:$O$46,2,0)," ")</f>
        <v>Servicios tecnológicos</v>
      </c>
      <c r="X420" s="222" t="str">
        <f t="shared" si="26"/>
        <v>007_Servicios tecnológicos</v>
      </c>
      <c r="Y420" s="222" t="str">
        <f t="shared" si="27"/>
        <v>11-Infraestructura Tecnológica   (Sistemas de Información y Tecnologia) 007_Servicios tecnológicos</v>
      </c>
      <c r="Z420" s="227" t="str">
        <f t="shared" si="28"/>
        <v>O23011745992024020711007</v>
      </c>
      <c r="AA420" s="227" t="str">
        <f>IFERROR(VLOOKUP(Y420,TD!$K$47:$L$65,2,0)," ")</f>
        <v>PM/0131/0111/45990070207</v>
      </c>
      <c r="AB420" s="128" t="s">
        <v>130</v>
      </c>
      <c r="AC420" s="228" t="s">
        <v>204</v>
      </c>
    </row>
    <row r="421" spans="2:29" s="28" customFormat="1" ht="99" customHeight="1" x14ac:dyDescent="0.35">
      <c r="B421" s="130">
        <v>20250409</v>
      </c>
      <c r="C421" s="132" t="s">
        <v>208</v>
      </c>
      <c r="D421" s="224" t="s">
        <v>162</v>
      </c>
      <c r="E421" s="225" t="s">
        <v>355</v>
      </c>
      <c r="F421" s="224" t="s">
        <v>564</v>
      </c>
      <c r="G421" s="224" t="s">
        <v>109</v>
      </c>
      <c r="H421" s="133">
        <v>43233700</v>
      </c>
      <c r="I421" s="226">
        <v>3</v>
      </c>
      <c r="J421" s="226">
        <v>9</v>
      </c>
      <c r="K421" s="129">
        <v>0</v>
      </c>
      <c r="L421" s="128">
        <f>201671889-30000000-6000000</f>
        <v>165671889</v>
      </c>
      <c r="M421" s="224" t="s">
        <v>465</v>
      </c>
      <c r="N421" s="128" t="s">
        <v>90</v>
      </c>
      <c r="O421" s="225" t="s">
        <v>215</v>
      </c>
      <c r="P421" s="227" t="str">
        <f>IFERROR(VLOOKUP(C421,TD!$B$33:$F$37,2,0)," ")</f>
        <v>O230117</v>
      </c>
      <c r="Q421" s="227" t="str">
        <f>IFERROR(VLOOKUP(C421,TD!$B$33:$F$37,3,0)," ")</f>
        <v>4599</v>
      </c>
      <c r="R421" s="227">
        <f>IFERROR(VLOOKUP(C421,TD!$B$33:$F$37,4,0)," ")</f>
        <v>20240207</v>
      </c>
      <c r="S421" s="225" t="s">
        <v>179</v>
      </c>
      <c r="T421" s="227" t="str">
        <f>IFERROR(VLOOKUP(S421,TD!$J$34:$K$44,2,0)," ")</f>
        <v>Infraestructura Tecnológica   (Sistemas de Información y Tecnologia)</v>
      </c>
      <c r="U421" s="222" t="str">
        <f t="shared" si="25"/>
        <v>11-Infraestructura Tecnológica   (Sistemas de Información y Tecnologia)</v>
      </c>
      <c r="V421" s="225" t="s">
        <v>239</v>
      </c>
      <c r="W421" s="227" t="str">
        <f>IFERROR(VLOOKUP(V421,TD!$N$34:$O$46,2,0)," ")</f>
        <v>Servicios tecnológicos</v>
      </c>
      <c r="X421" s="222" t="str">
        <f t="shared" si="26"/>
        <v>007_Servicios tecnológicos</v>
      </c>
      <c r="Y421" s="222" t="str">
        <f t="shared" si="27"/>
        <v>11-Infraestructura Tecnológica   (Sistemas de Información y Tecnologia) 007_Servicios tecnológicos</v>
      </c>
      <c r="Z421" s="227" t="str">
        <f t="shared" si="28"/>
        <v>O23011745992024020711007</v>
      </c>
      <c r="AA421" s="227" t="str">
        <f>IFERROR(VLOOKUP(Y421,TD!$K$47:$L$65,2,0)," ")</f>
        <v>PM/0131/0111/45990070207</v>
      </c>
      <c r="AB421" s="128" t="s">
        <v>130</v>
      </c>
      <c r="AC421" s="225" t="s">
        <v>204</v>
      </c>
    </row>
    <row r="422" spans="2:29" s="28" customFormat="1" ht="99" customHeight="1" x14ac:dyDescent="0.35">
      <c r="B422" s="77">
        <v>20250411</v>
      </c>
      <c r="C422" s="50" t="s">
        <v>208</v>
      </c>
      <c r="D422" s="218" t="s">
        <v>166</v>
      </c>
      <c r="E422" s="219" t="s">
        <v>565</v>
      </c>
      <c r="F422" s="218" t="s">
        <v>566</v>
      </c>
      <c r="G422" s="218" t="s">
        <v>86</v>
      </c>
      <c r="H422" s="93" t="s">
        <v>567</v>
      </c>
      <c r="I422" s="220">
        <v>2</v>
      </c>
      <c r="J422" s="220">
        <v>11</v>
      </c>
      <c r="K422" s="52">
        <v>0</v>
      </c>
      <c r="L422" s="53">
        <v>16805758</v>
      </c>
      <c r="M422" s="218" t="s">
        <v>465</v>
      </c>
      <c r="N422" s="53" t="s">
        <v>616</v>
      </c>
      <c r="O422" s="219" t="s">
        <v>218</v>
      </c>
      <c r="P422" s="221" t="str">
        <f>IFERROR(VLOOKUP(C422,TD!$B$33:$F$37,2,0)," ")</f>
        <v>O230117</v>
      </c>
      <c r="Q422" s="221" t="str">
        <f>IFERROR(VLOOKUP(C422,TD!$B$33:$F$37,3,0)," ")</f>
        <v>4599</v>
      </c>
      <c r="R422" s="221">
        <f>IFERROR(VLOOKUP(C422,TD!$B$33:$F$37,4,0)," ")</f>
        <v>20240207</v>
      </c>
      <c r="S422" s="219" t="s">
        <v>185</v>
      </c>
      <c r="T422" s="221" t="str">
        <f>IFERROR(VLOOKUP(S422,TD!$J$34:$K$44,2,0)," ")</f>
        <v>Infraestructura física, mantenimiento y dotación (Sedes construidas, mantenidas reforzadas)</v>
      </c>
      <c r="U422" s="222" t="str">
        <f t="shared" si="25"/>
        <v>08-Infraestructura física, mantenimiento y dotación (Sedes construidas, mantenidas reforzadas)</v>
      </c>
      <c r="V422" s="219" t="s">
        <v>238</v>
      </c>
      <c r="W422" s="221" t="str">
        <f>IFERROR(VLOOKUP(V422,TD!$N$34:$O$46,2,0)," ")</f>
        <v>Sedes mantenidas</v>
      </c>
      <c r="X422" s="222" t="str">
        <f t="shared" si="26"/>
        <v>016_Sedes mantenidas</v>
      </c>
      <c r="Y422" s="222" t="str">
        <f t="shared" si="27"/>
        <v>08-Infraestructura física, mantenimiento y dotación (Sedes construidas, mantenidas reforzadas) 016_Sedes mantenidas</v>
      </c>
      <c r="Z422" s="221" t="str">
        <f t="shared" si="28"/>
        <v>O23011745992024020708016</v>
      </c>
      <c r="AA422" s="221" t="str">
        <f>IFERROR(VLOOKUP(Y422,TD!$K$47:$L$65,2,0)," ")</f>
        <v>PM/0131/0108/45990160207</v>
      </c>
      <c r="AB422" s="53" t="s">
        <v>673</v>
      </c>
      <c r="AC422" s="223" t="s">
        <v>204</v>
      </c>
    </row>
    <row r="423" spans="2:29" s="28" customFormat="1" ht="99" customHeight="1" x14ac:dyDescent="0.35">
      <c r="B423" s="77">
        <v>20250412</v>
      </c>
      <c r="C423" s="50" t="s">
        <v>208</v>
      </c>
      <c r="D423" s="218" t="s">
        <v>166</v>
      </c>
      <c r="E423" s="219" t="s">
        <v>565</v>
      </c>
      <c r="F423" s="218" t="s">
        <v>568</v>
      </c>
      <c r="G423" s="218" t="s">
        <v>156</v>
      </c>
      <c r="H423" s="93" t="s">
        <v>617</v>
      </c>
      <c r="I423" s="220">
        <v>2</v>
      </c>
      <c r="J423" s="220">
        <v>11</v>
      </c>
      <c r="K423" s="52">
        <v>0</v>
      </c>
      <c r="L423" s="53">
        <f>33534424-3975472</f>
        <v>29558952</v>
      </c>
      <c r="M423" s="218" t="s">
        <v>465</v>
      </c>
      <c r="N423" s="53" t="s">
        <v>618</v>
      </c>
      <c r="O423" s="219" t="s">
        <v>219</v>
      </c>
      <c r="P423" s="221" t="str">
        <f>IFERROR(VLOOKUP(C423,TD!$B$33:$F$37,2,0)," ")</f>
        <v>O230117</v>
      </c>
      <c r="Q423" s="221" t="str">
        <f>IFERROR(VLOOKUP(C423,TD!$B$33:$F$37,3,0)," ")</f>
        <v>4599</v>
      </c>
      <c r="R423" s="221">
        <f>IFERROR(VLOOKUP(C423,TD!$B$33:$F$37,4,0)," ")</f>
        <v>20240207</v>
      </c>
      <c r="S423" s="219" t="s">
        <v>185</v>
      </c>
      <c r="T423" s="221" t="str">
        <f>IFERROR(VLOOKUP(S423,TD!$J$34:$K$44,2,0)," ")</f>
        <v>Infraestructura física, mantenimiento y dotación (Sedes construidas, mantenidas reforzadas)</v>
      </c>
      <c r="U423" s="222" t="str">
        <f t="shared" si="25"/>
        <v>08-Infraestructura física, mantenimiento y dotación (Sedes construidas, mantenidas reforzadas)</v>
      </c>
      <c r="V423" s="219" t="s">
        <v>238</v>
      </c>
      <c r="W423" s="221" t="str">
        <f>IFERROR(VLOOKUP(V423,TD!$N$34:$O$46,2,0)," ")</f>
        <v>Sedes mantenidas</v>
      </c>
      <c r="X423" s="222" t="str">
        <f t="shared" si="26"/>
        <v>016_Sedes mantenidas</v>
      </c>
      <c r="Y423" s="222" t="str">
        <f t="shared" si="27"/>
        <v>08-Infraestructura física, mantenimiento y dotación (Sedes construidas, mantenidas reforzadas) 016_Sedes mantenidas</v>
      </c>
      <c r="Z423" s="221" t="str">
        <f t="shared" si="28"/>
        <v>O23011745992024020708016</v>
      </c>
      <c r="AA423" s="221" t="str">
        <f>IFERROR(VLOOKUP(Y423,TD!$K$47:$L$65,2,0)," ")</f>
        <v>PM/0131/0108/45990160207</v>
      </c>
      <c r="AB423" s="53" t="s">
        <v>138</v>
      </c>
      <c r="AC423" s="223" t="s">
        <v>204</v>
      </c>
    </row>
    <row r="424" spans="2:29" s="28" customFormat="1" ht="99" customHeight="1" x14ac:dyDescent="0.35">
      <c r="B424" s="130">
        <v>20250413</v>
      </c>
      <c r="C424" s="132" t="s">
        <v>208</v>
      </c>
      <c r="D424" s="224" t="s">
        <v>166</v>
      </c>
      <c r="E424" s="225" t="s">
        <v>565</v>
      </c>
      <c r="F424" s="224" t="s">
        <v>569</v>
      </c>
      <c r="G424" s="224" t="s">
        <v>155</v>
      </c>
      <c r="H424" s="133" t="s">
        <v>617</v>
      </c>
      <c r="I424" s="226">
        <v>2</v>
      </c>
      <c r="J424" s="226">
        <v>11</v>
      </c>
      <c r="K424" s="129">
        <v>0</v>
      </c>
      <c r="L424" s="128">
        <v>63809802</v>
      </c>
      <c r="M424" s="224" t="s">
        <v>465</v>
      </c>
      <c r="N424" s="128" t="s">
        <v>618</v>
      </c>
      <c r="O424" s="225" t="s">
        <v>219</v>
      </c>
      <c r="P424" s="227" t="str">
        <f>IFERROR(VLOOKUP(C424,TD!$B$33:$F$37,2,0)," ")</f>
        <v>O230117</v>
      </c>
      <c r="Q424" s="227" t="str">
        <f>IFERROR(VLOOKUP(C424,TD!$B$33:$F$37,3,0)," ")</f>
        <v>4599</v>
      </c>
      <c r="R424" s="227">
        <f>IFERROR(VLOOKUP(C424,TD!$B$33:$F$37,4,0)," ")</f>
        <v>20240207</v>
      </c>
      <c r="S424" s="225" t="s">
        <v>185</v>
      </c>
      <c r="T424" s="227" t="str">
        <f>IFERROR(VLOOKUP(S424,TD!$J$34:$K$44,2,0)," ")</f>
        <v>Infraestructura física, mantenimiento y dotación (Sedes construidas, mantenidas reforzadas)</v>
      </c>
      <c r="U424" s="222" t="str">
        <f t="shared" si="25"/>
        <v>08-Infraestructura física, mantenimiento y dotación (Sedes construidas, mantenidas reforzadas)</v>
      </c>
      <c r="V424" s="225" t="s">
        <v>238</v>
      </c>
      <c r="W424" s="227" t="str">
        <f>IFERROR(VLOOKUP(V424,TD!$N$34:$O$46,2,0)," ")</f>
        <v>Sedes mantenidas</v>
      </c>
      <c r="X424" s="222" t="str">
        <f t="shared" si="26"/>
        <v>016_Sedes mantenidas</v>
      </c>
      <c r="Y424" s="222" t="str">
        <f t="shared" si="27"/>
        <v>08-Infraestructura física, mantenimiento y dotación (Sedes construidas, mantenidas reforzadas) 016_Sedes mantenidas</v>
      </c>
      <c r="Z424" s="227" t="str">
        <f t="shared" si="28"/>
        <v>O23011745992024020708016</v>
      </c>
      <c r="AA424" s="227" t="str">
        <f>IFERROR(VLOOKUP(Y424,TD!$K$47:$L$65,2,0)," ")</f>
        <v>PM/0131/0108/45990160207</v>
      </c>
      <c r="AB424" s="128" t="s">
        <v>138</v>
      </c>
      <c r="AC424" s="228" t="s">
        <v>204</v>
      </c>
    </row>
    <row r="425" spans="2:29" s="28" customFormat="1" ht="99" customHeight="1" x14ac:dyDescent="0.35">
      <c r="B425" s="77">
        <v>20250414</v>
      </c>
      <c r="C425" s="50" t="s">
        <v>208</v>
      </c>
      <c r="D425" s="218" t="s">
        <v>166</v>
      </c>
      <c r="E425" s="219" t="s">
        <v>565</v>
      </c>
      <c r="F425" s="218" t="s">
        <v>568</v>
      </c>
      <c r="G425" s="218" t="s">
        <v>156</v>
      </c>
      <c r="H425" s="93" t="s">
        <v>617</v>
      </c>
      <c r="I425" s="220">
        <v>2</v>
      </c>
      <c r="J425" s="220">
        <v>11</v>
      </c>
      <c r="K425" s="52">
        <v>0</v>
      </c>
      <c r="L425" s="53">
        <f t="shared" ref="L425:L430" si="29">33534424-691144</f>
        <v>32843280</v>
      </c>
      <c r="M425" s="218" t="s">
        <v>465</v>
      </c>
      <c r="N425" s="53" t="s">
        <v>618</v>
      </c>
      <c r="O425" s="219" t="s">
        <v>219</v>
      </c>
      <c r="P425" s="221" t="str">
        <f>IFERROR(VLOOKUP(C425,TD!$B$33:$F$37,2,0)," ")</f>
        <v>O230117</v>
      </c>
      <c r="Q425" s="221" t="str">
        <f>IFERROR(VLOOKUP(C425,TD!$B$33:$F$37,3,0)," ")</f>
        <v>4599</v>
      </c>
      <c r="R425" s="221">
        <f>IFERROR(VLOOKUP(C425,TD!$B$33:$F$37,4,0)," ")</f>
        <v>20240207</v>
      </c>
      <c r="S425" s="219" t="s">
        <v>185</v>
      </c>
      <c r="T425" s="221" t="str">
        <f>IFERROR(VLOOKUP(S425,TD!$J$34:$K$44,2,0)," ")</f>
        <v>Infraestructura física, mantenimiento y dotación (Sedes construidas, mantenidas reforzadas)</v>
      </c>
      <c r="U425" s="222" t="str">
        <f t="shared" si="25"/>
        <v>08-Infraestructura física, mantenimiento y dotación (Sedes construidas, mantenidas reforzadas)</v>
      </c>
      <c r="V425" s="219" t="s">
        <v>238</v>
      </c>
      <c r="W425" s="221" t="str">
        <f>IFERROR(VLOOKUP(V425,TD!$N$34:$O$46,2,0)," ")</f>
        <v>Sedes mantenidas</v>
      </c>
      <c r="X425" s="222" t="str">
        <f t="shared" si="26"/>
        <v>016_Sedes mantenidas</v>
      </c>
      <c r="Y425" s="222" t="str">
        <f t="shared" si="27"/>
        <v>08-Infraestructura física, mantenimiento y dotación (Sedes construidas, mantenidas reforzadas) 016_Sedes mantenidas</v>
      </c>
      <c r="Z425" s="221" t="str">
        <f t="shared" si="28"/>
        <v>O23011745992024020708016</v>
      </c>
      <c r="AA425" s="221" t="str">
        <f>IFERROR(VLOOKUP(Y425,TD!$K$47:$L$65,2,0)," ")</f>
        <v>PM/0131/0108/45990160207</v>
      </c>
      <c r="AB425" s="53" t="s">
        <v>138</v>
      </c>
      <c r="AC425" s="223" t="s">
        <v>204</v>
      </c>
    </row>
    <row r="426" spans="2:29" s="28" customFormat="1" ht="99" customHeight="1" x14ac:dyDescent="0.35">
      <c r="B426" s="77">
        <v>20250415</v>
      </c>
      <c r="C426" s="50" t="s">
        <v>208</v>
      </c>
      <c r="D426" s="218" t="s">
        <v>166</v>
      </c>
      <c r="E426" s="219" t="s">
        <v>565</v>
      </c>
      <c r="F426" s="218" t="s">
        <v>568</v>
      </c>
      <c r="G426" s="218" t="s">
        <v>156</v>
      </c>
      <c r="H426" s="93" t="s">
        <v>617</v>
      </c>
      <c r="I426" s="220">
        <v>2</v>
      </c>
      <c r="J426" s="220">
        <v>11</v>
      </c>
      <c r="K426" s="52">
        <v>0</v>
      </c>
      <c r="L426" s="53">
        <f t="shared" si="29"/>
        <v>32843280</v>
      </c>
      <c r="M426" s="218" t="s">
        <v>465</v>
      </c>
      <c r="N426" s="53" t="s">
        <v>618</v>
      </c>
      <c r="O426" s="219" t="s">
        <v>219</v>
      </c>
      <c r="P426" s="221" t="str">
        <f>IFERROR(VLOOKUP(C426,TD!$B$33:$F$37,2,0)," ")</f>
        <v>O230117</v>
      </c>
      <c r="Q426" s="221" t="str">
        <f>IFERROR(VLOOKUP(C426,TD!$B$33:$F$37,3,0)," ")</f>
        <v>4599</v>
      </c>
      <c r="R426" s="221">
        <f>IFERROR(VLOOKUP(C426,TD!$B$33:$F$37,4,0)," ")</f>
        <v>20240207</v>
      </c>
      <c r="S426" s="219" t="s">
        <v>185</v>
      </c>
      <c r="T426" s="221" t="str">
        <f>IFERROR(VLOOKUP(S426,TD!$J$34:$K$44,2,0)," ")</f>
        <v>Infraestructura física, mantenimiento y dotación (Sedes construidas, mantenidas reforzadas)</v>
      </c>
      <c r="U426" s="222" t="str">
        <f t="shared" si="25"/>
        <v>08-Infraestructura física, mantenimiento y dotación (Sedes construidas, mantenidas reforzadas)</v>
      </c>
      <c r="V426" s="219" t="s">
        <v>238</v>
      </c>
      <c r="W426" s="221" t="str">
        <f>IFERROR(VLOOKUP(V426,TD!$N$34:$O$46,2,0)," ")</f>
        <v>Sedes mantenidas</v>
      </c>
      <c r="X426" s="222" t="str">
        <f t="shared" si="26"/>
        <v>016_Sedes mantenidas</v>
      </c>
      <c r="Y426" s="222" t="str">
        <f t="shared" si="27"/>
        <v>08-Infraestructura física, mantenimiento y dotación (Sedes construidas, mantenidas reforzadas) 016_Sedes mantenidas</v>
      </c>
      <c r="Z426" s="221" t="str">
        <f t="shared" si="28"/>
        <v>O23011745992024020708016</v>
      </c>
      <c r="AA426" s="221" t="str">
        <f>IFERROR(VLOOKUP(Y426,TD!$K$47:$L$65,2,0)," ")</f>
        <v>PM/0131/0108/45990160207</v>
      </c>
      <c r="AB426" s="53" t="s">
        <v>138</v>
      </c>
      <c r="AC426" s="223" t="s">
        <v>204</v>
      </c>
    </row>
    <row r="427" spans="2:29" s="28" customFormat="1" ht="99" customHeight="1" x14ac:dyDescent="0.35">
      <c r="B427" s="77">
        <v>20250416</v>
      </c>
      <c r="C427" s="50" t="s">
        <v>208</v>
      </c>
      <c r="D427" s="218" t="s">
        <v>166</v>
      </c>
      <c r="E427" s="219" t="s">
        <v>565</v>
      </c>
      <c r="F427" s="218" t="s">
        <v>568</v>
      </c>
      <c r="G427" s="218" t="s">
        <v>156</v>
      </c>
      <c r="H427" s="93" t="s">
        <v>617</v>
      </c>
      <c r="I427" s="220">
        <v>2</v>
      </c>
      <c r="J427" s="220">
        <v>11</v>
      </c>
      <c r="K427" s="52">
        <v>0</v>
      </c>
      <c r="L427" s="53">
        <f t="shared" si="29"/>
        <v>32843280</v>
      </c>
      <c r="M427" s="218" t="s">
        <v>465</v>
      </c>
      <c r="N427" s="53" t="s">
        <v>618</v>
      </c>
      <c r="O427" s="219" t="s">
        <v>219</v>
      </c>
      <c r="P427" s="221" t="str">
        <f>IFERROR(VLOOKUP(C427,TD!$B$33:$F$37,2,0)," ")</f>
        <v>O230117</v>
      </c>
      <c r="Q427" s="221" t="str">
        <f>IFERROR(VLOOKUP(C427,TD!$B$33:$F$37,3,0)," ")</f>
        <v>4599</v>
      </c>
      <c r="R427" s="221">
        <f>IFERROR(VLOOKUP(C427,TD!$B$33:$F$37,4,0)," ")</f>
        <v>20240207</v>
      </c>
      <c r="S427" s="219" t="s">
        <v>185</v>
      </c>
      <c r="T427" s="221" t="str">
        <f>IFERROR(VLOOKUP(S427,TD!$J$34:$K$44,2,0)," ")</f>
        <v>Infraestructura física, mantenimiento y dotación (Sedes construidas, mantenidas reforzadas)</v>
      </c>
      <c r="U427" s="222" t="str">
        <f t="shared" si="25"/>
        <v>08-Infraestructura física, mantenimiento y dotación (Sedes construidas, mantenidas reforzadas)</v>
      </c>
      <c r="V427" s="219" t="s">
        <v>238</v>
      </c>
      <c r="W427" s="221" t="str">
        <f>IFERROR(VLOOKUP(V427,TD!$N$34:$O$46,2,0)," ")</f>
        <v>Sedes mantenidas</v>
      </c>
      <c r="X427" s="222" t="str">
        <f t="shared" si="26"/>
        <v>016_Sedes mantenidas</v>
      </c>
      <c r="Y427" s="222" t="str">
        <f t="shared" si="27"/>
        <v>08-Infraestructura física, mantenimiento y dotación (Sedes construidas, mantenidas reforzadas) 016_Sedes mantenidas</v>
      </c>
      <c r="Z427" s="221" t="str">
        <f t="shared" si="28"/>
        <v>O23011745992024020708016</v>
      </c>
      <c r="AA427" s="221" t="str">
        <f>IFERROR(VLOOKUP(Y427,TD!$K$47:$L$65,2,0)," ")</f>
        <v>PM/0131/0108/45990160207</v>
      </c>
      <c r="AB427" s="53" t="s">
        <v>138</v>
      </c>
      <c r="AC427" s="223" t="s">
        <v>204</v>
      </c>
    </row>
    <row r="428" spans="2:29" s="28" customFormat="1" ht="99" customHeight="1" x14ac:dyDescent="0.35">
      <c r="B428" s="77">
        <v>20250417</v>
      </c>
      <c r="C428" s="50" t="s">
        <v>208</v>
      </c>
      <c r="D428" s="218" t="s">
        <v>166</v>
      </c>
      <c r="E428" s="219" t="s">
        <v>565</v>
      </c>
      <c r="F428" s="218" t="s">
        <v>568</v>
      </c>
      <c r="G428" s="218" t="s">
        <v>156</v>
      </c>
      <c r="H428" s="93" t="s">
        <v>617</v>
      </c>
      <c r="I428" s="220">
        <v>2</v>
      </c>
      <c r="J428" s="220">
        <v>11</v>
      </c>
      <c r="K428" s="52">
        <v>0</v>
      </c>
      <c r="L428" s="53">
        <f t="shared" si="29"/>
        <v>32843280</v>
      </c>
      <c r="M428" s="218" t="s">
        <v>465</v>
      </c>
      <c r="N428" s="53" t="s">
        <v>618</v>
      </c>
      <c r="O428" s="219" t="s">
        <v>219</v>
      </c>
      <c r="P428" s="221" t="str">
        <f>IFERROR(VLOOKUP(C428,TD!$B$33:$F$37,2,0)," ")</f>
        <v>O230117</v>
      </c>
      <c r="Q428" s="221" t="str">
        <f>IFERROR(VLOOKUP(C428,TD!$B$33:$F$37,3,0)," ")</f>
        <v>4599</v>
      </c>
      <c r="R428" s="221">
        <f>IFERROR(VLOOKUP(C428,TD!$B$33:$F$37,4,0)," ")</f>
        <v>20240207</v>
      </c>
      <c r="S428" s="219" t="s">
        <v>185</v>
      </c>
      <c r="T428" s="221" t="str">
        <f>IFERROR(VLOOKUP(S428,TD!$J$34:$K$44,2,0)," ")</f>
        <v>Infraestructura física, mantenimiento y dotación (Sedes construidas, mantenidas reforzadas)</v>
      </c>
      <c r="U428" s="222" t="str">
        <f t="shared" si="25"/>
        <v>08-Infraestructura física, mantenimiento y dotación (Sedes construidas, mantenidas reforzadas)</v>
      </c>
      <c r="V428" s="219" t="s">
        <v>238</v>
      </c>
      <c r="W428" s="221" t="str">
        <f>IFERROR(VLOOKUP(V428,TD!$N$34:$O$46,2,0)," ")</f>
        <v>Sedes mantenidas</v>
      </c>
      <c r="X428" s="222" t="str">
        <f t="shared" si="26"/>
        <v>016_Sedes mantenidas</v>
      </c>
      <c r="Y428" s="222" t="str">
        <f t="shared" si="27"/>
        <v>08-Infraestructura física, mantenimiento y dotación (Sedes construidas, mantenidas reforzadas) 016_Sedes mantenidas</v>
      </c>
      <c r="Z428" s="221" t="str">
        <f t="shared" si="28"/>
        <v>O23011745992024020708016</v>
      </c>
      <c r="AA428" s="221" t="str">
        <f>IFERROR(VLOOKUP(Y428,TD!$K$47:$L$65,2,0)," ")</f>
        <v>PM/0131/0108/45990160207</v>
      </c>
      <c r="AB428" s="53" t="s">
        <v>138</v>
      </c>
      <c r="AC428" s="223" t="s">
        <v>204</v>
      </c>
    </row>
    <row r="429" spans="2:29" s="28" customFormat="1" ht="99" customHeight="1" x14ac:dyDescent="0.35">
      <c r="B429" s="77">
        <v>20250418</v>
      </c>
      <c r="C429" s="50" t="s">
        <v>208</v>
      </c>
      <c r="D429" s="218" t="s">
        <v>166</v>
      </c>
      <c r="E429" s="219" t="s">
        <v>565</v>
      </c>
      <c r="F429" s="218" t="s">
        <v>568</v>
      </c>
      <c r="G429" s="218" t="s">
        <v>156</v>
      </c>
      <c r="H429" s="93" t="s">
        <v>617</v>
      </c>
      <c r="I429" s="220">
        <v>2</v>
      </c>
      <c r="J429" s="220">
        <v>11</v>
      </c>
      <c r="K429" s="52">
        <v>0</v>
      </c>
      <c r="L429" s="53">
        <f t="shared" si="29"/>
        <v>32843280</v>
      </c>
      <c r="M429" s="218" t="s">
        <v>465</v>
      </c>
      <c r="N429" s="53" t="s">
        <v>618</v>
      </c>
      <c r="O429" s="219" t="s">
        <v>219</v>
      </c>
      <c r="P429" s="221" t="str">
        <f>IFERROR(VLOOKUP(C429,TD!$B$33:$F$37,2,0)," ")</f>
        <v>O230117</v>
      </c>
      <c r="Q429" s="221" t="str">
        <f>IFERROR(VLOOKUP(C429,TD!$B$33:$F$37,3,0)," ")</f>
        <v>4599</v>
      </c>
      <c r="R429" s="221">
        <f>IFERROR(VLOOKUP(C429,TD!$B$33:$F$37,4,0)," ")</f>
        <v>20240207</v>
      </c>
      <c r="S429" s="219" t="s">
        <v>185</v>
      </c>
      <c r="T429" s="221" t="str">
        <f>IFERROR(VLOOKUP(S429,TD!$J$34:$K$44,2,0)," ")</f>
        <v>Infraestructura física, mantenimiento y dotación (Sedes construidas, mantenidas reforzadas)</v>
      </c>
      <c r="U429" s="222" t="str">
        <f t="shared" si="25"/>
        <v>08-Infraestructura física, mantenimiento y dotación (Sedes construidas, mantenidas reforzadas)</v>
      </c>
      <c r="V429" s="219" t="s">
        <v>238</v>
      </c>
      <c r="W429" s="221" t="str">
        <f>IFERROR(VLOOKUP(V429,TD!$N$34:$O$46,2,0)," ")</f>
        <v>Sedes mantenidas</v>
      </c>
      <c r="X429" s="222" t="str">
        <f t="shared" si="26"/>
        <v>016_Sedes mantenidas</v>
      </c>
      <c r="Y429" s="222" t="str">
        <f t="shared" si="27"/>
        <v>08-Infraestructura física, mantenimiento y dotación (Sedes construidas, mantenidas reforzadas) 016_Sedes mantenidas</v>
      </c>
      <c r="Z429" s="221" t="str">
        <f t="shared" si="28"/>
        <v>O23011745992024020708016</v>
      </c>
      <c r="AA429" s="221" t="str">
        <f>IFERROR(VLOOKUP(Y429,TD!$K$47:$L$65,2,0)," ")</f>
        <v>PM/0131/0108/45990160207</v>
      </c>
      <c r="AB429" s="53" t="s">
        <v>138</v>
      </c>
      <c r="AC429" s="223" t="s">
        <v>204</v>
      </c>
    </row>
    <row r="430" spans="2:29" s="28" customFormat="1" ht="99" customHeight="1" x14ac:dyDescent="0.35">
      <c r="B430" s="77">
        <v>20250419</v>
      </c>
      <c r="C430" s="50" t="s">
        <v>208</v>
      </c>
      <c r="D430" s="218" t="s">
        <v>166</v>
      </c>
      <c r="E430" s="219" t="s">
        <v>565</v>
      </c>
      <c r="F430" s="218" t="s">
        <v>568</v>
      </c>
      <c r="G430" s="218" t="s">
        <v>156</v>
      </c>
      <c r="H430" s="93" t="s">
        <v>617</v>
      </c>
      <c r="I430" s="220">
        <v>2</v>
      </c>
      <c r="J430" s="220">
        <v>11</v>
      </c>
      <c r="K430" s="52">
        <v>0</v>
      </c>
      <c r="L430" s="53">
        <f t="shared" si="29"/>
        <v>32843280</v>
      </c>
      <c r="M430" s="218" t="s">
        <v>465</v>
      </c>
      <c r="N430" s="53" t="s">
        <v>618</v>
      </c>
      <c r="O430" s="219" t="s">
        <v>219</v>
      </c>
      <c r="P430" s="221" t="str">
        <f>IFERROR(VLOOKUP(C430,TD!$B$33:$F$37,2,0)," ")</f>
        <v>O230117</v>
      </c>
      <c r="Q430" s="221" t="str">
        <f>IFERROR(VLOOKUP(C430,TD!$B$33:$F$37,3,0)," ")</f>
        <v>4599</v>
      </c>
      <c r="R430" s="221">
        <f>IFERROR(VLOOKUP(C430,TD!$B$33:$F$37,4,0)," ")</f>
        <v>20240207</v>
      </c>
      <c r="S430" s="219" t="s">
        <v>185</v>
      </c>
      <c r="T430" s="221" t="str">
        <f>IFERROR(VLOOKUP(S430,TD!$J$34:$K$44,2,0)," ")</f>
        <v>Infraestructura física, mantenimiento y dotación (Sedes construidas, mantenidas reforzadas)</v>
      </c>
      <c r="U430" s="222" t="str">
        <f t="shared" si="25"/>
        <v>08-Infraestructura física, mantenimiento y dotación (Sedes construidas, mantenidas reforzadas)</v>
      </c>
      <c r="V430" s="219" t="s">
        <v>238</v>
      </c>
      <c r="W430" s="221" t="str">
        <f>IFERROR(VLOOKUP(V430,TD!$N$34:$O$46,2,0)," ")</f>
        <v>Sedes mantenidas</v>
      </c>
      <c r="X430" s="222" t="str">
        <f t="shared" si="26"/>
        <v>016_Sedes mantenidas</v>
      </c>
      <c r="Y430" s="222" t="str">
        <f t="shared" si="27"/>
        <v>08-Infraestructura física, mantenimiento y dotación (Sedes construidas, mantenidas reforzadas) 016_Sedes mantenidas</v>
      </c>
      <c r="Z430" s="221" t="str">
        <f t="shared" si="28"/>
        <v>O23011745992024020708016</v>
      </c>
      <c r="AA430" s="221" t="str">
        <f>IFERROR(VLOOKUP(Y430,TD!$K$47:$L$65,2,0)," ")</f>
        <v>PM/0131/0108/45990160207</v>
      </c>
      <c r="AB430" s="53" t="s">
        <v>138</v>
      </c>
      <c r="AC430" s="223" t="s">
        <v>204</v>
      </c>
    </row>
    <row r="431" spans="2:29" s="28" customFormat="1" ht="99" customHeight="1" x14ac:dyDescent="0.35">
      <c r="B431" s="130">
        <v>20250420</v>
      </c>
      <c r="C431" s="132" t="s">
        <v>208</v>
      </c>
      <c r="D431" s="224" t="s">
        <v>166</v>
      </c>
      <c r="E431" s="225" t="s">
        <v>565</v>
      </c>
      <c r="F431" s="224" t="s">
        <v>568</v>
      </c>
      <c r="G431" s="224" t="s">
        <v>156</v>
      </c>
      <c r="H431" s="133" t="s">
        <v>617</v>
      </c>
      <c r="I431" s="226">
        <v>2</v>
      </c>
      <c r="J431" s="226">
        <v>11</v>
      </c>
      <c r="K431" s="129">
        <v>0</v>
      </c>
      <c r="L431" s="128">
        <v>30000000</v>
      </c>
      <c r="M431" s="224" t="s">
        <v>465</v>
      </c>
      <c r="N431" s="128" t="s">
        <v>618</v>
      </c>
      <c r="O431" s="225" t="s">
        <v>219</v>
      </c>
      <c r="P431" s="227" t="str">
        <f>IFERROR(VLOOKUP(C431,TD!$B$33:$F$37,2,0)," ")</f>
        <v>O230117</v>
      </c>
      <c r="Q431" s="227" t="str">
        <f>IFERROR(VLOOKUP(C431,TD!$B$33:$F$37,3,0)," ")</f>
        <v>4599</v>
      </c>
      <c r="R431" s="227">
        <f>IFERROR(VLOOKUP(C431,TD!$B$33:$F$37,4,0)," ")</f>
        <v>20240207</v>
      </c>
      <c r="S431" s="225" t="s">
        <v>185</v>
      </c>
      <c r="T431" s="227" t="str">
        <f>IFERROR(VLOOKUP(S431,TD!$J$34:$K$44,2,0)," ")</f>
        <v>Infraestructura física, mantenimiento y dotación (Sedes construidas, mantenidas reforzadas)</v>
      </c>
      <c r="U431" s="222" t="str">
        <f t="shared" si="25"/>
        <v>08-Infraestructura física, mantenimiento y dotación (Sedes construidas, mantenidas reforzadas)</v>
      </c>
      <c r="V431" s="225" t="s">
        <v>238</v>
      </c>
      <c r="W431" s="227" t="str">
        <f>IFERROR(VLOOKUP(V431,TD!$N$34:$O$46,2,0)," ")</f>
        <v>Sedes mantenidas</v>
      </c>
      <c r="X431" s="222" t="str">
        <f t="shared" si="26"/>
        <v>016_Sedes mantenidas</v>
      </c>
      <c r="Y431" s="222" t="str">
        <f t="shared" si="27"/>
        <v>08-Infraestructura física, mantenimiento y dotación (Sedes construidas, mantenidas reforzadas) 016_Sedes mantenidas</v>
      </c>
      <c r="Z431" s="227" t="str">
        <f t="shared" si="28"/>
        <v>O23011745992024020708016</v>
      </c>
      <c r="AA431" s="227" t="str">
        <f>IFERROR(VLOOKUP(Y431,TD!$K$47:$L$65,2,0)," ")</f>
        <v>PM/0131/0108/45990160207</v>
      </c>
      <c r="AB431" s="128" t="s">
        <v>138</v>
      </c>
      <c r="AC431" s="228" t="s">
        <v>204</v>
      </c>
    </row>
    <row r="432" spans="2:29" s="28" customFormat="1" ht="99" customHeight="1" x14ac:dyDescent="0.35">
      <c r="B432" s="77">
        <v>20250421</v>
      </c>
      <c r="C432" s="50" t="s">
        <v>208</v>
      </c>
      <c r="D432" s="218" t="s">
        <v>166</v>
      </c>
      <c r="E432" s="219" t="s">
        <v>565</v>
      </c>
      <c r="F432" s="218" t="s">
        <v>568</v>
      </c>
      <c r="G432" s="218" t="s">
        <v>156</v>
      </c>
      <c r="H432" s="93" t="s">
        <v>617</v>
      </c>
      <c r="I432" s="220">
        <v>2</v>
      </c>
      <c r="J432" s="220">
        <v>11</v>
      </c>
      <c r="K432" s="52">
        <v>0</v>
      </c>
      <c r="L432" s="53">
        <f>33534424-3975472</f>
        <v>29558952</v>
      </c>
      <c r="M432" s="218" t="s">
        <v>465</v>
      </c>
      <c r="N432" s="53" t="s">
        <v>618</v>
      </c>
      <c r="O432" s="219" t="s">
        <v>219</v>
      </c>
      <c r="P432" s="221" t="str">
        <f>IFERROR(VLOOKUP(C432,TD!$B$33:$F$37,2,0)," ")</f>
        <v>O230117</v>
      </c>
      <c r="Q432" s="221" t="str">
        <f>IFERROR(VLOOKUP(C432,TD!$B$33:$F$37,3,0)," ")</f>
        <v>4599</v>
      </c>
      <c r="R432" s="221">
        <f>IFERROR(VLOOKUP(C432,TD!$B$33:$F$37,4,0)," ")</f>
        <v>20240207</v>
      </c>
      <c r="S432" s="219" t="s">
        <v>185</v>
      </c>
      <c r="T432" s="221" t="str">
        <f>IFERROR(VLOOKUP(S432,TD!$J$34:$K$44,2,0)," ")</f>
        <v>Infraestructura física, mantenimiento y dotación (Sedes construidas, mantenidas reforzadas)</v>
      </c>
      <c r="U432" s="222" t="str">
        <f t="shared" si="25"/>
        <v>08-Infraestructura física, mantenimiento y dotación (Sedes construidas, mantenidas reforzadas)</v>
      </c>
      <c r="V432" s="219" t="s">
        <v>238</v>
      </c>
      <c r="W432" s="221" t="str">
        <f>IFERROR(VLOOKUP(V432,TD!$N$34:$O$46,2,0)," ")</f>
        <v>Sedes mantenidas</v>
      </c>
      <c r="X432" s="222" t="str">
        <f t="shared" si="26"/>
        <v>016_Sedes mantenidas</v>
      </c>
      <c r="Y432" s="222" t="str">
        <f t="shared" si="27"/>
        <v>08-Infraestructura física, mantenimiento y dotación (Sedes construidas, mantenidas reforzadas) 016_Sedes mantenidas</v>
      </c>
      <c r="Z432" s="221" t="str">
        <f t="shared" si="28"/>
        <v>O23011745992024020708016</v>
      </c>
      <c r="AA432" s="221" t="str">
        <f>IFERROR(VLOOKUP(Y432,TD!$K$47:$L$65,2,0)," ")</f>
        <v>PM/0131/0108/45990160207</v>
      </c>
      <c r="AB432" s="53" t="s">
        <v>138</v>
      </c>
      <c r="AC432" s="223" t="s">
        <v>204</v>
      </c>
    </row>
    <row r="433" spans="2:29" s="28" customFormat="1" ht="99" customHeight="1" x14ac:dyDescent="0.35">
      <c r="B433" s="77">
        <v>20250422</v>
      </c>
      <c r="C433" s="50" t="s">
        <v>208</v>
      </c>
      <c r="D433" s="218" t="s">
        <v>166</v>
      </c>
      <c r="E433" s="219" t="s">
        <v>565</v>
      </c>
      <c r="F433" s="218" t="s">
        <v>568</v>
      </c>
      <c r="G433" s="218" t="s">
        <v>156</v>
      </c>
      <c r="H433" s="93" t="s">
        <v>617</v>
      </c>
      <c r="I433" s="220">
        <v>2</v>
      </c>
      <c r="J433" s="220">
        <v>11</v>
      </c>
      <c r="K433" s="52">
        <v>0</v>
      </c>
      <c r="L433" s="53">
        <f>33534424-3975472</f>
        <v>29558952</v>
      </c>
      <c r="M433" s="218" t="s">
        <v>465</v>
      </c>
      <c r="N433" s="53" t="s">
        <v>618</v>
      </c>
      <c r="O433" s="219" t="s">
        <v>219</v>
      </c>
      <c r="P433" s="221" t="str">
        <f>IFERROR(VLOOKUP(C433,TD!$B$33:$F$37,2,0)," ")</f>
        <v>O230117</v>
      </c>
      <c r="Q433" s="221" t="str">
        <f>IFERROR(VLOOKUP(C433,TD!$B$33:$F$37,3,0)," ")</f>
        <v>4599</v>
      </c>
      <c r="R433" s="221">
        <f>IFERROR(VLOOKUP(C433,TD!$B$33:$F$37,4,0)," ")</f>
        <v>20240207</v>
      </c>
      <c r="S433" s="219" t="s">
        <v>185</v>
      </c>
      <c r="T433" s="221" t="str">
        <f>IFERROR(VLOOKUP(S433,TD!$J$34:$K$44,2,0)," ")</f>
        <v>Infraestructura física, mantenimiento y dotación (Sedes construidas, mantenidas reforzadas)</v>
      </c>
      <c r="U433" s="222" t="str">
        <f t="shared" si="25"/>
        <v>08-Infraestructura física, mantenimiento y dotación (Sedes construidas, mantenidas reforzadas)</v>
      </c>
      <c r="V433" s="219" t="s">
        <v>238</v>
      </c>
      <c r="W433" s="221" t="str">
        <f>IFERROR(VLOOKUP(V433,TD!$N$34:$O$46,2,0)," ")</f>
        <v>Sedes mantenidas</v>
      </c>
      <c r="X433" s="222" t="str">
        <f t="shared" si="26"/>
        <v>016_Sedes mantenidas</v>
      </c>
      <c r="Y433" s="222" t="str">
        <f t="shared" si="27"/>
        <v>08-Infraestructura física, mantenimiento y dotación (Sedes construidas, mantenidas reforzadas) 016_Sedes mantenidas</v>
      </c>
      <c r="Z433" s="221" t="str">
        <f t="shared" si="28"/>
        <v>O23011745992024020708016</v>
      </c>
      <c r="AA433" s="221" t="str">
        <f>IFERROR(VLOOKUP(Y433,TD!$K$47:$L$65,2,0)," ")</f>
        <v>PM/0131/0108/45990160207</v>
      </c>
      <c r="AB433" s="53" t="s">
        <v>138</v>
      </c>
      <c r="AC433" s="223" t="s">
        <v>204</v>
      </c>
    </row>
    <row r="434" spans="2:29" s="28" customFormat="1" ht="99" customHeight="1" x14ac:dyDescent="0.35">
      <c r="B434" s="77">
        <v>20250423</v>
      </c>
      <c r="C434" s="50" t="s">
        <v>208</v>
      </c>
      <c r="D434" s="218" t="s">
        <v>166</v>
      </c>
      <c r="E434" s="219" t="s">
        <v>565</v>
      </c>
      <c r="F434" s="218" t="s">
        <v>568</v>
      </c>
      <c r="G434" s="218" t="s">
        <v>156</v>
      </c>
      <c r="H434" s="93" t="s">
        <v>617</v>
      </c>
      <c r="I434" s="220">
        <v>2</v>
      </c>
      <c r="J434" s="220">
        <v>11</v>
      </c>
      <c r="K434" s="52">
        <v>0</v>
      </c>
      <c r="L434" s="53">
        <f>33534424-3975472</f>
        <v>29558952</v>
      </c>
      <c r="M434" s="218" t="s">
        <v>465</v>
      </c>
      <c r="N434" s="53" t="s">
        <v>618</v>
      </c>
      <c r="O434" s="219" t="s">
        <v>219</v>
      </c>
      <c r="P434" s="221" t="str">
        <f>IFERROR(VLOOKUP(C434,TD!$B$33:$F$37,2,0)," ")</f>
        <v>O230117</v>
      </c>
      <c r="Q434" s="221" t="str">
        <f>IFERROR(VLOOKUP(C434,TD!$B$33:$F$37,3,0)," ")</f>
        <v>4599</v>
      </c>
      <c r="R434" s="221">
        <f>IFERROR(VLOOKUP(C434,TD!$B$33:$F$37,4,0)," ")</f>
        <v>20240207</v>
      </c>
      <c r="S434" s="219" t="s">
        <v>185</v>
      </c>
      <c r="T434" s="221" t="str">
        <f>IFERROR(VLOOKUP(S434,TD!$J$34:$K$44,2,0)," ")</f>
        <v>Infraestructura física, mantenimiento y dotación (Sedes construidas, mantenidas reforzadas)</v>
      </c>
      <c r="U434" s="222" t="str">
        <f t="shared" si="25"/>
        <v>08-Infraestructura física, mantenimiento y dotación (Sedes construidas, mantenidas reforzadas)</v>
      </c>
      <c r="V434" s="219" t="s">
        <v>238</v>
      </c>
      <c r="W434" s="221" t="str">
        <f>IFERROR(VLOOKUP(V434,TD!$N$34:$O$46,2,0)," ")</f>
        <v>Sedes mantenidas</v>
      </c>
      <c r="X434" s="222" t="str">
        <f t="shared" si="26"/>
        <v>016_Sedes mantenidas</v>
      </c>
      <c r="Y434" s="222" t="str">
        <f t="shared" si="27"/>
        <v>08-Infraestructura física, mantenimiento y dotación (Sedes construidas, mantenidas reforzadas) 016_Sedes mantenidas</v>
      </c>
      <c r="Z434" s="221" t="str">
        <f t="shared" si="28"/>
        <v>O23011745992024020708016</v>
      </c>
      <c r="AA434" s="221" t="str">
        <f>IFERROR(VLOOKUP(Y434,TD!$K$47:$L$65,2,0)," ")</f>
        <v>PM/0131/0108/45990160207</v>
      </c>
      <c r="AB434" s="53" t="s">
        <v>138</v>
      </c>
      <c r="AC434" s="223" t="s">
        <v>204</v>
      </c>
    </row>
    <row r="435" spans="2:29" s="28" customFormat="1" ht="99" customHeight="1" x14ac:dyDescent="0.35">
      <c r="B435" s="130">
        <v>20250424</v>
      </c>
      <c r="C435" s="132" t="s">
        <v>208</v>
      </c>
      <c r="D435" s="224" t="s">
        <v>166</v>
      </c>
      <c r="E435" s="225" t="s">
        <v>565</v>
      </c>
      <c r="F435" s="224" t="s">
        <v>570</v>
      </c>
      <c r="G435" s="224" t="s">
        <v>155</v>
      </c>
      <c r="H435" s="133" t="s">
        <v>617</v>
      </c>
      <c r="I435" s="226">
        <v>2</v>
      </c>
      <c r="J435" s="226">
        <v>11</v>
      </c>
      <c r="K435" s="129">
        <v>0</v>
      </c>
      <c r="L435" s="128">
        <v>64000000</v>
      </c>
      <c r="M435" s="224" t="s">
        <v>465</v>
      </c>
      <c r="N435" s="128" t="s">
        <v>618</v>
      </c>
      <c r="O435" s="225" t="s">
        <v>219</v>
      </c>
      <c r="P435" s="227" t="str">
        <f>IFERROR(VLOOKUP(C435,TD!$B$33:$F$37,2,0)," ")</f>
        <v>O230117</v>
      </c>
      <c r="Q435" s="227" t="str">
        <f>IFERROR(VLOOKUP(C435,TD!$B$33:$F$37,3,0)," ")</f>
        <v>4599</v>
      </c>
      <c r="R435" s="227">
        <f>IFERROR(VLOOKUP(C435,TD!$B$33:$F$37,4,0)," ")</f>
        <v>20240207</v>
      </c>
      <c r="S435" s="225" t="s">
        <v>185</v>
      </c>
      <c r="T435" s="227" t="str">
        <f>IFERROR(VLOOKUP(S435,TD!$J$34:$K$44,2,0)," ")</f>
        <v>Infraestructura física, mantenimiento y dotación (Sedes construidas, mantenidas reforzadas)</v>
      </c>
      <c r="U435" s="222" t="str">
        <f t="shared" si="25"/>
        <v>08-Infraestructura física, mantenimiento y dotación (Sedes construidas, mantenidas reforzadas)</v>
      </c>
      <c r="V435" s="225" t="s">
        <v>238</v>
      </c>
      <c r="W435" s="227" t="str">
        <f>IFERROR(VLOOKUP(V435,TD!$N$34:$O$46,2,0)," ")</f>
        <v>Sedes mantenidas</v>
      </c>
      <c r="X435" s="222" t="str">
        <f t="shared" si="26"/>
        <v>016_Sedes mantenidas</v>
      </c>
      <c r="Y435" s="222" t="str">
        <f t="shared" si="27"/>
        <v>08-Infraestructura física, mantenimiento y dotación (Sedes construidas, mantenidas reforzadas) 016_Sedes mantenidas</v>
      </c>
      <c r="Z435" s="227" t="str">
        <f t="shared" si="28"/>
        <v>O23011745992024020708016</v>
      </c>
      <c r="AA435" s="227" t="str">
        <f>IFERROR(VLOOKUP(Y435,TD!$K$47:$L$65,2,0)," ")</f>
        <v>PM/0131/0108/45990160207</v>
      </c>
      <c r="AB435" s="128" t="s">
        <v>138</v>
      </c>
      <c r="AC435" s="228" t="s">
        <v>204</v>
      </c>
    </row>
    <row r="436" spans="2:29" s="28" customFormat="1" ht="99" customHeight="1" x14ac:dyDescent="0.35">
      <c r="B436" s="77">
        <v>20250425</v>
      </c>
      <c r="C436" s="50" t="s">
        <v>208</v>
      </c>
      <c r="D436" s="218" t="s">
        <v>166</v>
      </c>
      <c r="E436" s="219" t="s">
        <v>565</v>
      </c>
      <c r="F436" s="218" t="s">
        <v>571</v>
      </c>
      <c r="G436" s="218" t="s">
        <v>156</v>
      </c>
      <c r="H436" s="93" t="s">
        <v>617</v>
      </c>
      <c r="I436" s="220">
        <v>2</v>
      </c>
      <c r="J436" s="220">
        <v>11</v>
      </c>
      <c r="K436" s="52">
        <v>0</v>
      </c>
      <c r="L436" s="53">
        <f>33534424-3506279</f>
        <v>30028145</v>
      </c>
      <c r="M436" s="218" t="s">
        <v>465</v>
      </c>
      <c r="N436" s="53" t="s">
        <v>618</v>
      </c>
      <c r="O436" s="219" t="s">
        <v>219</v>
      </c>
      <c r="P436" s="221" t="str">
        <f>IFERROR(VLOOKUP(C436,TD!$B$33:$F$37,2,0)," ")</f>
        <v>O230117</v>
      </c>
      <c r="Q436" s="221" t="str">
        <f>IFERROR(VLOOKUP(C436,TD!$B$33:$F$37,3,0)," ")</f>
        <v>4599</v>
      </c>
      <c r="R436" s="221">
        <f>IFERROR(VLOOKUP(C436,TD!$B$33:$F$37,4,0)," ")</f>
        <v>20240207</v>
      </c>
      <c r="S436" s="219" t="s">
        <v>185</v>
      </c>
      <c r="T436" s="221" t="str">
        <f>IFERROR(VLOOKUP(S436,TD!$J$34:$K$44,2,0)," ")</f>
        <v>Infraestructura física, mantenimiento y dotación (Sedes construidas, mantenidas reforzadas)</v>
      </c>
      <c r="U436" s="222" t="str">
        <f t="shared" si="25"/>
        <v>08-Infraestructura física, mantenimiento y dotación (Sedes construidas, mantenidas reforzadas)</v>
      </c>
      <c r="V436" s="219" t="s">
        <v>238</v>
      </c>
      <c r="W436" s="221" t="str">
        <f>IFERROR(VLOOKUP(V436,TD!$N$34:$O$46,2,0)," ")</f>
        <v>Sedes mantenidas</v>
      </c>
      <c r="X436" s="222" t="str">
        <f t="shared" si="26"/>
        <v>016_Sedes mantenidas</v>
      </c>
      <c r="Y436" s="222" t="str">
        <f t="shared" si="27"/>
        <v>08-Infraestructura física, mantenimiento y dotación (Sedes construidas, mantenidas reforzadas) 016_Sedes mantenidas</v>
      </c>
      <c r="Z436" s="221" t="str">
        <f t="shared" si="28"/>
        <v>O23011745992024020708016</v>
      </c>
      <c r="AA436" s="221" t="str">
        <f>IFERROR(VLOOKUP(Y436,TD!$K$47:$L$65,2,0)," ")</f>
        <v>PM/0131/0108/45990160207</v>
      </c>
      <c r="AB436" s="53" t="s">
        <v>138</v>
      </c>
      <c r="AC436" s="223" t="s">
        <v>204</v>
      </c>
    </row>
    <row r="437" spans="2:29" s="28" customFormat="1" ht="99" customHeight="1" x14ac:dyDescent="0.35">
      <c r="B437" s="77">
        <v>20250426</v>
      </c>
      <c r="C437" s="50" t="s">
        <v>208</v>
      </c>
      <c r="D437" s="218" t="s">
        <v>166</v>
      </c>
      <c r="E437" s="219" t="s">
        <v>565</v>
      </c>
      <c r="F437" s="218" t="s">
        <v>572</v>
      </c>
      <c r="G437" s="218" t="s">
        <v>155</v>
      </c>
      <c r="H437" s="93" t="s">
        <v>617</v>
      </c>
      <c r="I437" s="220">
        <v>2</v>
      </c>
      <c r="J437" s="220">
        <v>11</v>
      </c>
      <c r="K437" s="52">
        <v>0</v>
      </c>
      <c r="L437" s="53">
        <f>44000000-2711304</f>
        <v>41288696</v>
      </c>
      <c r="M437" s="218" t="s">
        <v>465</v>
      </c>
      <c r="N437" s="53" t="s">
        <v>618</v>
      </c>
      <c r="O437" s="219" t="s">
        <v>219</v>
      </c>
      <c r="P437" s="221" t="str">
        <f>IFERROR(VLOOKUP(C437,TD!$B$33:$F$37,2,0)," ")</f>
        <v>O230117</v>
      </c>
      <c r="Q437" s="221" t="str">
        <f>IFERROR(VLOOKUP(C437,TD!$B$33:$F$37,3,0)," ")</f>
        <v>4599</v>
      </c>
      <c r="R437" s="221">
        <f>IFERROR(VLOOKUP(C437,TD!$B$33:$F$37,4,0)," ")</f>
        <v>20240207</v>
      </c>
      <c r="S437" s="219" t="s">
        <v>185</v>
      </c>
      <c r="T437" s="221" t="str">
        <f>IFERROR(VLOOKUP(S437,TD!$J$34:$K$44,2,0)," ")</f>
        <v>Infraestructura física, mantenimiento y dotación (Sedes construidas, mantenidas reforzadas)</v>
      </c>
      <c r="U437" s="222" t="str">
        <f t="shared" si="25"/>
        <v>08-Infraestructura física, mantenimiento y dotación (Sedes construidas, mantenidas reforzadas)</v>
      </c>
      <c r="V437" s="219" t="s">
        <v>238</v>
      </c>
      <c r="W437" s="221" t="str">
        <f>IFERROR(VLOOKUP(V437,TD!$N$34:$O$46,2,0)," ")</f>
        <v>Sedes mantenidas</v>
      </c>
      <c r="X437" s="222" t="str">
        <f t="shared" si="26"/>
        <v>016_Sedes mantenidas</v>
      </c>
      <c r="Y437" s="222" t="str">
        <f t="shared" si="27"/>
        <v>08-Infraestructura física, mantenimiento y dotación (Sedes construidas, mantenidas reforzadas) 016_Sedes mantenidas</v>
      </c>
      <c r="Z437" s="221" t="str">
        <f t="shared" si="28"/>
        <v>O23011745992024020708016</v>
      </c>
      <c r="AA437" s="221" t="str">
        <f>IFERROR(VLOOKUP(Y437,TD!$K$47:$L$65,2,0)," ")</f>
        <v>PM/0131/0108/45990160207</v>
      </c>
      <c r="AB437" s="53" t="s">
        <v>138</v>
      </c>
      <c r="AC437" s="223" t="s">
        <v>204</v>
      </c>
    </row>
    <row r="438" spans="2:29" s="28" customFormat="1" ht="99" customHeight="1" x14ac:dyDescent="0.35">
      <c r="B438" s="77">
        <v>20250427</v>
      </c>
      <c r="C438" s="50" t="s">
        <v>208</v>
      </c>
      <c r="D438" s="218" t="s">
        <v>166</v>
      </c>
      <c r="E438" s="219" t="s">
        <v>565</v>
      </c>
      <c r="F438" s="218" t="s">
        <v>573</v>
      </c>
      <c r="G438" s="218" t="s">
        <v>156</v>
      </c>
      <c r="H438" s="93" t="s">
        <v>617</v>
      </c>
      <c r="I438" s="220">
        <v>2</v>
      </c>
      <c r="J438" s="220">
        <v>11</v>
      </c>
      <c r="K438" s="52">
        <v>0</v>
      </c>
      <c r="L438" s="53">
        <f>33534424-3975472</f>
        <v>29558952</v>
      </c>
      <c r="M438" s="218" t="s">
        <v>465</v>
      </c>
      <c r="N438" s="53" t="s">
        <v>618</v>
      </c>
      <c r="O438" s="219" t="s">
        <v>219</v>
      </c>
      <c r="P438" s="221" t="str">
        <f>IFERROR(VLOOKUP(C438,TD!$B$33:$F$37,2,0)," ")</f>
        <v>O230117</v>
      </c>
      <c r="Q438" s="221" t="str">
        <f>IFERROR(VLOOKUP(C438,TD!$B$33:$F$37,3,0)," ")</f>
        <v>4599</v>
      </c>
      <c r="R438" s="221">
        <f>IFERROR(VLOOKUP(C438,TD!$B$33:$F$37,4,0)," ")</f>
        <v>20240207</v>
      </c>
      <c r="S438" s="219" t="s">
        <v>185</v>
      </c>
      <c r="T438" s="221" t="str">
        <f>IFERROR(VLOOKUP(S438,TD!$J$34:$K$44,2,0)," ")</f>
        <v>Infraestructura física, mantenimiento y dotación (Sedes construidas, mantenidas reforzadas)</v>
      </c>
      <c r="U438" s="222" t="str">
        <f t="shared" si="25"/>
        <v>08-Infraestructura física, mantenimiento y dotación (Sedes construidas, mantenidas reforzadas)</v>
      </c>
      <c r="V438" s="219" t="s">
        <v>238</v>
      </c>
      <c r="W438" s="221" t="str">
        <f>IFERROR(VLOOKUP(V438,TD!$N$34:$O$46,2,0)," ")</f>
        <v>Sedes mantenidas</v>
      </c>
      <c r="X438" s="222" t="str">
        <f t="shared" si="26"/>
        <v>016_Sedes mantenidas</v>
      </c>
      <c r="Y438" s="222" t="str">
        <f t="shared" si="27"/>
        <v>08-Infraestructura física, mantenimiento y dotación (Sedes construidas, mantenidas reforzadas) 016_Sedes mantenidas</v>
      </c>
      <c r="Z438" s="221" t="str">
        <f t="shared" si="28"/>
        <v>O23011745992024020708016</v>
      </c>
      <c r="AA438" s="221" t="str">
        <f>IFERROR(VLOOKUP(Y438,TD!$K$47:$L$65,2,0)," ")</f>
        <v>PM/0131/0108/45990160207</v>
      </c>
      <c r="AB438" s="53" t="s">
        <v>138</v>
      </c>
      <c r="AC438" s="223" t="s">
        <v>204</v>
      </c>
    </row>
    <row r="439" spans="2:29" s="28" customFormat="1" ht="99" customHeight="1" x14ac:dyDescent="0.35">
      <c r="B439" s="77">
        <v>20250428</v>
      </c>
      <c r="C439" s="50" t="s">
        <v>208</v>
      </c>
      <c r="D439" s="218" t="s">
        <v>166</v>
      </c>
      <c r="E439" s="219" t="s">
        <v>565</v>
      </c>
      <c r="F439" s="218" t="s">
        <v>619</v>
      </c>
      <c r="G439" s="218" t="s">
        <v>155</v>
      </c>
      <c r="H439" s="93" t="s">
        <v>617</v>
      </c>
      <c r="I439" s="220">
        <v>2</v>
      </c>
      <c r="J439" s="220">
        <v>11</v>
      </c>
      <c r="K439" s="52">
        <v>0</v>
      </c>
      <c r="L439" s="53">
        <f>84613760-18256931</f>
        <v>66356829</v>
      </c>
      <c r="M439" s="218" t="s">
        <v>465</v>
      </c>
      <c r="N439" s="53" t="s">
        <v>618</v>
      </c>
      <c r="O439" s="219" t="s">
        <v>219</v>
      </c>
      <c r="P439" s="221" t="str">
        <f>IFERROR(VLOOKUP(C439,TD!$B$33:$F$37,2,0)," ")</f>
        <v>O230117</v>
      </c>
      <c r="Q439" s="221" t="str">
        <f>IFERROR(VLOOKUP(C439,TD!$B$33:$F$37,3,0)," ")</f>
        <v>4599</v>
      </c>
      <c r="R439" s="221">
        <f>IFERROR(VLOOKUP(C439,TD!$B$33:$F$37,4,0)," ")</f>
        <v>20240207</v>
      </c>
      <c r="S439" s="219" t="s">
        <v>185</v>
      </c>
      <c r="T439" s="221" t="str">
        <f>IFERROR(VLOOKUP(S439,TD!$J$34:$K$44,2,0)," ")</f>
        <v>Infraestructura física, mantenimiento y dotación (Sedes construidas, mantenidas reforzadas)</v>
      </c>
      <c r="U439" s="222" t="str">
        <f t="shared" si="25"/>
        <v>08-Infraestructura física, mantenimiento y dotación (Sedes construidas, mantenidas reforzadas)</v>
      </c>
      <c r="V439" s="219" t="s">
        <v>238</v>
      </c>
      <c r="W439" s="221" t="str">
        <f>IFERROR(VLOOKUP(V439,TD!$N$34:$O$46,2,0)," ")</f>
        <v>Sedes mantenidas</v>
      </c>
      <c r="X439" s="222" t="str">
        <f t="shared" si="26"/>
        <v>016_Sedes mantenidas</v>
      </c>
      <c r="Y439" s="222" t="str">
        <f t="shared" si="27"/>
        <v>08-Infraestructura física, mantenimiento y dotación (Sedes construidas, mantenidas reforzadas) 016_Sedes mantenidas</v>
      </c>
      <c r="Z439" s="221" t="str">
        <f t="shared" si="28"/>
        <v>O23011745992024020708016</v>
      </c>
      <c r="AA439" s="221" t="str">
        <f>IFERROR(VLOOKUP(Y439,TD!$K$47:$L$65,2,0)," ")</f>
        <v>PM/0131/0108/45990160207</v>
      </c>
      <c r="AB439" s="53" t="s">
        <v>138</v>
      </c>
      <c r="AC439" s="223" t="s">
        <v>204</v>
      </c>
    </row>
    <row r="440" spans="2:29" s="28" customFormat="1" ht="99" customHeight="1" x14ac:dyDescent="0.35">
      <c r="B440" s="77">
        <v>20250429</v>
      </c>
      <c r="C440" s="50" t="s">
        <v>208</v>
      </c>
      <c r="D440" s="218" t="s">
        <v>166</v>
      </c>
      <c r="E440" s="219" t="s">
        <v>565</v>
      </c>
      <c r="F440" s="218" t="s">
        <v>730</v>
      </c>
      <c r="G440" s="218" t="s">
        <v>155</v>
      </c>
      <c r="H440" s="93" t="s">
        <v>617</v>
      </c>
      <c r="I440" s="220">
        <v>2</v>
      </c>
      <c r="J440" s="220">
        <v>11</v>
      </c>
      <c r="K440" s="52">
        <v>0</v>
      </c>
      <c r="L440" s="53">
        <f>66550000-193171</f>
        <v>66356829</v>
      </c>
      <c r="M440" s="218" t="s">
        <v>465</v>
      </c>
      <c r="N440" s="53" t="s">
        <v>618</v>
      </c>
      <c r="O440" s="219" t="s">
        <v>219</v>
      </c>
      <c r="P440" s="221" t="str">
        <f>IFERROR(VLOOKUP(C440,TD!$B$33:$F$37,2,0)," ")</f>
        <v>O230117</v>
      </c>
      <c r="Q440" s="221" t="str">
        <f>IFERROR(VLOOKUP(C440,TD!$B$33:$F$37,3,0)," ")</f>
        <v>4599</v>
      </c>
      <c r="R440" s="221">
        <f>IFERROR(VLOOKUP(C440,TD!$B$33:$F$37,4,0)," ")</f>
        <v>20240207</v>
      </c>
      <c r="S440" s="219" t="s">
        <v>185</v>
      </c>
      <c r="T440" s="221" t="str">
        <f>IFERROR(VLOOKUP(S440,TD!$J$34:$K$44,2,0)," ")</f>
        <v>Infraestructura física, mantenimiento y dotación (Sedes construidas, mantenidas reforzadas)</v>
      </c>
      <c r="U440" s="222" t="str">
        <f t="shared" si="25"/>
        <v>08-Infraestructura física, mantenimiento y dotación (Sedes construidas, mantenidas reforzadas)</v>
      </c>
      <c r="V440" s="219" t="s">
        <v>238</v>
      </c>
      <c r="W440" s="221" t="str">
        <f>IFERROR(VLOOKUP(V440,TD!$N$34:$O$46,2,0)," ")</f>
        <v>Sedes mantenidas</v>
      </c>
      <c r="X440" s="222" t="str">
        <f t="shared" si="26"/>
        <v>016_Sedes mantenidas</v>
      </c>
      <c r="Y440" s="222" t="str">
        <f t="shared" si="27"/>
        <v>08-Infraestructura física, mantenimiento y dotación (Sedes construidas, mantenidas reforzadas) 016_Sedes mantenidas</v>
      </c>
      <c r="Z440" s="221" t="str">
        <f t="shared" si="28"/>
        <v>O23011745992024020708016</v>
      </c>
      <c r="AA440" s="221" t="str">
        <f>IFERROR(VLOOKUP(Y440,TD!$K$47:$L$65,2,0)," ")</f>
        <v>PM/0131/0108/45990160207</v>
      </c>
      <c r="AB440" s="53" t="s">
        <v>120</v>
      </c>
      <c r="AC440" s="223" t="s">
        <v>204</v>
      </c>
    </row>
    <row r="441" spans="2:29" s="28" customFormat="1" ht="99" customHeight="1" x14ac:dyDescent="0.35">
      <c r="B441" s="77">
        <v>20250430</v>
      </c>
      <c r="C441" s="50" t="s">
        <v>208</v>
      </c>
      <c r="D441" s="218" t="s">
        <v>166</v>
      </c>
      <c r="E441" s="219" t="s">
        <v>565</v>
      </c>
      <c r="F441" s="218" t="s">
        <v>575</v>
      </c>
      <c r="G441" s="218" t="s">
        <v>156</v>
      </c>
      <c r="H441" s="93" t="s">
        <v>617</v>
      </c>
      <c r="I441" s="220">
        <v>2</v>
      </c>
      <c r="J441" s="220">
        <v>11</v>
      </c>
      <c r="K441" s="52">
        <v>0</v>
      </c>
      <c r="L441" s="53">
        <f>33534424-8198173</f>
        <v>25336251</v>
      </c>
      <c r="M441" s="218" t="s">
        <v>465</v>
      </c>
      <c r="N441" s="53" t="s">
        <v>618</v>
      </c>
      <c r="O441" s="219" t="s">
        <v>219</v>
      </c>
      <c r="P441" s="221" t="str">
        <f>IFERROR(VLOOKUP(C441,TD!$B$33:$F$37,2,0)," ")</f>
        <v>O230117</v>
      </c>
      <c r="Q441" s="221" t="str">
        <f>IFERROR(VLOOKUP(C441,TD!$B$33:$F$37,3,0)," ")</f>
        <v>4599</v>
      </c>
      <c r="R441" s="221">
        <f>IFERROR(VLOOKUP(C441,TD!$B$33:$F$37,4,0)," ")</f>
        <v>20240207</v>
      </c>
      <c r="S441" s="219" t="s">
        <v>185</v>
      </c>
      <c r="T441" s="221" t="str">
        <f>IFERROR(VLOOKUP(S441,TD!$J$34:$K$44,2,0)," ")</f>
        <v>Infraestructura física, mantenimiento y dotación (Sedes construidas, mantenidas reforzadas)</v>
      </c>
      <c r="U441" s="222" t="str">
        <f t="shared" si="25"/>
        <v>08-Infraestructura física, mantenimiento y dotación (Sedes construidas, mantenidas reforzadas)</v>
      </c>
      <c r="V441" s="219" t="s">
        <v>238</v>
      </c>
      <c r="W441" s="221" t="str">
        <f>IFERROR(VLOOKUP(V441,TD!$N$34:$O$46,2,0)," ")</f>
        <v>Sedes mantenidas</v>
      </c>
      <c r="X441" s="222" t="str">
        <f t="shared" si="26"/>
        <v>016_Sedes mantenidas</v>
      </c>
      <c r="Y441" s="222" t="str">
        <f t="shared" si="27"/>
        <v>08-Infraestructura física, mantenimiento y dotación (Sedes construidas, mantenidas reforzadas) 016_Sedes mantenidas</v>
      </c>
      <c r="Z441" s="221" t="str">
        <f t="shared" si="28"/>
        <v>O23011745992024020708016</v>
      </c>
      <c r="AA441" s="221" t="str">
        <f>IFERROR(VLOOKUP(Y441,TD!$K$47:$L$65,2,0)," ")</f>
        <v>PM/0131/0108/45990160207</v>
      </c>
      <c r="AB441" s="53" t="s">
        <v>138</v>
      </c>
      <c r="AC441" s="223" t="s">
        <v>204</v>
      </c>
    </row>
    <row r="442" spans="2:29" s="28" customFormat="1" ht="99" customHeight="1" x14ac:dyDescent="0.35">
      <c r="B442" s="77">
        <v>20250431</v>
      </c>
      <c r="C442" s="50" t="s">
        <v>208</v>
      </c>
      <c r="D442" s="218" t="s">
        <v>166</v>
      </c>
      <c r="E442" s="219" t="s">
        <v>565</v>
      </c>
      <c r="F442" s="218" t="s">
        <v>575</v>
      </c>
      <c r="G442" s="218" t="s">
        <v>156</v>
      </c>
      <c r="H442" s="93" t="s">
        <v>617</v>
      </c>
      <c r="I442" s="220">
        <v>2</v>
      </c>
      <c r="J442" s="220">
        <v>11</v>
      </c>
      <c r="K442" s="52">
        <v>0</v>
      </c>
      <c r="L442" s="53">
        <f>33534424-8198173</f>
        <v>25336251</v>
      </c>
      <c r="M442" s="218" t="s">
        <v>465</v>
      </c>
      <c r="N442" s="53" t="s">
        <v>618</v>
      </c>
      <c r="O442" s="219" t="s">
        <v>219</v>
      </c>
      <c r="P442" s="221" t="str">
        <f>IFERROR(VLOOKUP(C442,TD!$B$33:$F$37,2,0)," ")</f>
        <v>O230117</v>
      </c>
      <c r="Q442" s="221" t="str">
        <f>IFERROR(VLOOKUP(C442,TD!$B$33:$F$37,3,0)," ")</f>
        <v>4599</v>
      </c>
      <c r="R442" s="221">
        <f>IFERROR(VLOOKUP(C442,TD!$B$33:$F$37,4,0)," ")</f>
        <v>20240207</v>
      </c>
      <c r="S442" s="219" t="s">
        <v>185</v>
      </c>
      <c r="T442" s="221" t="str">
        <f>IFERROR(VLOOKUP(S442,TD!$J$34:$K$44,2,0)," ")</f>
        <v>Infraestructura física, mantenimiento y dotación (Sedes construidas, mantenidas reforzadas)</v>
      </c>
      <c r="U442" s="222" t="str">
        <f t="shared" si="25"/>
        <v>08-Infraestructura física, mantenimiento y dotación (Sedes construidas, mantenidas reforzadas)</v>
      </c>
      <c r="V442" s="219" t="s">
        <v>238</v>
      </c>
      <c r="W442" s="221" t="str">
        <f>IFERROR(VLOOKUP(V442,TD!$N$34:$O$46,2,0)," ")</f>
        <v>Sedes mantenidas</v>
      </c>
      <c r="X442" s="222" t="str">
        <f t="shared" si="26"/>
        <v>016_Sedes mantenidas</v>
      </c>
      <c r="Y442" s="222" t="str">
        <f t="shared" si="27"/>
        <v>08-Infraestructura física, mantenimiento y dotación (Sedes construidas, mantenidas reforzadas) 016_Sedes mantenidas</v>
      </c>
      <c r="Z442" s="221" t="str">
        <f t="shared" si="28"/>
        <v>O23011745992024020708016</v>
      </c>
      <c r="AA442" s="221" t="str">
        <f>IFERROR(VLOOKUP(Y442,TD!$K$47:$L$65,2,0)," ")</f>
        <v>PM/0131/0108/45990160207</v>
      </c>
      <c r="AB442" s="53" t="s">
        <v>138</v>
      </c>
      <c r="AC442" s="223" t="s">
        <v>204</v>
      </c>
    </row>
    <row r="443" spans="2:29" s="28" customFormat="1" ht="99" customHeight="1" x14ac:dyDescent="0.35">
      <c r="B443" s="77">
        <v>20250432</v>
      </c>
      <c r="C443" s="50" t="s">
        <v>208</v>
      </c>
      <c r="D443" s="218" t="s">
        <v>166</v>
      </c>
      <c r="E443" s="219" t="s">
        <v>565</v>
      </c>
      <c r="F443" s="218" t="s">
        <v>575</v>
      </c>
      <c r="G443" s="218" t="s">
        <v>156</v>
      </c>
      <c r="H443" s="93" t="s">
        <v>617</v>
      </c>
      <c r="I443" s="220">
        <v>2</v>
      </c>
      <c r="J443" s="220">
        <v>11</v>
      </c>
      <c r="K443" s="52">
        <v>0</v>
      </c>
      <c r="L443" s="53">
        <f>33534424-8198173</f>
        <v>25336251</v>
      </c>
      <c r="M443" s="218" t="s">
        <v>465</v>
      </c>
      <c r="N443" s="53" t="s">
        <v>618</v>
      </c>
      <c r="O443" s="219" t="s">
        <v>219</v>
      </c>
      <c r="P443" s="221" t="str">
        <f>IFERROR(VLOOKUP(C443,TD!$B$33:$F$37,2,0)," ")</f>
        <v>O230117</v>
      </c>
      <c r="Q443" s="221" t="str">
        <f>IFERROR(VLOOKUP(C443,TD!$B$33:$F$37,3,0)," ")</f>
        <v>4599</v>
      </c>
      <c r="R443" s="221">
        <f>IFERROR(VLOOKUP(C443,TD!$B$33:$F$37,4,0)," ")</f>
        <v>20240207</v>
      </c>
      <c r="S443" s="219" t="s">
        <v>185</v>
      </c>
      <c r="T443" s="221" t="str">
        <f>IFERROR(VLOOKUP(S443,TD!$J$34:$K$44,2,0)," ")</f>
        <v>Infraestructura física, mantenimiento y dotación (Sedes construidas, mantenidas reforzadas)</v>
      </c>
      <c r="U443" s="222" t="str">
        <f t="shared" si="25"/>
        <v>08-Infraestructura física, mantenimiento y dotación (Sedes construidas, mantenidas reforzadas)</v>
      </c>
      <c r="V443" s="219" t="s">
        <v>238</v>
      </c>
      <c r="W443" s="221" t="str">
        <f>IFERROR(VLOOKUP(V443,TD!$N$34:$O$46,2,0)," ")</f>
        <v>Sedes mantenidas</v>
      </c>
      <c r="X443" s="222" t="str">
        <f t="shared" si="26"/>
        <v>016_Sedes mantenidas</v>
      </c>
      <c r="Y443" s="222" t="str">
        <f t="shared" si="27"/>
        <v>08-Infraestructura física, mantenimiento y dotación (Sedes construidas, mantenidas reforzadas) 016_Sedes mantenidas</v>
      </c>
      <c r="Z443" s="221" t="str">
        <f t="shared" si="28"/>
        <v>O23011745992024020708016</v>
      </c>
      <c r="AA443" s="221" t="str">
        <f>IFERROR(VLOOKUP(Y443,TD!$K$47:$L$65,2,0)," ")</f>
        <v>PM/0131/0108/45990160207</v>
      </c>
      <c r="AB443" s="53" t="s">
        <v>138</v>
      </c>
      <c r="AC443" s="223" t="s">
        <v>204</v>
      </c>
    </row>
    <row r="444" spans="2:29" s="28" customFormat="1" ht="99" customHeight="1" x14ac:dyDescent="0.35">
      <c r="B444" s="77">
        <v>20250433</v>
      </c>
      <c r="C444" s="50" t="s">
        <v>208</v>
      </c>
      <c r="D444" s="218" t="s">
        <v>166</v>
      </c>
      <c r="E444" s="219" t="s">
        <v>565</v>
      </c>
      <c r="F444" s="218" t="s">
        <v>575</v>
      </c>
      <c r="G444" s="218" t="s">
        <v>156</v>
      </c>
      <c r="H444" s="93" t="s">
        <v>617</v>
      </c>
      <c r="I444" s="220">
        <v>2</v>
      </c>
      <c r="J444" s="220">
        <v>11</v>
      </c>
      <c r="K444" s="52">
        <v>0</v>
      </c>
      <c r="L444" s="53">
        <f>33534424-8198173</f>
        <v>25336251</v>
      </c>
      <c r="M444" s="218" t="s">
        <v>465</v>
      </c>
      <c r="N444" s="53" t="s">
        <v>618</v>
      </c>
      <c r="O444" s="219" t="s">
        <v>219</v>
      </c>
      <c r="P444" s="221" t="str">
        <f>IFERROR(VLOOKUP(C444,TD!$B$33:$F$37,2,0)," ")</f>
        <v>O230117</v>
      </c>
      <c r="Q444" s="221" t="str">
        <f>IFERROR(VLOOKUP(C444,TD!$B$33:$F$37,3,0)," ")</f>
        <v>4599</v>
      </c>
      <c r="R444" s="221">
        <f>IFERROR(VLOOKUP(C444,TD!$B$33:$F$37,4,0)," ")</f>
        <v>20240207</v>
      </c>
      <c r="S444" s="219" t="s">
        <v>185</v>
      </c>
      <c r="T444" s="221" t="str">
        <f>IFERROR(VLOOKUP(S444,TD!$J$34:$K$44,2,0)," ")</f>
        <v>Infraestructura física, mantenimiento y dotación (Sedes construidas, mantenidas reforzadas)</v>
      </c>
      <c r="U444" s="222" t="str">
        <f t="shared" si="25"/>
        <v>08-Infraestructura física, mantenimiento y dotación (Sedes construidas, mantenidas reforzadas)</v>
      </c>
      <c r="V444" s="219" t="s">
        <v>238</v>
      </c>
      <c r="W444" s="221" t="str">
        <f>IFERROR(VLOOKUP(V444,TD!$N$34:$O$46,2,0)," ")</f>
        <v>Sedes mantenidas</v>
      </c>
      <c r="X444" s="222" t="str">
        <f t="shared" si="26"/>
        <v>016_Sedes mantenidas</v>
      </c>
      <c r="Y444" s="222" t="str">
        <f t="shared" si="27"/>
        <v>08-Infraestructura física, mantenimiento y dotación (Sedes construidas, mantenidas reforzadas) 016_Sedes mantenidas</v>
      </c>
      <c r="Z444" s="221" t="str">
        <f t="shared" si="28"/>
        <v>O23011745992024020708016</v>
      </c>
      <c r="AA444" s="221" t="str">
        <f>IFERROR(VLOOKUP(Y444,TD!$K$47:$L$65,2,0)," ")</f>
        <v>PM/0131/0108/45990160207</v>
      </c>
      <c r="AB444" s="53" t="s">
        <v>138</v>
      </c>
      <c r="AC444" s="223" t="s">
        <v>204</v>
      </c>
    </row>
    <row r="445" spans="2:29" s="28" customFormat="1" ht="99" customHeight="1" x14ac:dyDescent="0.35">
      <c r="B445" s="130">
        <v>20250434</v>
      </c>
      <c r="C445" s="132" t="s">
        <v>208</v>
      </c>
      <c r="D445" s="224" t="s">
        <v>166</v>
      </c>
      <c r="E445" s="225" t="s">
        <v>565</v>
      </c>
      <c r="F445" s="224" t="s">
        <v>589</v>
      </c>
      <c r="G445" s="224" t="s">
        <v>155</v>
      </c>
      <c r="H445" s="133" t="s">
        <v>617</v>
      </c>
      <c r="I445" s="226">
        <v>2</v>
      </c>
      <c r="J445" s="226">
        <v>11</v>
      </c>
      <c r="K445" s="129">
        <v>0</v>
      </c>
      <c r="L445" s="128">
        <v>72000000</v>
      </c>
      <c r="M445" s="224" t="s">
        <v>465</v>
      </c>
      <c r="N445" s="128" t="s">
        <v>618</v>
      </c>
      <c r="O445" s="225" t="s">
        <v>219</v>
      </c>
      <c r="P445" s="227" t="str">
        <f>IFERROR(VLOOKUP(C445,TD!$B$33:$F$37,2,0)," ")</f>
        <v>O230117</v>
      </c>
      <c r="Q445" s="227" t="str">
        <f>IFERROR(VLOOKUP(C445,TD!$B$33:$F$37,3,0)," ")</f>
        <v>4599</v>
      </c>
      <c r="R445" s="227">
        <f>IFERROR(VLOOKUP(C445,TD!$B$33:$F$37,4,0)," ")</f>
        <v>20240207</v>
      </c>
      <c r="S445" s="225" t="s">
        <v>185</v>
      </c>
      <c r="T445" s="227" t="str">
        <f>IFERROR(VLOOKUP(S445,TD!$J$34:$K$44,2,0)," ")</f>
        <v>Infraestructura física, mantenimiento y dotación (Sedes construidas, mantenidas reforzadas)</v>
      </c>
      <c r="U445" s="222" t="str">
        <f t="shared" si="25"/>
        <v>08-Infraestructura física, mantenimiento y dotación (Sedes construidas, mantenidas reforzadas)</v>
      </c>
      <c r="V445" s="225" t="s">
        <v>238</v>
      </c>
      <c r="W445" s="227" t="str">
        <f>IFERROR(VLOOKUP(V445,TD!$N$34:$O$46,2,0)," ")</f>
        <v>Sedes mantenidas</v>
      </c>
      <c r="X445" s="222" t="str">
        <f t="shared" si="26"/>
        <v>016_Sedes mantenidas</v>
      </c>
      <c r="Y445" s="222" t="str">
        <f t="shared" si="27"/>
        <v>08-Infraestructura física, mantenimiento y dotación (Sedes construidas, mantenidas reforzadas) 016_Sedes mantenidas</v>
      </c>
      <c r="Z445" s="227" t="str">
        <f t="shared" si="28"/>
        <v>O23011745992024020708016</v>
      </c>
      <c r="AA445" s="227" t="str">
        <f>IFERROR(VLOOKUP(Y445,TD!$K$47:$L$65,2,0)," ")</f>
        <v>PM/0131/0108/45990160207</v>
      </c>
      <c r="AB445" s="128" t="s">
        <v>138</v>
      </c>
      <c r="AC445" s="228" t="s">
        <v>204</v>
      </c>
    </row>
    <row r="446" spans="2:29" s="28" customFormat="1" ht="99" customHeight="1" x14ac:dyDescent="0.35">
      <c r="B446" s="130">
        <v>20250436</v>
      </c>
      <c r="C446" s="132" t="s">
        <v>208</v>
      </c>
      <c r="D446" s="224" t="s">
        <v>166</v>
      </c>
      <c r="E446" s="225" t="s">
        <v>565</v>
      </c>
      <c r="F446" s="224" t="s">
        <v>815</v>
      </c>
      <c r="G446" s="224" t="s">
        <v>155</v>
      </c>
      <c r="H446" s="133" t="s">
        <v>617</v>
      </c>
      <c r="I446" s="226">
        <v>2</v>
      </c>
      <c r="J446" s="226">
        <v>11</v>
      </c>
      <c r="K446" s="129">
        <v>0</v>
      </c>
      <c r="L446" s="128">
        <v>59920000</v>
      </c>
      <c r="M446" s="224" t="s">
        <v>465</v>
      </c>
      <c r="N446" s="128" t="s">
        <v>618</v>
      </c>
      <c r="O446" s="225" t="s">
        <v>219</v>
      </c>
      <c r="P446" s="227" t="str">
        <f>IFERROR(VLOOKUP(C446,TD!$B$33:$F$37,2,0)," ")</f>
        <v>O230117</v>
      </c>
      <c r="Q446" s="227" t="str">
        <f>IFERROR(VLOOKUP(C446,TD!$B$33:$F$37,3,0)," ")</f>
        <v>4599</v>
      </c>
      <c r="R446" s="227">
        <f>IFERROR(VLOOKUP(C446,TD!$B$33:$F$37,4,0)," ")</f>
        <v>20240207</v>
      </c>
      <c r="S446" s="225" t="s">
        <v>185</v>
      </c>
      <c r="T446" s="227" t="str">
        <f>IFERROR(VLOOKUP(S446,TD!$J$34:$K$44,2,0)," ")</f>
        <v>Infraestructura física, mantenimiento y dotación (Sedes construidas, mantenidas reforzadas)</v>
      </c>
      <c r="U446" s="222" t="str">
        <f t="shared" si="25"/>
        <v>08-Infraestructura física, mantenimiento y dotación (Sedes construidas, mantenidas reforzadas)</v>
      </c>
      <c r="V446" s="225" t="s">
        <v>238</v>
      </c>
      <c r="W446" s="227" t="str">
        <f>IFERROR(VLOOKUP(V446,TD!$N$34:$O$46,2,0)," ")</f>
        <v>Sedes mantenidas</v>
      </c>
      <c r="X446" s="222" t="str">
        <f t="shared" si="26"/>
        <v>016_Sedes mantenidas</v>
      </c>
      <c r="Y446" s="222" t="str">
        <f t="shared" si="27"/>
        <v>08-Infraestructura física, mantenimiento y dotación (Sedes construidas, mantenidas reforzadas) 016_Sedes mantenidas</v>
      </c>
      <c r="Z446" s="227" t="str">
        <f t="shared" si="28"/>
        <v>O23011745992024020708016</v>
      </c>
      <c r="AA446" s="227" t="str">
        <f>IFERROR(VLOOKUP(Y446,TD!$K$47:$L$65,2,0)," ")</f>
        <v>PM/0131/0108/45990160207</v>
      </c>
      <c r="AB446" s="128" t="s">
        <v>138</v>
      </c>
      <c r="AC446" s="228" t="s">
        <v>204</v>
      </c>
    </row>
    <row r="447" spans="2:29" s="28" customFormat="1" ht="99" customHeight="1" x14ac:dyDescent="0.35">
      <c r="B447" s="77">
        <v>20250437</v>
      </c>
      <c r="C447" s="50" t="s">
        <v>208</v>
      </c>
      <c r="D447" s="218" t="s">
        <v>166</v>
      </c>
      <c r="E447" s="219" t="s">
        <v>565</v>
      </c>
      <c r="F447" s="218" t="s">
        <v>591</v>
      </c>
      <c r="G447" s="218" t="s">
        <v>155</v>
      </c>
      <c r="H447" s="93" t="s">
        <v>617</v>
      </c>
      <c r="I447" s="220">
        <v>2</v>
      </c>
      <c r="J447" s="220">
        <v>11</v>
      </c>
      <c r="K447" s="52">
        <v>0</v>
      </c>
      <c r="L447" s="53">
        <f>77000000-15469124</f>
        <v>61530876</v>
      </c>
      <c r="M447" s="218" t="s">
        <v>465</v>
      </c>
      <c r="N447" s="53" t="s">
        <v>618</v>
      </c>
      <c r="O447" s="219" t="s">
        <v>219</v>
      </c>
      <c r="P447" s="221" t="str">
        <f>IFERROR(VLOOKUP(C447,TD!$B$33:$F$37,2,0)," ")</f>
        <v>O230117</v>
      </c>
      <c r="Q447" s="221" t="str">
        <f>IFERROR(VLOOKUP(C447,TD!$B$33:$F$37,3,0)," ")</f>
        <v>4599</v>
      </c>
      <c r="R447" s="221">
        <f>IFERROR(VLOOKUP(C447,TD!$B$33:$F$37,4,0)," ")</f>
        <v>20240207</v>
      </c>
      <c r="S447" s="219" t="s">
        <v>185</v>
      </c>
      <c r="T447" s="221" t="str">
        <f>IFERROR(VLOOKUP(S447,TD!$J$34:$K$44,2,0)," ")</f>
        <v>Infraestructura física, mantenimiento y dotación (Sedes construidas, mantenidas reforzadas)</v>
      </c>
      <c r="U447" s="222" t="str">
        <f t="shared" si="25"/>
        <v>08-Infraestructura física, mantenimiento y dotación (Sedes construidas, mantenidas reforzadas)</v>
      </c>
      <c r="V447" s="219" t="s">
        <v>238</v>
      </c>
      <c r="W447" s="221" t="str">
        <f>IFERROR(VLOOKUP(V447,TD!$N$34:$O$46,2,0)," ")</f>
        <v>Sedes mantenidas</v>
      </c>
      <c r="X447" s="222" t="str">
        <f t="shared" si="26"/>
        <v>016_Sedes mantenidas</v>
      </c>
      <c r="Y447" s="222" t="str">
        <f t="shared" si="27"/>
        <v>08-Infraestructura física, mantenimiento y dotación (Sedes construidas, mantenidas reforzadas) 016_Sedes mantenidas</v>
      </c>
      <c r="Z447" s="221" t="str">
        <f t="shared" si="28"/>
        <v>O23011745992024020708016</v>
      </c>
      <c r="AA447" s="221" t="str">
        <f>IFERROR(VLOOKUP(Y447,TD!$K$47:$L$65,2,0)," ")</f>
        <v>PM/0131/0108/45990160207</v>
      </c>
      <c r="AB447" s="53" t="s">
        <v>138</v>
      </c>
      <c r="AC447" s="223" t="s">
        <v>204</v>
      </c>
    </row>
    <row r="448" spans="2:29" s="28" customFormat="1" ht="99" customHeight="1" x14ac:dyDescent="0.35">
      <c r="B448" s="77">
        <v>20250438</v>
      </c>
      <c r="C448" s="50" t="s">
        <v>208</v>
      </c>
      <c r="D448" s="218" t="s">
        <v>166</v>
      </c>
      <c r="E448" s="219" t="s">
        <v>565</v>
      </c>
      <c r="F448" s="218" t="s">
        <v>592</v>
      </c>
      <c r="G448" s="218" t="s">
        <v>156</v>
      </c>
      <c r="H448" s="93" t="s">
        <v>617</v>
      </c>
      <c r="I448" s="220">
        <v>2</v>
      </c>
      <c r="J448" s="220">
        <v>11</v>
      </c>
      <c r="K448" s="52">
        <v>0</v>
      </c>
      <c r="L448" s="53">
        <f>33534424-8198173</f>
        <v>25336251</v>
      </c>
      <c r="M448" s="218" t="s">
        <v>465</v>
      </c>
      <c r="N448" s="53" t="s">
        <v>618</v>
      </c>
      <c r="O448" s="219" t="s">
        <v>219</v>
      </c>
      <c r="P448" s="221" t="str">
        <f>IFERROR(VLOOKUP(C448,TD!$B$33:$F$37,2,0)," ")</f>
        <v>O230117</v>
      </c>
      <c r="Q448" s="221" t="str">
        <f>IFERROR(VLOOKUP(C448,TD!$B$33:$F$37,3,0)," ")</f>
        <v>4599</v>
      </c>
      <c r="R448" s="221">
        <f>IFERROR(VLOOKUP(C448,TD!$B$33:$F$37,4,0)," ")</f>
        <v>20240207</v>
      </c>
      <c r="S448" s="219" t="s">
        <v>185</v>
      </c>
      <c r="T448" s="221" t="str">
        <f>IFERROR(VLOOKUP(S448,TD!$J$34:$K$44,2,0)," ")</f>
        <v>Infraestructura física, mantenimiento y dotación (Sedes construidas, mantenidas reforzadas)</v>
      </c>
      <c r="U448" s="222" t="str">
        <f t="shared" si="25"/>
        <v>08-Infraestructura física, mantenimiento y dotación (Sedes construidas, mantenidas reforzadas)</v>
      </c>
      <c r="V448" s="219" t="s">
        <v>238</v>
      </c>
      <c r="W448" s="221" t="str">
        <f>IFERROR(VLOOKUP(V448,TD!$N$34:$O$46,2,0)," ")</f>
        <v>Sedes mantenidas</v>
      </c>
      <c r="X448" s="222" t="str">
        <f t="shared" si="26"/>
        <v>016_Sedes mantenidas</v>
      </c>
      <c r="Y448" s="222" t="str">
        <f t="shared" si="27"/>
        <v>08-Infraestructura física, mantenimiento y dotación (Sedes construidas, mantenidas reforzadas) 016_Sedes mantenidas</v>
      </c>
      <c r="Z448" s="221" t="str">
        <f t="shared" si="28"/>
        <v>O23011745992024020708016</v>
      </c>
      <c r="AA448" s="221" t="str">
        <f>IFERROR(VLOOKUP(Y448,TD!$K$47:$L$65,2,0)," ")</f>
        <v>PM/0131/0108/45990160207</v>
      </c>
      <c r="AB448" s="53" t="s">
        <v>138</v>
      </c>
      <c r="AC448" s="223" t="s">
        <v>204</v>
      </c>
    </row>
    <row r="449" spans="2:29" s="28" customFormat="1" ht="99" customHeight="1" x14ac:dyDescent="0.35">
      <c r="B449" s="130">
        <v>20250439</v>
      </c>
      <c r="C449" s="132" t="s">
        <v>208</v>
      </c>
      <c r="D449" s="224" t="s">
        <v>166</v>
      </c>
      <c r="E449" s="225" t="s">
        <v>565</v>
      </c>
      <c r="F449" s="224" t="s">
        <v>593</v>
      </c>
      <c r="G449" s="224" t="s">
        <v>155</v>
      </c>
      <c r="H449" s="133" t="s">
        <v>617</v>
      </c>
      <c r="I449" s="226">
        <v>2</v>
      </c>
      <c r="J449" s="226">
        <v>11</v>
      </c>
      <c r="K449" s="129">
        <v>0</v>
      </c>
      <c r="L449" s="128">
        <v>65886667</v>
      </c>
      <c r="M449" s="224" t="s">
        <v>465</v>
      </c>
      <c r="N449" s="128" t="s">
        <v>618</v>
      </c>
      <c r="O449" s="225" t="s">
        <v>219</v>
      </c>
      <c r="P449" s="227" t="str">
        <f>IFERROR(VLOOKUP(C449,TD!$B$33:$F$37,2,0)," ")</f>
        <v>O230117</v>
      </c>
      <c r="Q449" s="227" t="str">
        <f>IFERROR(VLOOKUP(C449,TD!$B$33:$F$37,3,0)," ")</f>
        <v>4599</v>
      </c>
      <c r="R449" s="227">
        <f>IFERROR(VLOOKUP(C449,TD!$B$33:$F$37,4,0)," ")</f>
        <v>20240207</v>
      </c>
      <c r="S449" s="225" t="s">
        <v>185</v>
      </c>
      <c r="T449" s="227" t="str">
        <f>IFERROR(VLOOKUP(S449,TD!$J$34:$K$44,2,0)," ")</f>
        <v>Infraestructura física, mantenimiento y dotación (Sedes construidas, mantenidas reforzadas)</v>
      </c>
      <c r="U449" s="222" t="str">
        <f t="shared" si="25"/>
        <v>08-Infraestructura física, mantenimiento y dotación (Sedes construidas, mantenidas reforzadas)</v>
      </c>
      <c r="V449" s="225" t="s">
        <v>238</v>
      </c>
      <c r="W449" s="227" t="str">
        <f>IFERROR(VLOOKUP(V449,TD!$N$34:$O$46,2,0)," ")</f>
        <v>Sedes mantenidas</v>
      </c>
      <c r="X449" s="222" t="str">
        <f t="shared" si="26"/>
        <v>016_Sedes mantenidas</v>
      </c>
      <c r="Y449" s="222" t="str">
        <f t="shared" si="27"/>
        <v>08-Infraestructura física, mantenimiento y dotación (Sedes construidas, mantenidas reforzadas) 016_Sedes mantenidas</v>
      </c>
      <c r="Z449" s="227" t="str">
        <f t="shared" si="28"/>
        <v>O23011745992024020708016</v>
      </c>
      <c r="AA449" s="227" t="str">
        <f>IFERROR(VLOOKUP(Y449,TD!$K$47:$L$65,2,0)," ")</f>
        <v>PM/0131/0108/45990160207</v>
      </c>
      <c r="AB449" s="128" t="s">
        <v>138</v>
      </c>
      <c r="AC449" s="228" t="s">
        <v>204</v>
      </c>
    </row>
    <row r="450" spans="2:29" s="28" customFormat="1" ht="99" customHeight="1" x14ac:dyDescent="0.35">
      <c r="B450" s="77">
        <v>20250440</v>
      </c>
      <c r="C450" s="50" t="s">
        <v>208</v>
      </c>
      <c r="D450" s="218" t="s">
        <v>166</v>
      </c>
      <c r="E450" s="219" t="s">
        <v>565</v>
      </c>
      <c r="F450" s="218" t="s">
        <v>594</v>
      </c>
      <c r="G450" s="218" t="s">
        <v>156</v>
      </c>
      <c r="H450" s="93" t="s">
        <v>617</v>
      </c>
      <c r="I450" s="220">
        <v>2</v>
      </c>
      <c r="J450" s="220">
        <v>11</v>
      </c>
      <c r="K450" s="52">
        <v>0</v>
      </c>
      <c r="L450" s="53">
        <v>33178419</v>
      </c>
      <c r="M450" s="218" t="s">
        <v>465</v>
      </c>
      <c r="N450" s="53" t="s">
        <v>618</v>
      </c>
      <c r="O450" s="219" t="s">
        <v>219</v>
      </c>
      <c r="P450" s="221" t="str">
        <f>IFERROR(VLOOKUP(C450,TD!$B$33:$F$37,2,0)," ")</f>
        <v>O230117</v>
      </c>
      <c r="Q450" s="221" t="str">
        <f>IFERROR(VLOOKUP(C450,TD!$B$33:$F$37,3,0)," ")</f>
        <v>4599</v>
      </c>
      <c r="R450" s="221">
        <f>IFERROR(VLOOKUP(C450,TD!$B$33:$F$37,4,0)," ")</f>
        <v>20240207</v>
      </c>
      <c r="S450" s="219" t="s">
        <v>185</v>
      </c>
      <c r="T450" s="221" t="str">
        <f>IFERROR(VLOOKUP(S450,TD!$J$34:$K$44,2,0)," ")</f>
        <v>Infraestructura física, mantenimiento y dotación (Sedes construidas, mantenidas reforzadas)</v>
      </c>
      <c r="U450" s="222" t="str">
        <f t="shared" si="25"/>
        <v>08-Infraestructura física, mantenimiento y dotación (Sedes construidas, mantenidas reforzadas)</v>
      </c>
      <c r="V450" s="219" t="s">
        <v>238</v>
      </c>
      <c r="W450" s="221" t="str">
        <f>IFERROR(VLOOKUP(V450,TD!$N$34:$O$46,2,0)," ")</f>
        <v>Sedes mantenidas</v>
      </c>
      <c r="X450" s="222" t="str">
        <f t="shared" si="26"/>
        <v>016_Sedes mantenidas</v>
      </c>
      <c r="Y450" s="222" t="str">
        <f t="shared" si="27"/>
        <v>08-Infraestructura física, mantenimiento y dotación (Sedes construidas, mantenidas reforzadas) 016_Sedes mantenidas</v>
      </c>
      <c r="Z450" s="221" t="str">
        <f t="shared" si="28"/>
        <v>O23011745992024020708016</v>
      </c>
      <c r="AA450" s="221" t="str">
        <f>IFERROR(VLOOKUP(Y450,TD!$K$47:$L$65,2,0)," ")</f>
        <v>PM/0131/0108/45990160207</v>
      </c>
      <c r="AB450" s="53" t="s">
        <v>138</v>
      </c>
      <c r="AC450" s="223" t="s">
        <v>204</v>
      </c>
    </row>
    <row r="451" spans="2:29" s="28" customFormat="1" ht="99" customHeight="1" x14ac:dyDescent="0.35">
      <c r="B451" s="77">
        <v>20250442</v>
      </c>
      <c r="C451" s="50" t="s">
        <v>208</v>
      </c>
      <c r="D451" s="218" t="s">
        <v>166</v>
      </c>
      <c r="E451" s="219" t="s">
        <v>565</v>
      </c>
      <c r="F451" s="218" t="s">
        <v>594</v>
      </c>
      <c r="G451" s="218" t="s">
        <v>156</v>
      </c>
      <c r="H451" s="93" t="s">
        <v>617</v>
      </c>
      <c r="I451" s="94">
        <v>2</v>
      </c>
      <c r="J451" s="220">
        <v>11</v>
      </c>
      <c r="K451" s="52">
        <v>0</v>
      </c>
      <c r="L451" s="53">
        <v>19705973</v>
      </c>
      <c r="M451" s="218" t="s">
        <v>465</v>
      </c>
      <c r="N451" s="53" t="s">
        <v>618</v>
      </c>
      <c r="O451" s="219" t="s">
        <v>219</v>
      </c>
      <c r="P451" s="221" t="str">
        <f>IFERROR(VLOOKUP(C451,TD!$B$33:$F$37,2,0)," ")</f>
        <v>O230117</v>
      </c>
      <c r="Q451" s="221" t="str">
        <f>IFERROR(VLOOKUP(C451,TD!$B$33:$F$37,3,0)," ")</f>
        <v>4599</v>
      </c>
      <c r="R451" s="221">
        <f>IFERROR(VLOOKUP(C451,TD!$B$33:$F$37,4,0)," ")</f>
        <v>20240207</v>
      </c>
      <c r="S451" s="219" t="s">
        <v>185</v>
      </c>
      <c r="T451" s="221" t="str">
        <f>IFERROR(VLOOKUP(S451,TD!$J$34:$K$44,2,0)," ")</f>
        <v>Infraestructura física, mantenimiento y dotación (Sedes construidas, mantenidas reforzadas)</v>
      </c>
      <c r="U451" s="222" t="str">
        <f t="shared" si="25"/>
        <v>08-Infraestructura física, mantenimiento y dotación (Sedes construidas, mantenidas reforzadas)</v>
      </c>
      <c r="V451" s="219" t="s">
        <v>238</v>
      </c>
      <c r="W451" s="221" t="str">
        <f>IFERROR(VLOOKUP(V451,TD!$N$34:$O$46,2,0)," ")</f>
        <v>Sedes mantenidas</v>
      </c>
      <c r="X451" s="222" t="str">
        <f t="shared" si="26"/>
        <v>016_Sedes mantenidas</v>
      </c>
      <c r="Y451" s="222" t="str">
        <f t="shared" si="27"/>
        <v>08-Infraestructura física, mantenimiento y dotación (Sedes construidas, mantenidas reforzadas) 016_Sedes mantenidas</v>
      </c>
      <c r="Z451" s="221" t="str">
        <f t="shared" si="28"/>
        <v>O23011745992024020708016</v>
      </c>
      <c r="AA451" s="221" t="str">
        <f>IFERROR(VLOOKUP(Y451,TD!$K$47:$L$65,2,0)," ")</f>
        <v>PM/0131/0108/45990160207</v>
      </c>
      <c r="AB451" s="53" t="s">
        <v>138</v>
      </c>
      <c r="AC451" s="223" t="s">
        <v>204</v>
      </c>
    </row>
    <row r="452" spans="2:29" s="28" customFormat="1" ht="99" customHeight="1" x14ac:dyDescent="0.35">
      <c r="B452" s="130">
        <v>20250443</v>
      </c>
      <c r="C452" s="132" t="s">
        <v>208</v>
      </c>
      <c r="D452" s="224" t="s">
        <v>166</v>
      </c>
      <c r="E452" s="225" t="s">
        <v>565</v>
      </c>
      <c r="F452" s="224" t="s">
        <v>594</v>
      </c>
      <c r="G452" s="224" t="s">
        <v>156</v>
      </c>
      <c r="H452" s="133" t="s">
        <v>617</v>
      </c>
      <c r="I452" s="134">
        <v>2</v>
      </c>
      <c r="J452" s="226">
        <v>11</v>
      </c>
      <c r="K452" s="129">
        <v>0</v>
      </c>
      <c r="L452" s="128">
        <v>24800000</v>
      </c>
      <c r="M452" s="224" t="s">
        <v>465</v>
      </c>
      <c r="N452" s="128" t="s">
        <v>618</v>
      </c>
      <c r="O452" s="225" t="s">
        <v>219</v>
      </c>
      <c r="P452" s="227" t="str">
        <f>IFERROR(VLOOKUP(C452,TD!$B$33:$F$37,2,0)," ")</f>
        <v>O230117</v>
      </c>
      <c r="Q452" s="227" t="str">
        <f>IFERROR(VLOOKUP(C452,TD!$B$33:$F$37,3,0)," ")</f>
        <v>4599</v>
      </c>
      <c r="R452" s="227">
        <f>IFERROR(VLOOKUP(C452,TD!$B$33:$F$37,4,0)," ")</f>
        <v>20240207</v>
      </c>
      <c r="S452" s="225" t="s">
        <v>185</v>
      </c>
      <c r="T452" s="227" t="str">
        <f>IFERROR(VLOOKUP(S452,TD!$J$34:$K$44,2,0)," ")</f>
        <v>Infraestructura física, mantenimiento y dotación (Sedes construidas, mantenidas reforzadas)</v>
      </c>
      <c r="U452" s="222" t="str">
        <f t="shared" si="25"/>
        <v>08-Infraestructura física, mantenimiento y dotación (Sedes construidas, mantenidas reforzadas)</v>
      </c>
      <c r="V452" s="225" t="s">
        <v>238</v>
      </c>
      <c r="W452" s="227" t="str">
        <f>IFERROR(VLOOKUP(V452,TD!$N$34:$O$46,2,0)," ")</f>
        <v>Sedes mantenidas</v>
      </c>
      <c r="X452" s="222" t="str">
        <f t="shared" si="26"/>
        <v>016_Sedes mantenidas</v>
      </c>
      <c r="Y452" s="222" t="str">
        <f t="shared" si="27"/>
        <v>08-Infraestructura física, mantenimiento y dotación (Sedes construidas, mantenidas reforzadas) 016_Sedes mantenidas</v>
      </c>
      <c r="Z452" s="227" t="str">
        <f t="shared" si="28"/>
        <v>O23011745992024020708016</v>
      </c>
      <c r="AA452" s="227" t="str">
        <f>IFERROR(VLOOKUP(Y452,TD!$K$47:$L$65,2,0)," ")</f>
        <v>PM/0131/0108/45990160207</v>
      </c>
      <c r="AB452" s="128" t="s">
        <v>138</v>
      </c>
      <c r="AC452" s="228" t="s">
        <v>204</v>
      </c>
    </row>
    <row r="453" spans="2:29" s="28" customFormat="1" ht="99" customHeight="1" x14ac:dyDescent="0.35">
      <c r="B453" s="77">
        <v>20250444</v>
      </c>
      <c r="C453" s="50" t="s">
        <v>208</v>
      </c>
      <c r="D453" s="218" t="s">
        <v>166</v>
      </c>
      <c r="E453" s="219" t="s">
        <v>565</v>
      </c>
      <c r="F453" s="218" t="s">
        <v>731</v>
      </c>
      <c r="G453" s="218" t="s">
        <v>155</v>
      </c>
      <c r="H453" s="93" t="s">
        <v>617</v>
      </c>
      <c r="I453" s="220">
        <v>2</v>
      </c>
      <c r="J453" s="220">
        <v>11</v>
      </c>
      <c r="K453" s="52">
        <v>0</v>
      </c>
      <c r="L453" s="53">
        <v>46449783</v>
      </c>
      <c r="M453" s="218" t="s">
        <v>465</v>
      </c>
      <c r="N453" s="53" t="s">
        <v>618</v>
      </c>
      <c r="O453" s="219" t="s">
        <v>219</v>
      </c>
      <c r="P453" s="221" t="str">
        <f>IFERROR(VLOOKUP(C453,TD!$B$33:$F$37,2,0)," ")</f>
        <v>O230117</v>
      </c>
      <c r="Q453" s="221" t="str">
        <f>IFERROR(VLOOKUP(C453,TD!$B$33:$F$37,3,0)," ")</f>
        <v>4599</v>
      </c>
      <c r="R453" s="221">
        <f>IFERROR(VLOOKUP(C453,TD!$B$33:$F$37,4,0)," ")</f>
        <v>20240207</v>
      </c>
      <c r="S453" s="219" t="s">
        <v>185</v>
      </c>
      <c r="T453" s="221" t="str">
        <f>IFERROR(VLOOKUP(S453,TD!$J$34:$K$44,2,0)," ")</f>
        <v>Infraestructura física, mantenimiento y dotación (Sedes construidas, mantenidas reforzadas)</v>
      </c>
      <c r="U453" s="222" t="str">
        <f t="shared" si="25"/>
        <v>08-Infraestructura física, mantenimiento y dotación (Sedes construidas, mantenidas reforzadas)</v>
      </c>
      <c r="V453" s="219" t="s">
        <v>238</v>
      </c>
      <c r="W453" s="221" t="str">
        <f>IFERROR(VLOOKUP(V453,TD!$N$34:$O$46,2,0)," ")</f>
        <v>Sedes mantenidas</v>
      </c>
      <c r="X453" s="222" t="str">
        <f t="shared" si="26"/>
        <v>016_Sedes mantenidas</v>
      </c>
      <c r="Y453" s="222" t="str">
        <f t="shared" si="27"/>
        <v>08-Infraestructura física, mantenimiento y dotación (Sedes construidas, mantenidas reforzadas) 016_Sedes mantenidas</v>
      </c>
      <c r="Z453" s="221" t="str">
        <f t="shared" si="28"/>
        <v>O23011745992024020708016</v>
      </c>
      <c r="AA453" s="221" t="str">
        <f>IFERROR(VLOOKUP(Y453,TD!$K$47:$L$65,2,0)," ")</f>
        <v>PM/0131/0108/45990160207</v>
      </c>
      <c r="AB453" s="53" t="s">
        <v>138</v>
      </c>
      <c r="AC453" s="223" t="s">
        <v>204</v>
      </c>
    </row>
    <row r="454" spans="2:29" s="28" customFormat="1" ht="99" customHeight="1" x14ac:dyDescent="0.35">
      <c r="B454" s="77">
        <v>20250445</v>
      </c>
      <c r="C454" s="50" t="s">
        <v>208</v>
      </c>
      <c r="D454" s="218" t="s">
        <v>166</v>
      </c>
      <c r="E454" s="219" t="s">
        <v>565</v>
      </c>
      <c r="F454" s="218" t="s">
        <v>732</v>
      </c>
      <c r="G454" s="218" t="s">
        <v>155</v>
      </c>
      <c r="H454" s="93" t="s">
        <v>617</v>
      </c>
      <c r="I454" s="220">
        <v>2</v>
      </c>
      <c r="J454" s="220">
        <v>11</v>
      </c>
      <c r="K454" s="52">
        <v>0</v>
      </c>
      <c r="L454" s="53">
        <v>46449783</v>
      </c>
      <c r="M454" s="218" t="s">
        <v>465</v>
      </c>
      <c r="N454" s="53" t="s">
        <v>618</v>
      </c>
      <c r="O454" s="219" t="s">
        <v>219</v>
      </c>
      <c r="P454" s="221" t="str">
        <f>IFERROR(VLOOKUP(C454,TD!$B$33:$F$37,2,0)," ")</f>
        <v>O230117</v>
      </c>
      <c r="Q454" s="221" t="str">
        <f>IFERROR(VLOOKUP(C454,TD!$B$33:$F$37,3,0)," ")</f>
        <v>4599</v>
      </c>
      <c r="R454" s="221">
        <f>IFERROR(VLOOKUP(C454,TD!$B$33:$F$37,4,0)," ")</f>
        <v>20240207</v>
      </c>
      <c r="S454" s="219" t="s">
        <v>185</v>
      </c>
      <c r="T454" s="221" t="str">
        <f>IFERROR(VLOOKUP(S454,TD!$J$34:$K$44,2,0)," ")</f>
        <v>Infraestructura física, mantenimiento y dotación (Sedes construidas, mantenidas reforzadas)</v>
      </c>
      <c r="U454" s="222" t="str">
        <f t="shared" si="25"/>
        <v>08-Infraestructura física, mantenimiento y dotación (Sedes construidas, mantenidas reforzadas)</v>
      </c>
      <c r="V454" s="219" t="s">
        <v>238</v>
      </c>
      <c r="W454" s="221" t="str">
        <f>IFERROR(VLOOKUP(V454,TD!$N$34:$O$46,2,0)," ")</f>
        <v>Sedes mantenidas</v>
      </c>
      <c r="X454" s="222" t="str">
        <f t="shared" si="26"/>
        <v>016_Sedes mantenidas</v>
      </c>
      <c r="Y454" s="222" t="str">
        <f t="shared" si="27"/>
        <v>08-Infraestructura física, mantenimiento y dotación (Sedes construidas, mantenidas reforzadas) 016_Sedes mantenidas</v>
      </c>
      <c r="Z454" s="221" t="str">
        <f t="shared" si="28"/>
        <v>O23011745992024020708016</v>
      </c>
      <c r="AA454" s="221" t="str">
        <f>IFERROR(VLOOKUP(Y454,TD!$K$47:$L$65,2,0)," ")</f>
        <v>PM/0131/0108/45990160207</v>
      </c>
      <c r="AB454" s="53" t="s">
        <v>138</v>
      </c>
      <c r="AC454" s="223" t="s">
        <v>204</v>
      </c>
    </row>
    <row r="455" spans="2:29" s="28" customFormat="1" ht="99" customHeight="1" x14ac:dyDescent="0.35">
      <c r="B455" s="77">
        <v>20250446</v>
      </c>
      <c r="C455" s="50" t="s">
        <v>208</v>
      </c>
      <c r="D455" s="218" t="s">
        <v>166</v>
      </c>
      <c r="E455" s="219" t="s">
        <v>565</v>
      </c>
      <c r="F455" s="218" t="s">
        <v>733</v>
      </c>
      <c r="G455" s="218" t="s">
        <v>155</v>
      </c>
      <c r="H455" s="93" t="s">
        <v>617</v>
      </c>
      <c r="I455" s="220">
        <v>2</v>
      </c>
      <c r="J455" s="220">
        <v>11</v>
      </c>
      <c r="K455" s="52">
        <v>0</v>
      </c>
      <c r="L455" s="53">
        <v>46449783</v>
      </c>
      <c r="M455" s="218" t="s">
        <v>465</v>
      </c>
      <c r="N455" s="53" t="s">
        <v>618</v>
      </c>
      <c r="O455" s="219" t="s">
        <v>219</v>
      </c>
      <c r="P455" s="221" t="str">
        <f>IFERROR(VLOOKUP(C455,TD!$B$33:$F$37,2,0)," ")</f>
        <v>O230117</v>
      </c>
      <c r="Q455" s="221" t="str">
        <f>IFERROR(VLOOKUP(C455,TD!$B$33:$F$37,3,0)," ")</f>
        <v>4599</v>
      </c>
      <c r="R455" s="221">
        <f>IFERROR(VLOOKUP(C455,TD!$B$33:$F$37,4,0)," ")</f>
        <v>20240207</v>
      </c>
      <c r="S455" s="219" t="s">
        <v>185</v>
      </c>
      <c r="T455" s="221" t="str">
        <f>IFERROR(VLOOKUP(S455,TD!$J$34:$K$44,2,0)," ")</f>
        <v>Infraestructura física, mantenimiento y dotación (Sedes construidas, mantenidas reforzadas)</v>
      </c>
      <c r="U455" s="222" t="str">
        <f t="shared" si="25"/>
        <v>08-Infraestructura física, mantenimiento y dotación (Sedes construidas, mantenidas reforzadas)</v>
      </c>
      <c r="V455" s="219" t="s">
        <v>238</v>
      </c>
      <c r="W455" s="221" t="str">
        <f>IFERROR(VLOOKUP(V455,TD!$N$34:$O$46,2,0)," ")</f>
        <v>Sedes mantenidas</v>
      </c>
      <c r="X455" s="222" t="str">
        <f t="shared" si="26"/>
        <v>016_Sedes mantenidas</v>
      </c>
      <c r="Y455" s="222" t="str">
        <f t="shared" si="27"/>
        <v>08-Infraestructura física, mantenimiento y dotación (Sedes construidas, mantenidas reforzadas) 016_Sedes mantenidas</v>
      </c>
      <c r="Z455" s="221" t="str">
        <f t="shared" si="28"/>
        <v>O23011745992024020708016</v>
      </c>
      <c r="AA455" s="221" t="str">
        <f>IFERROR(VLOOKUP(Y455,TD!$K$47:$L$65,2,0)," ")</f>
        <v>PM/0131/0108/45990160207</v>
      </c>
      <c r="AB455" s="53" t="s">
        <v>138</v>
      </c>
      <c r="AC455" s="219" t="s">
        <v>204</v>
      </c>
    </row>
    <row r="456" spans="2:29" s="28" customFormat="1" ht="99" customHeight="1" x14ac:dyDescent="0.35">
      <c r="B456" s="130">
        <v>20250447</v>
      </c>
      <c r="C456" s="132" t="s">
        <v>208</v>
      </c>
      <c r="D456" s="224" t="s">
        <v>166</v>
      </c>
      <c r="E456" s="225" t="s">
        <v>565</v>
      </c>
      <c r="F456" s="224" t="s">
        <v>595</v>
      </c>
      <c r="G456" s="224" t="s">
        <v>155</v>
      </c>
      <c r="H456" s="133" t="s">
        <v>617</v>
      </c>
      <c r="I456" s="226">
        <v>2</v>
      </c>
      <c r="J456" s="226">
        <v>11</v>
      </c>
      <c r="K456" s="129">
        <v>0</v>
      </c>
      <c r="L456" s="128">
        <v>61530876</v>
      </c>
      <c r="M456" s="224" t="s">
        <v>465</v>
      </c>
      <c r="N456" s="128" t="s">
        <v>618</v>
      </c>
      <c r="O456" s="225" t="s">
        <v>219</v>
      </c>
      <c r="P456" s="227" t="str">
        <f>IFERROR(VLOOKUP(C456,TD!$B$33:$F$37,2,0)," ")</f>
        <v>O230117</v>
      </c>
      <c r="Q456" s="227" t="str">
        <f>IFERROR(VLOOKUP(C456,TD!$B$33:$F$37,3,0)," ")</f>
        <v>4599</v>
      </c>
      <c r="R456" s="227">
        <f>IFERROR(VLOOKUP(C456,TD!$B$33:$F$37,4,0)," ")</f>
        <v>20240207</v>
      </c>
      <c r="S456" s="225" t="s">
        <v>185</v>
      </c>
      <c r="T456" s="227" t="str">
        <f>IFERROR(VLOOKUP(S456,TD!$J$34:$K$44,2,0)," ")</f>
        <v>Infraestructura física, mantenimiento y dotación (Sedes construidas, mantenidas reforzadas)</v>
      </c>
      <c r="U456" s="222" t="str">
        <f t="shared" si="25"/>
        <v>08-Infraestructura física, mantenimiento y dotación (Sedes construidas, mantenidas reforzadas)</v>
      </c>
      <c r="V456" s="225" t="s">
        <v>238</v>
      </c>
      <c r="W456" s="227" t="str">
        <f>IFERROR(VLOOKUP(V456,TD!$N$34:$O$46,2,0)," ")</f>
        <v>Sedes mantenidas</v>
      </c>
      <c r="X456" s="222" t="str">
        <f t="shared" si="26"/>
        <v>016_Sedes mantenidas</v>
      </c>
      <c r="Y456" s="222" t="str">
        <f t="shared" si="27"/>
        <v>08-Infraestructura física, mantenimiento y dotación (Sedes construidas, mantenidas reforzadas) 016_Sedes mantenidas</v>
      </c>
      <c r="Z456" s="227" t="str">
        <f t="shared" si="28"/>
        <v>O23011745992024020708016</v>
      </c>
      <c r="AA456" s="227" t="str">
        <f>IFERROR(VLOOKUP(Y456,TD!$K$47:$L$65,2,0)," ")</f>
        <v>PM/0131/0108/45990160207</v>
      </c>
      <c r="AB456" s="128" t="s">
        <v>138</v>
      </c>
      <c r="AC456" s="228" t="s">
        <v>204</v>
      </c>
    </row>
    <row r="457" spans="2:29" s="28" customFormat="1" ht="56" x14ac:dyDescent="0.35">
      <c r="B457" s="130">
        <v>20250448</v>
      </c>
      <c r="C457" s="50" t="s">
        <v>208</v>
      </c>
      <c r="D457" s="218" t="s">
        <v>166</v>
      </c>
      <c r="E457" s="219" t="s">
        <v>565</v>
      </c>
      <c r="F457" s="218" t="s">
        <v>574</v>
      </c>
      <c r="G457" s="218" t="s">
        <v>156</v>
      </c>
      <c r="H457" s="93" t="s">
        <v>617</v>
      </c>
      <c r="I457" s="220">
        <v>2</v>
      </c>
      <c r="J457" s="220">
        <v>11</v>
      </c>
      <c r="K457" s="52">
        <v>0</v>
      </c>
      <c r="L457" s="53">
        <v>34600000</v>
      </c>
      <c r="M457" s="218" t="s">
        <v>465</v>
      </c>
      <c r="N457" s="53" t="s">
        <v>618</v>
      </c>
      <c r="O457" s="219" t="s">
        <v>219</v>
      </c>
      <c r="P457" s="221" t="str">
        <f>IFERROR(VLOOKUP(C457,TD!$B$33:$F$37,2,0)," ")</f>
        <v>O230117</v>
      </c>
      <c r="Q457" s="221" t="str">
        <f>IFERROR(VLOOKUP(C457,TD!$B$33:$F$37,3,0)," ")</f>
        <v>4599</v>
      </c>
      <c r="R457" s="221">
        <f>IFERROR(VLOOKUP(C457,TD!$B$33:$F$37,4,0)," ")</f>
        <v>20240207</v>
      </c>
      <c r="S457" s="219" t="s">
        <v>185</v>
      </c>
      <c r="T457" s="221" t="str">
        <f>IFERROR(VLOOKUP(S457,TD!$J$34:$K$44,2,0)," ")</f>
        <v>Infraestructura física, mantenimiento y dotación (Sedes construidas, mantenidas reforzadas)</v>
      </c>
      <c r="U457" s="222" t="str">
        <f t="shared" si="25"/>
        <v>08-Infraestructura física, mantenimiento y dotación (Sedes construidas, mantenidas reforzadas)</v>
      </c>
      <c r="V457" s="219" t="s">
        <v>238</v>
      </c>
      <c r="W457" s="221" t="str">
        <f>IFERROR(VLOOKUP(V457,TD!$N$34:$O$46,2,0)," ")</f>
        <v>Sedes mantenidas</v>
      </c>
      <c r="X457" s="222" t="str">
        <f t="shared" si="26"/>
        <v>016_Sedes mantenidas</v>
      </c>
      <c r="Y457" s="222" t="str">
        <f t="shared" si="27"/>
        <v>08-Infraestructura física, mantenimiento y dotación (Sedes construidas, mantenidas reforzadas) 016_Sedes mantenidas</v>
      </c>
      <c r="Z457" s="221" t="str">
        <f t="shared" si="28"/>
        <v>O23011745992024020708016</v>
      </c>
      <c r="AA457" s="221" t="str">
        <f>IFERROR(VLOOKUP(Y457,TD!$K$47:$L$65,2,0)," ")</f>
        <v>PM/0131/0108/45990160207</v>
      </c>
      <c r="AB457" s="53" t="s">
        <v>138</v>
      </c>
      <c r="AC457" s="223" t="s">
        <v>204</v>
      </c>
    </row>
    <row r="458" spans="2:29" s="28" customFormat="1" ht="99" customHeight="1" x14ac:dyDescent="0.35">
      <c r="B458" s="130">
        <v>20250449</v>
      </c>
      <c r="C458" s="50" t="s">
        <v>208</v>
      </c>
      <c r="D458" s="218" t="s">
        <v>166</v>
      </c>
      <c r="E458" s="219" t="s">
        <v>565</v>
      </c>
      <c r="F458" s="218" t="s">
        <v>576</v>
      </c>
      <c r="G458" s="218" t="s">
        <v>156</v>
      </c>
      <c r="H458" s="93" t="s">
        <v>617</v>
      </c>
      <c r="I458" s="220">
        <v>2</v>
      </c>
      <c r="J458" s="220">
        <v>11</v>
      </c>
      <c r="K458" s="52">
        <v>0</v>
      </c>
      <c r="L458" s="53">
        <v>33178419</v>
      </c>
      <c r="M458" s="218" t="s">
        <v>465</v>
      </c>
      <c r="N458" s="53" t="s">
        <v>618</v>
      </c>
      <c r="O458" s="219" t="s">
        <v>219</v>
      </c>
      <c r="P458" s="221" t="str">
        <f>IFERROR(VLOOKUP(C458,TD!$B$33:$F$37,2,0)," ")</f>
        <v>O230117</v>
      </c>
      <c r="Q458" s="221" t="str">
        <f>IFERROR(VLOOKUP(C458,TD!$B$33:$F$37,3,0)," ")</f>
        <v>4599</v>
      </c>
      <c r="R458" s="221">
        <f>IFERROR(VLOOKUP(C458,TD!$B$33:$F$37,4,0)," ")</f>
        <v>20240207</v>
      </c>
      <c r="S458" s="219" t="s">
        <v>185</v>
      </c>
      <c r="T458" s="221" t="str">
        <f>IFERROR(VLOOKUP(S458,TD!$J$34:$K$44,2,0)," ")</f>
        <v>Infraestructura física, mantenimiento y dotación (Sedes construidas, mantenidas reforzadas)</v>
      </c>
      <c r="U458" s="222" t="str">
        <f t="shared" si="25"/>
        <v>08-Infraestructura física, mantenimiento y dotación (Sedes construidas, mantenidas reforzadas)</v>
      </c>
      <c r="V458" s="219" t="s">
        <v>238</v>
      </c>
      <c r="W458" s="221" t="str">
        <f>IFERROR(VLOOKUP(V458,TD!$N$34:$O$46,2,0)," ")</f>
        <v>Sedes mantenidas</v>
      </c>
      <c r="X458" s="222" t="str">
        <f t="shared" si="26"/>
        <v>016_Sedes mantenidas</v>
      </c>
      <c r="Y458" s="222" t="str">
        <f t="shared" si="27"/>
        <v>08-Infraestructura física, mantenimiento y dotación (Sedes construidas, mantenidas reforzadas) 016_Sedes mantenidas</v>
      </c>
      <c r="Z458" s="221" t="str">
        <f t="shared" si="28"/>
        <v>O23011745992024020708016</v>
      </c>
      <c r="AA458" s="221" t="str">
        <f>IFERROR(VLOOKUP(Y458,TD!$K$47:$L$65,2,0)," ")</f>
        <v>PM/0131/0108/45990160207</v>
      </c>
      <c r="AB458" s="53" t="s">
        <v>138</v>
      </c>
      <c r="AC458" s="223" t="s">
        <v>204</v>
      </c>
    </row>
    <row r="459" spans="2:29" s="28" customFormat="1" ht="138.65" customHeight="1" x14ac:dyDescent="0.35">
      <c r="B459" s="130">
        <v>20250450</v>
      </c>
      <c r="C459" s="132" t="s">
        <v>208</v>
      </c>
      <c r="D459" s="224" t="s">
        <v>166</v>
      </c>
      <c r="E459" s="225" t="s">
        <v>565</v>
      </c>
      <c r="F459" s="224" t="s">
        <v>577</v>
      </c>
      <c r="G459" s="224" t="s">
        <v>155</v>
      </c>
      <c r="H459" s="133" t="s">
        <v>617</v>
      </c>
      <c r="I459" s="226">
        <v>2</v>
      </c>
      <c r="J459" s="226">
        <v>11</v>
      </c>
      <c r="K459" s="129">
        <v>0</v>
      </c>
      <c r="L459" s="128">
        <v>61530876</v>
      </c>
      <c r="M459" s="224" t="s">
        <v>465</v>
      </c>
      <c r="N459" s="128" t="s">
        <v>618</v>
      </c>
      <c r="O459" s="225" t="s">
        <v>219</v>
      </c>
      <c r="P459" s="227" t="str">
        <f>IFERROR(VLOOKUP(C459,TD!$B$33:$F$37,2,0)," ")</f>
        <v>O230117</v>
      </c>
      <c r="Q459" s="227" t="str">
        <f>IFERROR(VLOOKUP(C459,TD!$B$33:$F$37,3,0)," ")</f>
        <v>4599</v>
      </c>
      <c r="R459" s="227">
        <f>IFERROR(VLOOKUP(C459,TD!$B$33:$F$37,4,0)," ")</f>
        <v>20240207</v>
      </c>
      <c r="S459" s="225" t="s">
        <v>185</v>
      </c>
      <c r="T459" s="227" t="str">
        <f>IFERROR(VLOOKUP(S459,TD!$J$34:$K$44,2,0)," ")</f>
        <v>Infraestructura física, mantenimiento y dotación (Sedes construidas, mantenidas reforzadas)</v>
      </c>
      <c r="U459" s="222" t="str">
        <f t="shared" si="25"/>
        <v>08-Infraestructura física, mantenimiento y dotación (Sedes construidas, mantenidas reforzadas)</v>
      </c>
      <c r="V459" s="225" t="s">
        <v>238</v>
      </c>
      <c r="W459" s="227" t="str">
        <f>IFERROR(VLOOKUP(V459,TD!$N$34:$O$46,2,0)," ")</f>
        <v>Sedes mantenidas</v>
      </c>
      <c r="X459" s="222" t="str">
        <f t="shared" si="26"/>
        <v>016_Sedes mantenidas</v>
      </c>
      <c r="Y459" s="222" t="str">
        <f t="shared" si="27"/>
        <v>08-Infraestructura física, mantenimiento y dotación (Sedes construidas, mantenidas reforzadas) 016_Sedes mantenidas</v>
      </c>
      <c r="Z459" s="227" t="str">
        <f t="shared" si="28"/>
        <v>O23011745992024020708016</v>
      </c>
      <c r="AA459" s="227" t="str">
        <f>IFERROR(VLOOKUP(Y459,TD!$K$47:$L$65,2,0)," ")</f>
        <v>PM/0131/0108/45990160207</v>
      </c>
      <c r="AB459" s="128" t="s">
        <v>138</v>
      </c>
      <c r="AC459" s="228" t="s">
        <v>204</v>
      </c>
    </row>
    <row r="460" spans="2:29" s="28" customFormat="1" ht="99" customHeight="1" x14ac:dyDescent="0.35">
      <c r="B460" s="130">
        <v>20250451</v>
      </c>
      <c r="C460" s="50" t="s">
        <v>208</v>
      </c>
      <c r="D460" s="218" t="s">
        <v>166</v>
      </c>
      <c r="E460" s="219" t="s">
        <v>565</v>
      </c>
      <c r="F460" s="218" t="s">
        <v>578</v>
      </c>
      <c r="G460" s="218" t="s">
        <v>155</v>
      </c>
      <c r="H460" s="93" t="s">
        <v>617</v>
      </c>
      <c r="I460" s="220">
        <v>2</v>
      </c>
      <c r="J460" s="226">
        <v>11</v>
      </c>
      <c r="K460" s="129">
        <v>0</v>
      </c>
      <c r="L460" s="53">
        <v>46449783</v>
      </c>
      <c r="M460" s="218" t="s">
        <v>465</v>
      </c>
      <c r="N460" s="53" t="s">
        <v>618</v>
      </c>
      <c r="O460" s="219" t="s">
        <v>219</v>
      </c>
      <c r="P460" s="221" t="str">
        <f>IFERROR(VLOOKUP(C460,TD!$B$33:$F$37,2,0)," ")</f>
        <v>O230117</v>
      </c>
      <c r="Q460" s="221" t="str">
        <f>IFERROR(VLOOKUP(C460,TD!$B$33:$F$37,3,0)," ")</f>
        <v>4599</v>
      </c>
      <c r="R460" s="221">
        <f>IFERROR(VLOOKUP(C460,TD!$B$33:$F$37,4,0)," ")</f>
        <v>20240207</v>
      </c>
      <c r="S460" s="219" t="s">
        <v>185</v>
      </c>
      <c r="T460" s="221" t="str">
        <f>IFERROR(VLOOKUP(S460,TD!$J$34:$K$44,2,0)," ")</f>
        <v>Infraestructura física, mantenimiento y dotación (Sedes construidas, mantenidas reforzadas)</v>
      </c>
      <c r="U460" s="222" t="str">
        <f t="shared" ref="U460:U523" si="30">CONCATENATE(S460,"-",T460)</f>
        <v>08-Infraestructura física, mantenimiento y dotación (Sedes construidas, mantenidas reforzadas)</v>
      </c>
      <c r="V460" s="219" t="s">
        <v>238</v>
      </c>
      <c r="W460" s="221" t="str">
        <f>IFERROR(VLOOKUP(V460,TD!$N$34:$O$46,2,0)," ")</f>
        <v>Sedes mantenidas</v>
      </c>
      <c r="X460" s="222" t="str">
        <f t="shared" ref="X460:X523" si="31">CONCATENATE(V460,"_",W460)</f>
        <v>016_Sedes mantenidas</v>
      </c>
      <c r="Y460" s="222" t="str">
        <f t="shared" ref="Y460:Y523" si="32">CONCATENATE(U460," ",X460)</f>
        <v>08-Infraestructura física, mantenimiento y dotación (Sedes construidas, mantenidas reforzadas) 016_Sedes mantenidas</v>
      </c>
      <c r="Z460" s="221" t="str">
        <f t="shared" ref="Z460:Z523" si="33">CONCATENATE(P460,Q460,R460,S460,V460)</f>
        <v>O23011745992024020708016</v>
      </c>
      <c r="AA460" s="221" t="str">
        <f>IFERROR(VLOOKUP(Y460,TD!$K$47:$L$65,2,0)," ")</f>
        <v>PM/0131/0108/45990160207</v>
      </c>
      <c r="AB460" s="53" t="s">
        <v>120</v>
      </c>
      <c r="AC460" s="223" t="s">
        <v>204</v>
      </c>
    </row>
    <row r="461" spans="2:29" s="28" customFormat="1" ht="99" customHeight="1" x14ac:dyDescent="0.35">
      <c r="B461" s="77">
        <v>20250452</v>
      </c>
      <c r="C461" s="50" t="s">
        <v>208</v>
      </c>
      <c r="D461" s="218" t="s">
        <v>166</v>
      </c>
      <c r="E461" s="219" t="s">
        <v>565</v>
      </c>
      <c r="F461" s="218" t="s">
        <v>598</v>
      </c>
      <c r="G461" s="218" t="s">
        <v>146</v>
      </c>
      <c r="H461" s="93" t="s">
        <v>735</v>
      </c>
      <c r="I461" s="220">
        <v>3</v>
      </c>
      <c r="J461" s="220">
        <v>8</v>
      </c>
      <c r="K461" s="52">
        <v>0</v>
      </c>
      <c r="L461" s="53">
        <v>60000000</v>
      </c>
      <c r="M461" s="218" t="s">
        <v>465</v>
      </c>
      <c r="N461" s="53" t="s">
        <v>620</v>
      </c>
      <c r="O461" s="219" t="s">
        <v>218</v>
      </c>
      <c r="P461" s="221" t="str">
        <f>IFERROR(VLOOKUP(C461,TD!$B$33:$F$37,2,0)," ")</f>
        <v>O230117</v>
      </c>
      <c r="Q461" s="221" t="str">
        <f>IFERROR(VLOOKUP(C461,TD!$B$33:$F$37,3,0)," ")</f>
        <v>4599</v>
      </c>
      <c r="R461" s="221">
        <f>IFERROR(VLOOKUP(C461,TD!$B$33:$F$37,4,0)," ")</f>
        <v>20240207</v>
      </c>
      <c r="S461" s="219" t="s">
        <v>185</v>
      </c>
      <c r="T461" s="221" t="str">
        <f>IFERROR(VLOOKUP(S461,TD!$J$34:$K$44,2,0)," ")</f>
        <v>Infraestructura física, mantenimiento y dotación (Sedes construidas, mantenidas reforzadas)</v>
      </c>
      <c r="U461" s="222" t="str">
        <f t="shared" si="30"/>
        <v>08-Infraestructura física, mantenimiento y dotación (Sedes construidas, mantenidas reforzadas)</v>
      </c>
      <c r="V461" s="219" t="s">
        <v>238</v>
      </c>
      <c r="W461" s="221" t="str">
        <f>IFERROR(VLOOKUP(V461,TD!$N$34:$O$46,2,0)," ")</f>
        <v>Sedes mantenidas</v>
      </c>
      <c r="X461" s="222" t="str">
        <f t="shared" si="31"/>
        <v>016_Sedes mantenidas</v>
      </c>
      <c r="Y461" s="222" t="str">
        <f t="shared" si="32"/>
        <v>08-Infraestructura física, mantenimiento y dotación (Sedes construidas, mantenidas reforzadas) 016_Sedes mantenidas</v>
      </c>
      <c r="Z461" s="221" t="str">
        <f t="shared" si="33"/>
        <v>O23011745992024020708016</v>
      </c>
      <c r="AA461" s="221" t="str">
        <f>IFERROR(VLOOKUP(Y461,TD!$K$47:$L$65,2,0)," ")</f>
        <v>PM/0131/0108/45990160207</v>
      </c>
      <c r="AB461" s="53" t="s">
        <v>147</v>
      </c>
      <c r="AC461" s="223" t="s">
        <v>204</v>
      </c>
    </row>
    <row r="462" spans="2:29" s="28" customFormat="1" ht="99" customHeight="1" x14ac:dyDescent="0.35">
      <c r="B462" s="130">
        <v>20250453</v>
      </c>
      <c r="C462" s="132" t="s">
        <v>208</v>
      </c>
      <c r="D462" s="224" t="s">
        <v>166</v>
      </c>
      <c r="E462" s="225" t="s">
        <v>565</v>
      </c>
      <c r="F462" s="224" t="s">
        <v>599</v>
      </c>
      <c r="G462" s="224" t="s">
        <v>146</v>
      </c>
      <c r="H462" s="133" t="s">
        <v>734</v>
      </c>
      <c r="I462" s="226">
        <v>4</v>
      </c>
      <c r="J462" s="226">
        <v>8</v>
      </c>
      <c r="K462" s="129">
        <v>0</v>
      </c>
      <c r="L462" s="128">
        <v>46000000</v>
      </c>
      <c r="M462" s="224" t="s">
        <v>465</v>
      </c>
      <c r="N462" s="128" t="s">
        <v>620</v>
      </c>
      <c r="O462" s="225" t="s">
        <v>218</v>
      </c>
      <c r="P462" s="227" t="str">
        <f>IFERROR(VLOOKUP(C462,TD!$B$33:$F$37,2,0)," ")</f>
        <v>O230117</v>
      </c>
      <c r="Q462" s="227" t="str">
        <f>IFERROR(VLOOKUP(C462,TD!$B$33:$F$37,3,0)," ")</f>
        <v>4599</v>
      </c>
      <c r="R462" s="227">
        <f>IFERROR(VLOOKUP(C462,TD!$B$33:$F$37,4,0)," ")</f>
        <v>20240207</v>
      </c>
      <c r="S462" s="225" t="s">
        <v>185</v>
      </c>
      <c r="T462" s="227" t="str">
        <f>IFERROR(VLOOKUP(S462,TD!$J$34:$K$44,2,0)," ")</f>
        <v>Infraestructura física, mantenimiento y dotación (Sedes construidas, mantenidas reforzadas)</v>
      </c>
      <c r="U462" s="222" t="str">
        <f t="shared" si="30"/>
        <v>08-Infraestructura física, mantenimiento y dotación (Sedes construidas, mantenidas reforzadas)</v>
      </c>
      <c r="V462" s="225" t="s">
        <v>238</v>
      </c>
      <c r="W462" s="227" t="str">
        <f>IFERROR(VLOOKUP(V462,TD!$N$34:$O$46,2,0)," ")</f>
        <v>Sedes mantenidas</v>
      </c>
      <c r="X462" s="222" t="str">
        <f t="shared" si="31"/>
        <v>016_Sedes mantenidas</v>
      </c>
      <c r="Y462" s="222" t="str">
        <f t="shared" si="32"/>
        <v>08-Infraestructura física, mantenimiento y dotación (Sedes construidas, mantenidas reforzadas) 016_Sedes mantenidas</v>
      </c>
      <c r="Z462" s="227" t="str">
        <f t="shared" si="33"/>
        <v>O23011745992024020708016</v>
      </c>
      <c r="AA462" s="227" t="str">
        <f>IFERROR(VLOOKUP(Y462,TD!$K$47:$L$65,2,0)," ")</f>
        <v>PM/0131/0108/45990160207</v>
      </c>
      <c r="AB462" s="53" t="s">
        <v>147</v>
      </c>
      <c r="AC462" s="228" t="s">
        <v>204</v>
      </c>
    </row>
    <row r="463" spans="2:29" s="28" customFormat="1" ht="99" customHeight="1" x14ac:dyDescent="0.35">
      <c r="B463" s="130">
        <v>20250454</v>
      </c>
      <c r="C463" s="132" t="s">
        <v>208</v>
      </c>
      <c r="D463" s="224" t="s">
        <v>166</v>
      </c>
      <c r="E463" s="225" t="s">
        <v>565</v>
      </c>
      <c r="F463" s="224" t="s">
        <v>865</v>
      </c>
      <c r="G463" s="224" t="s">
        <v>146</v>
      </c>
      <c r="H463" s="133" t="s">
        <v>866</v>
      </c>
      <c r="I463" s="226">
        <v>3</v>
      </c>
      <c r="J463" s="226">
        <v>0</v>
      </c>
      <c r="K463" s="129">
        <v>0</v>
      </c>
      <c r="L463" s="128">
        <v>26000000</v>
      </c>
      <c r="M463" s="224" t="s">
        <v>465</v>
      </c>
      <c r="N463" s="128" t="s">
        <v>100</v>
      </c>
      <c r="O463" s="225" t="s">
        <v>218</v>
      </c>
      <c r="P463" s="227" t="str">
        <f>IFERROR(VLOOKUP(C463,TD!$B$33:$F$37,2,0)," ")</f>
        <v>O230117</v>
      </c>
      <c r="Q463" s="227" t="str">
        <f>IFERROR(VLOOKUP(C463,TD!$B$33:$F$37,3,0)," ")</f>
        <v>4599</v>
      </c>
      <c r="R463" s="227">
        <f>IFERROR(VLOOKUP(C463,TD!$B$33:$F$37,4,0)," ")</f>
        <v>20240207</v>
      </c>
      <c r="S463" s="225" t="s">
        <v>185</v>
      </c>
      <c r="T463" s="227" t="str">
        <f>IFERROR(VLOOKUP(S463,TD!$J$34:$K$44,2,0)," ")</f>
        <v>Infraestructura física, mantenimiento y dotación (Sedes construidas, mantenidas reforzadas)</v>
      </c>
      <c r="U463" s="222" t="str">
        <f t="shared" si="30"/>
        <v>08-Infraestructura física, mantenimiento y dotación (Sedes construidas, mantenidas reforzadas)</v>
      </c>
      <c r="V463" s="225" t="s">
        <v>238</v>
      </c>
      <c r="W463" s="227" t="str">
        <f>IFERROR(VLOOKUP(V463,TD!$N$34:$O$46,2,0)," ")</f>
        <v>Sedes mantenidas</v>
      </c>
      <c r="X463" s="222" t="str">
        <f t="shared" si="31"/>
        <v>016_Sedes mantenidas</v>
      </c>
      <c r="Y463" s="222" t="str">
        <f t="shared" si="32"/>
        <v>08-Infraestructura física, mantenimiento y dotación (Sedes construidas, mantenidas reforzadas) 016_Sedes mantenidas</v>
      </c>
      <c r="Z463" s="227" t="str">
        <f t="shared" si="33"/>
        <v>O23011745992024020708016</v>
      </c>
      <c r="AA463" s="227" t="str">
        <f>IFERROR(VLOOKUP(Y463,TD!$K$47:$L$65,2,0)," ")</f>
        <v>PM/0131/0108/45990160207</v>
      </c>
      <c r="AB463" s="53" t="s">
        <v>147</v>
      </c>
      <c r="AC463" s="228" t="s">
        <v>205</v>
      </c>
    </row>
    <row r="464" spans="2:29" s="28" customFormat="1" ht="99" customHeight="1" x14ac:dyDescent="0.35">
      <c r="B464" s="77">
        <v>20250455</v>
      </c>
      <c r="C464" s="50" t="s">
        <v>208</v>
      </c>
      <c r="D464" s="218" t="s">
        <v>166</v>
      </c>
      <c r="E464" s="219" t="s">
        <v>565</v>
      </c>
      <c r="F464" s="218" t="s">
        <v>977</v>
      </c>
      <c r="G464" s="218" t="s">
        <v>146</v>
      </c>
      <c r="H464" s="93" t="s">
        <v>978</v>
      </c>
      <c r="I464" s="220">
        <v>8</v>
      </c>
      <c r="J464" s="220">
        <v>8</v>
      </c>
      <c r="K464" s="52">
        <v>0</v>
      </c>
      <c r="L464" s="53">
        <v>50000000</v>
      </c>
      <c r="M464" s="218" t="s">
        <v>465</v>
      </c>
      <c r="N464" s="53" t="s">
        <v>100</v>
      </c>
      <c r="O464" s="219" t="s">
        <v>218</v>
      </c>
      <c r="P464" s="221" t="str">
        <f>IFERROR(VLOOKUP(C464,TD!$B$33:$F$37,2,0)," ")</f>
        <v>O230117</v>
      </c>
      <c r="Q464" s="221" t="str">
        <f>IFERROR(VLOOKUP(C464,TD!$B$33:$F$37,3,0)," ")</f>
        <v>4599</v>
      </c>
      <c r="R464" s="221">
        <f>IFERROR(VLOOKUP(C464,TD!$B$33:$F$37,4,0)," ")</f>
        <v>20240207</v>
      </c>
      <c r="S464" s="219" t="s">
        <v>185</v>
      </c>
      <c r="T464" s="221" t="str">
        <f>IFERROR(VLOOKUP(S464,TD!$J$34:$K$44,2,0)," ")</f>
        <v>Infraestructura física, mantenimiento y dotación (Sedes construidas, mantenidas reforzadas)</v>
      </c>
      <c r="U464" s="222" t="str">
        <f t="shared" si="30"/>
        <v>08-Infraestructura física, mantenimiento y dotación (Sedes construidas, mantenidas reforzadas)</v>
      </c>
      <c r="V464" s="219" t="s">
        <v>238</v>
      </c>
      <c r="W464" s="221" t="str">
        <f>IFERROR(VLOOKUP(V464,TD!$N$34:$O$46,2,0)," ")</f>
        <v>Sedes mantenidas</v>
      </c>
      <c r="X464" s="222" t="str">
        <f t="shared" si="31"/>
        <v>016_Sedes mantenidas</v>
      </c>
      <c r="Y464" s="222" t="str">
        <f t="shared" si="32"/>
        <v>08-Infraestructura física, mantenimiento y dotación (Sedes construidas, mantenidas reforzadas) 016_Sedes mantenidas</v>
      </c>
      <c r="Z464" s="221" t="str">
        <f t="shared" si="33"/>
        <v>O23011745992024020708016</v>
      </c>
      <c r="AA464" s="221" t="str">
        <f>IFERROR(VLOOKUP(Y464,TD!$K$47:$L$65,2,0)," ")</f>
        <v>PM/0131/0108/45990160207</v>
      </c>
      <c r="AB464" s="53" t="s">
        <v>147</v>
      </c>
      <c r="AC464" s="223" t="s">
        <v>204</v>
      </c>
    </row>
    <row r="465" spans="2:29" s="28" customFormat="1" ht="99" customHeight="1" x14ac:dyDescent="0.35">
      <c r="B465" s="130">
        <v>20250456</v>
      </c>
      <c r="C465" s="132" t="s">
        <v>208</v>
      </c>
      <c r="D465" s="224" t="s">
        <v>166</v>
      </c>
      <c r="E465" s="225" t="s">
        <v>565</v>
      </c>
      <c r="F465" s="224" t="s">
        <v>867</v>
      </c>
      <c r="G465" s="224" t="s">
        <v>146</v>
      </c>
      <c r="H465" s="133" t="s">
        <v>621</v>
      </c>
      <c r="I465" s="226">
        <v>4</v>
      </c>
      <c r="J465" s="226">
        <v>10</v>
      </c>
      <c r="K465" s="129">
        <v>0</v>
      </c>
      <c r="L465" s="128">
        <v>70000000</v>
      </c>
      <c r="M465" s="224" t="s">
        <v>465</v>
      </c>
      <c r="N465" s="128" t="s">
        <v>90</v>
      </c>
      <c r="O465" s="225" t="s">
        <v>218</v>
      </c>
      <c r="P465" s="227" t="str">
        <f>IFERROR(VLOOKUP(C465,TD!$B$33:$F$37,2,0)," ")</f>
        <v>O230117</v>
      </c>
      <c r="Q465" s="227" t="str">
        <f>IFERROR(VLOOKUP(C465,TD!$B$33:$F$37,3,0)," ")</f>
        <v>4599</v>
      </c>
      <c r="R465" s="227">
        <f>IFERROR(VLOOKUP(C465,TD!$B$33:$F$37,4,0)," ")</f>
        <v>20240207</v>
      </c>
      <c r="S465" s="225" t="s">
        <v>185</v>
      </c>
      <c r="T465" s="227" t="str">
        <f>IFERROR(VLOOKUP(S465,TD!$J$34:$K$44,2,0)," ")</f>
        <v>Infraestructura física, mantenimiento y dotación (Sedes construidas, mantenidas reforzadas)</v>
      </c>
      <c r="U465" s="222" t="str">
        <f t="shared" si="30"/>
        <v>08-Infraestructura física, mantenimiento y dotación (Sedes construidas, mantenidas reforzadas)</v>
      </c>
      <c r="V465" s="225" t="s">
        <v>238</v>
      </c>
      <c r="W465" s="227" t="str">
        <f>IFERROR(VLOOKUP(V465,TD!$N$34:$O$46,2,0)," ")</f>
        <v>Sedes mantenidas</v>
      </c>
      <c r="X465" s="222" t="str">
        <f t="shared" si="31"/>
        <v>016_Sedes mantenidas</v>
      </c>
      <c r="Y465" s="222" t="str">
        <f t="shared" si="32"/>
        <v>08-Infraestructura física, mantenimiento y dotación (Sedes construidas, mantenidas reforzadas) 016_Sedes mantenidas</v>
      </c>
      <c r="Z465" s="227" t="str">
        <f t="shared" si="33"/>
        <v>O23011745992024020708016</v>
      </c>
      <c r="AA465" s="227" t="str">
        <f>IFERROR(VLOOKUP(Y465,TD!$K$47:$L$65,2,0)," ")</f>
        <v>PM/0131/0108/45990160207</v>
      </c>
      <c r="AB465" s="53" t="s">
        <v>147</v>
      </c>
      <c r="AC465" s="228" t="s">
        <v>204</v>
      </c>
    </row>
    <row r="466" spans="2:29" s="28" customFormat="1" ht="99" customHeight="1" x14ac:dyDescent="0.35">
      <c r="B466" s="77">
        <v>20250457</v>
      </c>
      <c r="C466" s="50" t="s">
        <v>208</v>
      </c>
      <c r="D466" s="218" t="s">
        <v>166</v>
      </c>
      <c r="E466" s="219" t="s">
        <v>565</v>
      </c>
      <c r="F466" s="218" t="s">
        <v>622</v>
      </c>
      <c r="G466" s="218" t="s">
        <v>146</v>
      </c>
      <c r="H466" s="93" t="s">
        <v>623</v>
      </c>
      <c r="I466" s="220">
        <v>1</v>
      </c>
      <c r="J466" s="220">
        <v>9</v>
      </c>
      <c r="K466" s="52">
        <v>0</v>
      </c>
      <c r="L466" s="53">
        <v>100000000</v>
      </c>
      <c r="M466" s="218" t="s">
        <v>465</v>
      </c>
      <c r="N466" s="53" t="s">
        <v>90</v>
      </c>
      <c r="O466" s="219" t="s">
        <v>218</v>
      </c>
      <c r="P466" s="221" t="str">
        <f>IFERROR(VLOOKUP(C466,TD!$B$33:$F$37,2,0)," ")</f>
        <v>O230117</v>
      </c>
      <c r="Q466" s="221" t="str">
        <f>IFERROR(VLOOKUP(C466,TD!$B$33:$F$37,3,0)," ")</f>
        <v>4599</v>
      </c>
      <c r="R466" s="221">
        <f>IFERROR(VLOOKUP(C466,TD!$B$33:$F$37,4,0)," ")</f>
        <v>20240207</v>
      </c>
      <c r="S466" s="219" t="s">
        <v>185</v>
      </c>
      <c r="T466" s="221" t="str">
        <f>IFERROR(VLOOKUP(S466,TD!$J$34:$K$44,2,0)," ")</f>
        <v>Infraestructura física, mantenimiento y dotación (Sedes construidas, mantenidas reforzadas)</v>
      </c>
      <c r="U466" s="222" t="str">
        <f t="shared" si="30"/>
        <v>08-Infraestructura física, mantenimiento y dotación (Sedes construidas, mantenidas reforzadas)</v>
      </c>
      <c r="V466" s="219" t="s">
        <v>238</v>
      </c>
      <c r="W466" s="221" t="str">
        <f>IFERROR(VLOOKUP(V466,TD!$N$34:$O$46,2,0)," ")</f>
        <v>Sedes mantenidas</v>
      </c>
      <c r="X466" s="222" t="str">
        <f t="shared" si="31"/>
        <v>016_Sedes mantenidas</v>
      </c>
      <c r="Y466" s="222" t="str">
        <f t="shared" si="32"/>
        <v>08-Infraestructura física, mantenimiento y dotación (Sedes construidas, mantenidas reforzadas) 016_Sedes mantenidas</v>
      </c>
      <c r="Z466" s="221" t="str">
        <f t="shared" si="33"/>
        <v>O23011745992024020708016</v>
      </c>
      <c r="AA466" s="221" t="str">
        <f>IFERROR(VLOOKUP(Y466,TD!$K$47:$L$65,2,0)," ")</f>
        <v>PM/0131/0108/45990160207</v>
      </c>
      <c r="AB466" s="53" t="s">
        <v>147</v>
      </c>
      <c r="AC466" s="223" t="s">
        <v>204</v>
      </c>
    </row>
    <row r="467" spans="2:29" s="28" customFormat="1" ht="99" customHeight="1" x14ac:dyDescent="0.35">
      <c r="B467" s="77">
        <v>20250459</v>
      </c>
      <c r="C467" s="50" t="s">
        <v>209</v>
      </c>
      <c r="D467" s="218" t="s">
        <v>166</v>
      </c>
      <c r="E467" s="219" t="s">
        <v>565</v>
      </c>
      <c r="F467" s="218" t="s">
        <v>736</v>
      </c>
      <c r="G467" s="218" t="s">
        <v>155</v>
      </c>
      <c r="H467" s="93" t="s">
        <v>617</v>
      </c>
      <c r="I467" s="220">
        <v>2</v>
      </c>
      <c r="J467" s="220">
        <v>11</v>
      </c>
      <c r="K467" s="52">
        <v>0</v>
      </c>
      <c r="L467" s="53">
        <v>93075136</v>
      </c>
      <c r="M467" s="218" t="s">
        <v>465</v>
      </c>
      <c r="N467" s="53" t="s">
        <v>618</v>
      </c>
      <c r="O467" s="219" t="s">
        <v>227</v>
      </c>
      <c r="P467" s="221" t="str">
        <f>IFERROR(VLOOKUP(C467,TD!$B$33:$F$37,2,0)," ")</f>
        <v>O230117</v>
      </c>
      <c r="Q467" s="221" t="str">
        <f>IFERROR(VLOOKUP(C467,TD!$B$33:$F$37,3,0)," ")</f>
        <v>4503</v>
      </c>
      <c r="R467" s="221">
        <f>IFERROR(VLOOKUP(C467,TD!$B$33:$F$37,4,0)," ")</f>
        <v>20240255</v>
      </c>
      <c r="S467" s="219" t="s">
        <v>185</v>
      </c>
      <c r="T467" s="221" t="str">
        <f>IFERROR(VLOOKUP(S467,TD!$J$34:$K$44,2,0)," ")</f>
        <v>Infraestructura física, mantenimiento y dotación (Sedes construidas, mantenidas reforzadas)</v>
      </c>
      <c r="U467" s="222" t="str">
        <f t="shared" si="30"/>
        <v>08-Infraestructura física, mantenimiento y dotación (Sedes construidas, mantenidas reforzadas)</v>
      </c>
      <c r="V467" s="219" t="s">
        <v>236</v>
      </c>
      <c r="W467" s="221" t="str">
        <f>IFERROR(VLOOKUP(V467,TD!$N$34:$O$46,2,0)," ")</f>
        <v>Estaciones de bomberos adecuadas</v>
      </c>
      <c r="X467" s="222" t="str">
        <f t="shared" si="31"/>
        <v>014_Estaciones de bomberos adecuadas</v>
      </c>
      <c r="Y467" s="222" t="str">
        <f t="shared" si="32"/>
        <v>08-Infraestructura física, mantenimiento y dotación (Sedes construidas, mantenidas reforzadas) 014_Estaciones de bomberos adecuadas</v>
      </c>
      <c r="Z467" s="221" t="str">
        <f t="shared" si="33"/>
        <v>O23011745032024025508014</v>
      </c>
      <c r="AA467" s="221" t="str">
        <f>IFERROR(VLOOKUP(Y467,TD!$K$47:$L$65,2,0)," ")</f>
        <v>PM/0131/0108/45030140255</v>
      </c>
      <c r="AB467" s="53" t="s">
        <v>674</v>
      </c>
      <c r="AC467" s="223" t="s">
        <v>204</v>
      </c>
    </row>
    <row r="468" spans="2:29" s="28" customFormat="1" ht="99" customHeight="1" x14ac:dyDescent="0.35">
      <c r="B468" s="77">
        <v>20250460</v>
      </c>
      <c r="C468" s="50" t="s">
        <v>209</v>
      </c>
      <c r="D468" s="218" t="s">
        <v>166</v>
      </c>
      <c r="E468" s="219" t="s">
        <v>565</v>
      </c>
      <c r="F468" s="218" t="s">
        <v>737</v>
      </c>
      <c r="G468" s="218" t="s">
        <v>155</v>
      </c>
      <c r="H468" s="93" t="s">
        <v>617</v>
      </c>
      <c r="I468" s="220">
        <v>2</v>
      </c>
      <c r="J468" s="220">
        <v>11</v>
      </c>
      <c r="K468" s="52">
        <v>0</v>
      </c>
      <c r="L468" s="53">
        <v>99918896</v>
      </c>
      <c r="M468" s="218" t="s">
        <v>465</v>
      </c>
      <c r="N468" s="53" t="s">
        <v>618</v>
      </c>
      <c r="O468" s="219" t="s">
        <v>227</v>
      </c>
      <c r="P468" s="221" t="str">
        <f>IFERROR(VLOOKUP(C468,TD!$B$33:$F$37,2,0)," ")</f>
        <v>O230117</v>
      </c>
      <c r="Q468" s="221" t="str">
        <f>IFERROR(VLOOKUP(C468,TD!$B$33:$F$37,3,0)," ")</f>
        <v>4503</v>
      </c>
      <c r="R468" s="221">
        <f>IFERROR(VLOOKUP(C468,TD!$B$33:$F$37,4,0)," ")</f>
        <v>20240255</v>
      </c>
      <c r="S468" s="219" t="s">
        <v>185</v>
      </c>
      <c r="T468" s="221" t="str">
        <f>IFERROR(VLOOKUP(S468,TD!$J$34:$K$44,2,0)," ")</f>
        <v>Infraestructura física, mantenimiento y dotación (Sedes construidas, mantenidas reforzadas)</v>
      </c>
      <c r="U468" s="222" t="str">
        <f t="shared" si="30"/>
        <v>08-Infraestructura física, mantenimiento y dotación (Sedes construidas, mantenidas reforzadas)</v>
      </c>
      <c r="V468" s="219" t="s">
        <v>236</v>
      </c>
      <c r="W468" s="221" t="str">
        <f>IFERROR(VLOOKUP(V468,TD!$N$34:$O$46,2,0)," ")</f>
        <v>Estaciones de bomberos adecuadas</v>
      </c>
      <c r="X468" s="222" t="str">
        <f t="shared" si="31"/>
        <v>014_Estaciones de bomberos adecuadas</v>
      </c>
      <c r="Y468" s="222" t="str">
        <f t="shared" si="32"/>
        <v>08-Infraestructura física, mantenimiento y dotación (Sedes construidas, mantenidas reforzadas) 014_Estaciones de bomberos adecuadas</v>
      </c>
      <c r="Z468" s="221" t="str">
        <f t="shared" si="33"/>
        <v>O23011745032024025508014</v>
      </c>
      <c r="AA468" s="221" t="str">
        <f>IFERROR(VLOOKUP(Y468,TD!$K$47:$L$65,2,0)," ")</f>
        <v>PM/0131/0108/45030140255</v>
      </c>
      <c r="AB468" s="53" t="s">
        <v>674</v>
      </c>
      <c r="AC468" s="223" t="s">
        <v>204</v>
      </c>
    </row>
    <row r="469" spans="2:29" s="28" customFormat="1" ht="99" customHeight="1" x14ac:dyDescent="0.35">
      <c r="B469" s="77">
        <v>20250461</v>
      </c>
      <c r="C469" s="50" t="s">
        <v>209</v>
      </c>
      <c r="D469" s="218" t="s">
        <v>166</v>
      </c>
      <c r="E469" s="219" t="s">
        <v>565</v>
      </c>
      <c r="F469" s="218" t="s">
        <v>737</v>
      </c>
      <c r="G469" s="218" t="s">
        <v>155</v>
      </c>
      <c r="H469" s="93" t="s">
        <v>617</v>
      </c>
      <c r="I469" s="220">
        <v>2</v>
      </c>
      <c r="J469" s="220">
        <v>11</v>
      </c>
      <c r="K469" s="52">
        <v>0</v>
      </c>
      <c r="L469" s="53">
        <v>93075136</v>
      </c>
      <c r="M469" s="218" t="s">
        <v>465</v>
      </c>
      <c r="N469" s="53" t="s">
        <v>618</v>
      </c>
      <c r="O469" s="219" t="s">
        <v>227</v>
      </c>
      <c r="P469" s="221" t="str">
        <f>IFERROR(VLOOKUP(C469,TD!$B$33:$F$37,2,0)," ")</f>
        <v>O230117</v>
      </c>
      <c r="Q469" s="221" t="str">
        <f>IFERROR(VLOOKUP(C469,TD!$B$33:$F$37,3,0)," ")</f>
        <v>4503</v>
      </c>
      <c r="R469" s="221">
        <f>IFERROR(VLOOKUP(C469,TD!$B$33:$F$37,4,0)," ")</f>
        <v>20240255</v>
      </c>
      <c r="S469" s="219" t="s">
        <v>185</v>
      </c>
      <c r="T469" s="221" t="str">
        <f>IFERROR(VLOOKUP(S469,TD!$J$34:$K$44,2,0)," ")</f>
        <v>Infraestructura física, mantenimiento y dotación (Sedes construidas, mantenidas reforzadas)</v>
      </c>
      <c r="U469" s="222" t="str">
        <f t="shared" si="30"/>
        <v>08-Infraestructura física, mantenimiento y dotación (Sedes construidas, mantenidas reforzadas)</v>
      </c>
      <c r="V469" s="219" t="s">
        <v>236</v>
      </c>
      <c r="W469" s="221" t="str">
        <f>IFERROR(VLOOKUP(V469,TD!$N$34:$O$46,2,0)," ")</f>
        <v>Estaciones de bomberos adecuadas</v>
      </c>
      <c r="X469" s="222" t="str">
        <f t="shared" si="31"/>
        <v>014_Estaciones de bomberos adecuadas</v>
      </c>
      <c r="Y469" s="222" t="str">
        <f t="shared" si="32"/>
        <v>08-Infraestructura física, mantenimiento y dotación (Sedes construidas, mantenidas reforzadas) 014_Estaciones de bomberos adecuadas</v>
      </c>
      <c r="Z469" s="221" t="str">
        <f t="shared" si="33"/>
        <v>O23011745032024025508014</v>
      </c>
      <c r="AA469" s="221" t="str">
        <f>IFERROR(VLOOKUP(Y469,TD!$K$47:$L$65,2,0)," ")</f>
        <v>PM/0131/0108/45030140255</v>
      </c>
      <c r="AB469" s="53" t="s">
        <v>138</v>
      </c>
      <c r="AC469" s="223" t="s">
        <v>204</v>
      </c>
    </row>
    <row r="470" spans="2:29" s="28" customFormat="1" ht="99" customHeight="1" x14ac:dyDescent="0.35">
      <c r="B470" s="130">
        <v>20250462</v>
      </c>
      <c r="C470" s="132" t="s">
        <v>208</v>
      </c>
      <c r="D470" s="224" t="s">
        <v>166</v>
      </c>
      <c r="E470" s="225" t="s">
        <v>565</v>
      </c>
      <c r="F470" s="224" t="s">
        <v>579</v>
      </c>
      <c r="G470" s="224" t="s">
        <v>155</v>
      </c>
      <c r="H470" s="133" t="s">
        <v>617</v>
      </c>
      <c r="I470" s="226">
        <v>2</v>
      </c>
      <c r="J470" s="226">
        <v>11</v>
      </c>
      <c r="K470" s="129">
        <v>0</v>
      </c>
      <c r="L470" s="128">
        <v>66356829</v>
      </c>
      <c r="M470" s="224" t="s">
        <v>465</v>
      </c>
      <c r="N470" s="128" t="s">
        <v>618</v>
      </c>
      <c r="O470" s="225" t="s">
        <v>218</v>
      </c>
      <c r="P470" s="227" t="str">
        <f>IFERROR(VLOOKUP(C470,TD!$B$33:$F$37,2,0)," ")</f>
        <v>O230117</v>
      </c>
      <c r="Q470" s="227" t="str">
        <f>IFERROR(VLOOKUP(C470,TD!$B$33:$F$37,3,0)," ")</f>
        <v>4599</v>
      </c>
      <c r="R470" s="227">
        <f>IFERROR(VLOOKUP(C470,TD!$B$33:$F$37,4,0)," ")</f>
        <v>20240207</v>
      </c>
      <c r="S470" s="225" t="s">
        <v>185</v>
      </c>
      <c r="T470" s="227" t="str">
        <f>IFERROR(VLOOKUP(S470,TD!$J$34:$K$44,2,0)," ")</f>
        <v>Infraestructura física, mantenimiento y dotación (Sedes construidas, mantenidas reforzadas)</v>
      </c>
      <c r="U470" s="222" t="str">
        <f t="shared" si="30"/>
        <v>08-Infraestructura física, mantenimiento y dotación (Sedes construidas, mantenidas reforzadas)</v>
      </c>
      <c r="V470" s="225" t="s">
        <v>238</v>
      </c>
      <c r="W470" s="227" t="str">
        <f>IFERROR(VLOOKUP(V470,TD!$N$34:$O$46,2,0)," ")</f>
        <v>Sedes mantenidas</v>
      </c>
      <c r="X470" s="222" t="str">
        <f t="shared" si="31"/>
        <v>016_Sedes mantenidas</v>
      </c>
      <c r="Y470" s="222" t="str">
        <f t="shared" si="32"/>
        <v>08-Infraestructura física, mantenimiento y dotación (Sedes construidas, mantenidas reforzadas) 016_Sedes mantenidas</v>
      </c>
      <c r="Z470" s="227" t="str">
        <f t="shared" si="33"/>
        <v>O23011745992024020708016</v>
      </c>
      <c r="AA470" s="227" t="str">
        <f>IFERROR(VLOOKUP(Y470,TD!$K$47:$L$65,2,0)," ")</f>
        <v>PM/0131/0108/45990160207</v>
      </c>
      <c r="AB470" s="128" t="s">
        <v>138</v>
      </c>
      <c r="AC470" s="228" t="s">
        <v>204</v>
      </c>
    </row>
    <row r="471" spans="2:29" s="28" customFormat="1" ht="99" customHeight="1" x14ac:dyDescent="0.35">
      <c r="B471" s="130">
        <v>20250463</v>
      </c>
      <c r="C471" s="132" t="s">
        <v>208</v>
      </c>
      <c r="D471" s="224" t="s">
        <v>166</v>
      </c>
      <c r="E471" s="225" t="s">
        <v>565</v>
      </c>
      <c r="F471" s="224" t="s">
        <v>625</v>
      </c>
      <c r="G471" s="224" t="s">
        <v>155</v>
      </c>
      <c r="H471" s="133" t="s">
        <v>617</v>
      </c>
      <c r="I471" s="226">
        <v>2</v>
      </c>
      <c r="J471" s="226">
        <v>11</v>
      </c>
      <c r="K471" s="129">
        <v>0</v>
      </c>
      <c r="L471" s="128">
        <v>81000000</v>
      </c>
      <c r="M471" s="224" t="s">
        <v>465</v>
      </c>
      <c r="N471" s="128" t="s">
        <v>618</v>
      </c>
      <c r="O471" s="225" t="s">
        <v>218</v>
      </c>
      <c r="P471" s="227" t="str">
        <f>IFERROR(VLOOKUP(C471,TD!$B$33:$F$37,2,0)," ")</f>
        <v>O230117</v>
      </c>
      <c r="Q471" s="227" t="str">
        <f>IFERROR(VLOOKUP(C471,TD!$B$33:$F$37,3,0)," ")</f>
        <v>4599</v>
      </c>
      <c r="R471" s="227">
        <f>IFERROR(VLOOKUP(C471,TD!$B$33:$F$37,4,0)," ")</f>
        <v>20240207</v>
      </c>
      <c r="S471" s="225" t="s">
        <v>185</v>
      </c>
      <c r="T471" s="227" t="str">
        <f>IFERROR(VLOOKUP(S471,TD!$J$34:$K$44,2,0)," ")</f>
        <v>Infraestructura física, mantenimiento y dotación (Sedes construidas, mantenidas reforzadas)</v>
      </c>
      <c r="U471" s="222" t="str">
        <f t="shared" si="30"/>
        <v>08-Infraestructura física, mantenimiento y dotación (Sedes construidas, mantenidas reforzadas)</v>
      </c>
      <c r="V471" s="225" t="s">
        <v>238</v>
      </c>
      <c r="W471" s="227" t="str">
        <f>IFERROR(VLOOKUP(V471,TD!$N$34:$O$46,2,0)," ")</f>
        <v>Sedes mantenidas</v>
      </c>
      <c r="X471" s="222" t="str">
        <f t="shared" si="31"/>
        <v>016_Sedes mantenidas</v>
      </c>
      <c r="Y471" s="222" t="str">
        <f t="shared" si="32"/>
        <v>08-Infraestructura física, mantenimiento y dotación (Sedes construidas, mantenidas reforzadas) 016_Sedes mantenidas</v>
      </c>
      <c r="Z471" s="227" t="str">
        <f t="shared" si="33"/>
        <v>O23011745992024020708016</v>
      </c>
      <c r="AA471" s="227" t="str">
        <f>IFERROR(VLOOKUP(Y471,TD!$K$47:$L$65,2,0)," ")</f>
        <v>PM/0131/0108/45990160207</v>
      </c>
      <c r="AB471" s="128" t="s">
        <v>138</v>
      </c>
      <c r="AC471" s="228" t="s">
        <v>204</v>
      </c>
    </row>
    <row r="472" spans="2:29" s="28" customFormat="1" ht="99" customHeight="1" x14ac:dyDescent="0.35">
      <c r="B472" s="130">
        <v>20250464</v>
      </c>
      <c r="C472" s="132" t="s">
        <v>208</v>
      </c>
      <c r="D472" s="224" t="s">
        <v>166</v>
      </c>
      <c r="E472" s="225" t="s">
        <v>565</v>
      </c>
      <c r="F472" s="224" t="s">
        <v>580</v>
      </c>
      <c r="G472" s="224" t="s">
        <v>155</v>
      </c>
      <c r="H472" s="133" t="s">
        <v>617</v>
      </c>
      <c r="I472" s="226">
        <v>2</v>
      </c>
      <c r="J472" s="226">
        <v>11</v>
      </c>
      <c r="K472" s="129">
        <v>0</v>
      </c>
      <c r="L472" s="128">
        <v>83482560</v>
      </c>
      <c r="M472" s="224" t="s">
        <v>465</v>
      </c>
      <c r="N472" s="128" t="s">
        <v>618</v>
      </c>
      <c r="O472" s="225" t="s">
        <v>218</v>
      </c>
      <c r="P472" s="227" t="str">
        <f>IFERROR(VLOOKUP(C472,TD!$B$33:$F$37,2,0)," ")</f>
        <v>O230117</v>
      </c>
      <c r="Q472" s="227" t="str">
        <f>IFERROR(VLOOKUP(C472,TD!$B$33:$F$37,3,0)," ")</f>
        <v>4599</v>
      </c>
      <c r="R472" s="227">
        <f>IFERROR(VLOOKUP(C472,TD!$B$33:$F$37,4,0)," ")</f>
        <v>20240207</v>
      </c>
      <c r="S472" s="225" t="s">
        <v>185</v>
      </c>
      <c r="T472" s="227" t="str">
        <f>IFERROR(VLOOKUP(S472,TD!$J$34:$K$44,2,0)," ")</f>
        <v>Infraestructura física, mantenimiento y dotación (Sedes construidas, mantenidas reforzadas)</v>
      </c>
      <c r="U472" s="222" t="str">
        <f t="shared" si="30"/>
        <v>08-Infraestructura física, mantenimiento y dotación (Sedes construidas, mantenidas reforzadas)</v>
      </c>
      <c r="V472" s="225" t="s">
        <v>238</v>
      </c>
      <c r="W472" s="227" t="str">
        <f>IFERROR(VLOOKUP(V472,TD!$N$34:$O$46,2,0)," ")</f>
        <v>Sedes mantenidas</v>
      </c>
      <c r="X472" s="222" t="str">
        <f t="shared" si="31"/>
        <v>016_Sedes mantenidas</v>
      </c>
      <c r="Y472" s="222" t="str">
        <f t="shared" si="32"/>
        <v>08-Infraestructura física, mantenimiento y dotación (Sedes construidas, mantenidas reforzadas) 016_Sedes mantenidas</v>
      </c>
      <c r="Z472" s="227" t="str">
        <f t="shared" si="33"/>
        <v>O23011745992024020708016</v>
      </c>
      <c r="AA472" s="227" t="str">
        <f>IFERROR(VLOOKUP(Y472,TD!$K$47:$L$65,2,0)," ")</f>
        <v>PM/0131/0108/45990160207</v>
      </c>
      <c r="AB472" s="128" t="s">
        <v>138</v>
      </c>
      <c r="AC472" s="228" t="s">
        <v>204</v>
      </c>
    </row>
    <row r="473" spans="2:29" s="28" customFormat="1" ht="99" customHeight="1" x14ac:dyDescent="0.35">
      <c r="B473" s="77">
        <v>20250465</v>
      </c>
      <c r="C473" s="50" t="s">
        <v>209</v>
      </c>
      <c r="D473" s="218" t="s">
        <v>166</v>
      </c>
      <c r="E473" s="219" t="s">
        <v>565</v>
      </c>
      <c r="F473" s="218" t="s">
        <v>730</v>
      </c>
      <c r="G473" s="218" t="s">
        <v>155</v>
      </c>
      <c r="H473" s="93" t="s">
        <v>617</v>
      </c>
      <c r="I473" s="220">
        <v>2</v>
      </c>
      <c r="J473" s="220">
        <v>11</v>
      </c>
      <c r="K473" s="52">
        <v>0</v>
      </c>
      <c r="L473" s="53">
        <v>72600000</v>
      </c>
      <c r="M473" s="218" t="s">
        <v>465</v>
      </c>
      <c r="N473" s="53" t="s">
        <v>618</v>
      </c>
      <c r="O473" s="219" t="s">
        <v>227</v>
      </c>
      <c r="P473" s="221" t="str">
        <f>IFERROR(VLOOKUP(C473,TD!$B$33:$F$37,2,0)," ")</f>
        <v>O230117</v>
      </c>
      <c r="Q473" s="221" t="str">
        <f>IFERROR(VLOOKUP(C473,TD!$B$33:$F$37,3,0)," ")</f>
        <v>4503</v>
      </c>
      <c r="R473" s="221">
        <f>IFERROR(VLOOKUP(C473,TD!$B$33:$F$37,4,0)," ")</f>
        <v>20240255</v>
      </c>
      <c r="S473" s="219" t="s">
        <v>185</v>
      </c>
      <c r="T473" s="221" t="str">
        <f>IFERROR(VLOOKUP(S473,TD!$J$34:$K$44,2,0)," ")</f>
        <v>Infraestructura física, mantenimiento y dotación (Sedes construidas, mantenidas reforzadas)</v>
      </c>
      <c r="U473" s="222" t="str">
        <f t="shared" si="30"/>
        <v>08-Infraestructura física, mantenimiento y dotación (Sedes construidas, mantenidas reforzadas)</v>
      </c>
      <c r="V473" s="219" t="s">
        <v>236</v>
      </c>
      <c r="W473" s="221" t="str">
        <f>IFERROR(VLOOKUP(V473,TD!$N$34:$O$46,2,0)," ")</f>
        <v>Estaciones de bomberos adecuadas</v>
      </c>
      <c r="X473" s="222" t="str">
        <f t="shared" si="31"/>
        <v>014_Estaciones de bomberos adecuadas</v>
      </c>
      <c r="Y473" s="222" t="str">
        <f t="shared" si="32"/>
        <v>08-Infraestructura física, mantenimiento y dotación (Sedes construidas, mantenidas reforzadas) 014_Estaciones de bomberos adecuadas</v>
      </c>
      <c r="Z473" s="221" t="str">
        <f t="shared" si="33"/>
        <v>O23011745032024025508014</v>
      </c>
      <c r="AA473" s="221" t="str">
        <f>IFERROR(VLOOKUP(Y473,TD!$K$47:$L$65,2,0)," ")</f>
        <v>PM/0131/0108/45030140255</v>
      </c>
      <c r="AB473" s="53" t="s">
        <v>120</v>
      </c>
      <c r="AC473" s="223" t="s">
        <v>204</v>
      </c>
    </row>
    <row r="474" spans="2:29" s="28" customFormat="1" ht="99" customHeight="1" x14ac:dyDescent="0.35">
      <c r="B474" s="130">
        <v>20250466</v>
      </c>
      <c r="C474" s="132" t="s">
        <v>208</v>
      </c>
      <c r="D474" s="224" t="s">
        <v>166</v>
      </c>
      <c r="E474" s="225" t="s">
        <v>565</v>
      </c>
      <c r="F474" s="224" t="s">
        <v>581</v>
      </c>
      <c r="G474" s="224" t="s">
        <v>155</v>
      </c>
      <c r="H474" s="133" t="s">
        <v>617</v>
      </c>
      <c r="I474" s="226">
        <v>2</v>
      </c>
      <c r="J474" s="226">
        <v>11</v>
      </c>
      <c r="K474" s="129">
        <v>0</v>
      </c>
      <c r="L474" s="128">
        <v>61530876</v>
      </c>
      <c r="M474" s="224" t="s">
        <v>465</v>
      </c>
      <c r="N474" s="128" t="s">
        <v>618</v>
      </c>
      <c r="O474" s="225" t="s">
        <v>218</v>
      </c>
      <c r="P474" s="227" t="str">
        <f>IFERROR(VLOOKUP(C474,TD!$B$33:$F$37,2,0)," ")</f>
        <v>O230117</v>
      </c>
      <c r="Q474" s="227" t="str">
        <f>IFERROR(VLOOKUP(C474,TD!$B$33:$F$37,3,0)," ")</f>
        <v>4599</v>
      </c>
      <c r="R474" s="227">
        <f>IFERROR(VLOOKUP(C474,TD!$B$33:$F$37,4,0)," ")</f>
        <v>20240207</v>
      </c>
      <c r="S474" s="225" t="s">
        <v>185</v>
      </c>
      <c r="T474" s="227" t="str">
        <f>IFERROR(VLOOKUP(S474,TD!$J$34:$K$44,2,0)," ")</f>
        <v>Infraestructura física, mantenimiento y dotación (Sedes construidas, mantenidas reforzadas)</v>
      </c>
      <c r="U474" s="222" t="str">
        <f t="shared" si="30"/>
        <v>08-Infraestructura física, mantenimiento y dotación (Sedes construidas, mantenidas reforzadas)</v>
      </c>
      <c r="V474" s="225" t="s">
        <v>238</v>
      </c>
      <c r="W474" s="227" t="str">
        <f>IFERROR(VLOOKUP(V474,TD!$N$34:$O$46,2,0)," ")</f>
        <v>Sedes mantenidas</v>
      </c>
      <c r="X474" s="222" t="str">
        <f t="shared" si="31"/>
        <v>016_Sedes mantenidas</v>
      </c>
      <c r="Y474" s="222" t="str">
        <f t="shared" si="32"/>
        <v>08-Infraestructura física, mantenimiento y dotación (Sedes construidas, mantenidas reforzadas) 016_Sedes mantenidas</v>
      </c>
      <c r="Z474" s="227" t="str">
        <f t="shared" si="33"/>
        <v>O23011745992024020708016</v>
      </c>
      <c r="AA474" s="227" t="str">
        <f>IFERROR(VLOOKUP(Y474,TD!$K$47:$L$65,2,0)," ")</f>
        <v>PM/0131/0108/45990160207</v>
      </c>
      <c r="AB474" s="128" t="s">
        <v>138</v>
      </c>
      <c r="AC474" s="228" t="s">
        <v>204</v>
      </c>
    </row>
    <row r="475" spans="2:29" s="28" customFormat="1" ht="99" customHeight="1" x14ac:dyDescent="0.35">
      <c r="B475" s="77">
        <v>20250468</v>
      </c>
      <c r="C475" s="50" t="s">
        <v>208</v>
      </c>
      <c r="D475" s="218" t="s">
        <v>166</v>
      </c>
      <c r="E475" s="219" t="s">
        <v>565</v>
      </c>
      <c r="F475" s="218" t="s">
        <v>596</v>
      </c>
      <c r="G475" s="218" t="s">
        <v>155</v>
      </c>
      <c r="H475" s="93" t="s">
        <v>617</v>
      </c>
      <c r="I475" s="220">
        <v>2</v>
      </c>
      <c r="J475" s="220">
        <v>11</v>
      </c>
      <c r="K475" s="52">
        <v>0</v>
      </c>
      <c r="L475" s="53">
        <v>75281360</v>
      </c>
      <c r="M475" s="218" t="s">
        <v>465</v>
      </c>
      <c r="N475" s="53" t="s">
        <v>618</v>
      </c>
      <c r="O475" s="219" t="s">
        <v>218</v>
      </c>
      <c r="P475" s="221" t="str">
        <f>IFERROR(VLOOKUP(C475,TD!$B$33:$F$37,2,0)," ")</f>
        <v>O230117</v>
      </c>
      <c r="Q475" s="221" t="str">
        <f>IFERROR(VLOOKUP(C475,TD!$B$33:$F$37,3,0)," ")</f>
        <v>4599</v>
      </c>
      <c r="R475" s="221">
        <f>IFERROR(VLOOKUP(C475,TD!$B$33:$F$37,4,0)," ")</f>
        <v>20240207</v>
      </c>
      <c r="S475" s="219" t="s">
        <v>185</v>
      </c>
      <c r="T475" s="221" t="str">
        <f>IFERROR(VLOOKUP(S475,TD!$J$34:$K$44,2,0)," ")</f>
        <v>Infraestructura física, mantenimiento y dotación (Sedes construidas, mantenidas reforzadas)</v>
      </c>
      <c r="U475" s="222" t="str">
        <f t="shared" si="30"/>
        <v>08-Infraestructura física, mantenimiento y dotación (Sedes construidas, mantenidas reforzadas)</v>
      </c>
      <c r="V475" s="219" t="s">
        <v>238</v>
      </c>
      <c r="W475" s="221" t="str">
        <f>IFERROR(VLOOKUP(V475,TD!$N$34:$O$46,2,0)," ")</f>
        <v>Sedes mantenidas</v>
      </c>
      <c r="X475" s="222" t="str">
        <f t="shared" si="31"/>
        <v>016_Sedes mantenidas</v>
      </c>
      <c r="Y475" s="222" t="str">
        <f t="shared" si="32"/>
        <v>08-Infraestructura física, mantenimiento y dotación (Sedes construidas, mantenidas reforzadas) 016_Sedes mantenidas</v>
      </c>
      <c r="Z475" s="221" t="str">
        <f t="shared" si="33"/>
        <v>O23011745992024020708016</v>
      </c>
      <c r="AA475" s="221" t="str">
        <f>IFERROR(VLOOKUP(Y475,TD!$K$47:$L$65,2,0)," ")</f>
        <v>PM/0131/0108/45990160207</v>
      </c>
      <c r="AB475" s="53" t="s">
        <v>138</v>
      </c>
      <c r="AC475" s="223" t="s">
        <v>204</v>
      </c>
    </row>
    <row r="476" spans="2:29" s="28" customFormat="1" ht="99" customHeight="1" x14ac:dyDescent="0.35">
      <c r="B476" s="77">
        <v>20250469</v>
      </c>
      <c r="C476" s="50" t="s">
        <v>208</v>
      </c>
      <c r="D476" s="218" t="s">
        <v>166</v>
      </c>
      <c r="E476" s="219" t="s">
        <v>565</v>
      </c>
      <c r="F476" s="218" t="s">
        <v>738</v>
      </c>
      <c r="G476" s="218" t="s">
        <v>155</v>
      </c>
      <c r="H476" s="93" t="s">
        <v>617</v>
      </c>
      <c r="I476" s="220">
        <v>2</v>
      </c>
      <c r="J476" s="220">
        <v>11</v>
      </c>
      <c r="K476" s="52">
        <v>0</v>
      </c>
      <c r="L476" s="53">
        <v>112237664</v>
      </c>
      <c r="M476" s="218" t="s">
        <v>465</v>
      </c>
      <c r="N476" s="53" t="s">
        <v>618</v>
      </c>
      <c r="O476" s="219" t="s">
        <v>218</v>
      </c>
      <c r="P476" s="221" t="str">
        <f>IFERROR(VLOOKUP(C476,TD!$B$33:$F$37,2,0)," ")</f>
        <v>O230117</v>
      </c>
      <c r="Q476" s="221" t="str">
        <f>IFERROR(VLOOKUP(C476,TD!$B$33:$F$37,3,0)," ")</f>
        <v>4599</v>
      </c>
      <c r="R476" s="221">
        <f>IFERROR(VLOOKUP(C476,TD!$B$33:$F$37,4,0)," ")</f>
        <v>20240207</v>
      </c>
      <c r="S476" s="219" t="s">
        <v>185</v>
      </c>
      <c r="T476" s="221" t="str">
        <f>IFERROR(VLOOKUP(S476,TD!$J$34:$K$44,2,0)," ")</f>
        <v>Infraestructura física, mantenimiento y dotación (Sedes construidas, mantenidas reforzadas)</v>
      </c>
      <c r="U476" s="222" t="str">
        <f t="shared" si="30"/>
        <v>08-Infraestructura física, mantenimiento y dotación (Sedes construidas, mantenidas reforzadas)</v>
      </c>
      <c r="V476" s="219" t="s">
        <v>238</v>
      </c>
      <c r="W476" s="221" t="str">
        <f>IFERROR(VLOOKUP(V476,TD!$N$34:$O$46,2,0)," ")</f>
        <v>Sedes mantenidas</v>
      </c>
      <c r="X476" s="222" t="str">
        <f t="shared" si="31"/>
        <v>016_Sedes mantenidas</v>
      </c>
      <c r="Y476" s="222" t="str">
        <f t="shared" si="32"/>
        <v>08-Infraestructura física, mantenimiento y dotación (Sedes construidas, mantenidas reforzadas) 016_Sedes mantenidas</v>
      </c>
      <c r="Z476" s="221" t="str">
        <f t="shared" si="33"/>
        <v>O23011745992024020708016</v>
      </c>
      <c r="AA476" s="221" t="str">
        <f>IFERROR(VLOOKUP(Y476,TD!$K$47:$L$65,2,0)," ")</f>
        <v>PM/0131/0108/45990160207</v>
      </c>
      <c r="AB476" s="53" t="s">
        <v>120</v>
      </c>
      <c r="AC476" s="223" t="s">
        <v>204</v>
      </c>
    </row>
    <row r="477" spans="2:29" s="28" customFormat="1" ht="99" customHeight="1" x14ac:dyDescent="0.35">
      <c r="B477" s="77">
        <v>20250470</v>
      </c>
      <c r="C477" s="50" t="s">
        <v>208</v>
      </c>
      <c r="D477" s="218" t="s">
        <v>166</v>
      </c>
      <c r="E477" s="219" t="s">
        <v>565</v>
      </c>
      <c r="F477" s="218" t="s">
        <v>624</v>
      </c>
      <c r="G477" s="218" t="s">
        <v>155</v>
      </c>
      <c r="H477" s="93" t="s">
        <v>617</v>
      </c>
      <c r="I477" s="220">
        <v>2</v>
      </c>
      <c r="J477" s="220">
        <v>11</v>
      </c>
      <c r="K477" s="52">
        <v>0</v>
      </c>
      <c r="L477" s="53">
        <v>84700000</v>
      </c>
      <c r="M477" s="218" t="s">
        <v>465</v>
      </c>
      <c r="N477" s="53" t="s">
        <v>618</v>
      </c>
      <c r="O477" s="219" t="s">
        <v>218</v>
      </c>
      <c r="P477" s="221" t="str">
        <f>IFERROR(VLOOKUP(C477,TD!$B$33:$F$37,2,0)," ")</f>
        <v>O230117</v>
      </c>
      <c r="Q477" s="221" t="str">
        <f>IFERROR(VLOOKUP(C477,TD!$B$33:$F$37,3,0)," ")</f>
        <v>4599</v>
      </c>
      <c r="R477" s="221">
        <f>IFERROR(VLOOKUP(C477,TD!$B$33:$F$37,4,0)," ")</f>
        <v>20240207</v>
      </c>
      <c r="S477" s="219" t="s">
        <v>185</v>
      </c>
      <c r="T477" s="221" t="str">
        <f>IFERROR(VLOOKUP(S477,TD!$J$34:$K$44,2,0)," ")</f>
        <v>Infraestructura física, mantenimiento y dotación (Sedes construidas, mantenidas reforzadas)</v>
      </c>
      <c r="U477" s="222" t="str">
        <f t="shared" si="30"/>
        <v>08-Infraestructura física, mantenimiento y dotación (Sedes construidas, mantenidas reforzadas)</v>
      </c>
      <c r="V477" s="219" t="s">
        <v>238</v>
      </c>
      <c r="W477" s="221" t="str">
        <f>IFERROR(VLOOKUP(V477,TD!$N$34:$O$46,2,0)," ")</f>
        <v>Sedes mantenidas</v>
      </c>
      <c r="X477" s="222" t="str">
        <f t="shared" si="31"/>
        <v>016_Sedes mantenidas</v>
      </c>
      <c r="Y477" s="222" t="str">
        <f t="shared" si="32"/>
        <v>08-Infraestructura física, mantenimiento y dotación (Sedes construidas, mantenidas reforzadas) 016_Sedes mantenidas</v>
      </c>
      <c r="Z477" s="221" t="str">
        <f t="shared" si="33"/>
        <v>O23011745992024020708016</v>
      </c>
      <c r="AA477" s="221" t="str">
        <f>IFERROR(VLOOKUP(Y477,TD!$K$47:$L$65,2,0)," ")</f>
        <v>PM/0131/0108/45990160207</v>
      </c>
      <c r="AB477" s="53" t="s">
        <v>138</v>
      </c>
      <c r="AC477" s="223" t="s">
        <v>204</v>
      </c>
    </row>
    <row r="478" spans="2:29" s="28" customFormat="1" ht="99" customHeight="1" x14ac:dyDescent="0.35">
      <c r="B478" s="77">
        <v>20250471</v>
      </c>
      <c r="C478" s="50" t="s">
        <v>208</v>
      </c>
      <c r="D478" s="218" t="s">
        <v>166</v>
      </c>
      <c r="E478" s="219" t="s">
        <v>565</v>
      </c>
      <c r="F478" s="218" t="s">
        <v>584</v>
      </c>
      <c r="G478" s="218" t="s">
        <v>155</v>
      </c>
      <c r="H478" s="93" t="s">
        <v>617</v>
      </c>
      <c r="I478" s="220">
        <v>2</v>
      </c>
      <c r="J478" s="220">
        <v>11</v>
      </c>
      <c r="K478" s="52">
        <v>0</v>
      </c>
      <c r="L478" s="53">
        <v>58261500</v>
      </c>
      <c r="M478" s="218" t="s">
        <v>465</v>
      </c>
      <c r="N478" s="53" t="s">
        <v>618</v>
      </c>
      <c r="O478" s="219" t="s">
        <v>218</v>
      </c>
      <c r="P478" s="221" t="str">
        <f>IFERROR(VLOOKUP(C478,TD!$B$33:$F$37,2,0)," ")</f>
        <v>O230117</v>
      </c>
      <c r="Q478" s="221" t="str">
        <f>IFERROR(VLOOKUP(C478,TD!$B$33:$F$37,3,0)," ")</f>
        <v>4599</v>
      </c>
      <c r="R478" s="221">
        <f>IFERROR(VLOOKUP(C478,TD!$B$33:$F$37,4,0)," ")</f>
        <v>20240207</v>
      </c>
      <c r="S478" s="219" t="s">
        <v>185</v>
      </c>
      <c r="T478" s="221" t="str">
        <f>IFERROR(VLOOKUP(S478,TD!$J$34:$K$44,2,0)," ")</f>
        <v>Infraestructura física, mantenimiento y dotación (Sedes construidas, mantenidas reforzadas)</v>
      </c>
      <c r="U478" s="222" t="str">
        <f t="shared" si="30"/>
        <v>08-Infraestructura física, mantenimiento y dotación (Sedes construidas, mantenidas reforzadas)</v>
      </c>
      <c r="V478" s="219" t="s">
        <v>238</v>
      </c>
      <c r="W478" s="221" t="str">
        <f>IFERROR(VLOOKUP(V478,TD!$N$34:$O$46,2,0)," ")</f>
        <v>Sedes mantenidas</v>
      </c>
      <c r="X478" s="222" t="str">
        <f t="shared" si="31"/>
        <v>016_Sedes mantenidas</v>
      </c>
      <c r="Y478" s="222" t="str">
        <f t="shared" si="32"/>
        <v>08-Infraestructura física, mantenimiento y dotación (Sedes construidas, mantenidas reforzadas) 016_Sedes mantenidas</v>
      </c>
      <c r="Z478" s="221" t="str">
        <f t="shared" si="33"/>
        <v>O23011745992024020708016</v>
      </c>
      <c r="AA478" s="221" t="str">
        <f>IFERROR(VLOOKUP(Y478,TD!$K$47:$L$65,2,0)," ")</f>
        <v>PM/0131/0108/45990160207</v>
      </c>
      <c r="AB478" s="53" t="s">
        <v>138</v>
      </c>
      <c r="AC478" s="223" t="s">
        <v>204</v>
      </c>
    </row>
    <row r="479" spans="2:29" s="28" customFormat="1" ht="99" customHeight="1" x14ac:dyDescent="0.35">
      <c r="B479" s="77">
        <v>20250472</v>
      </c>
      <c r="C479" s="50" t="s">
        <v>208</v>
      </c>
      <c r="D479" s="218" t="s">
        <v>166</v>
      </c>
      <c r="E479" s="219" t="s">
        <v>565</v>
      </c>
      <c r="F479" s="218" t="s">
        <v>574</v>
      </c>
      <c r="G479" s="218" t="s">
        <v>156</v>
      </c>
      <c r="H479" s="93" t="s">
        <v>617</v>
      </c>
      <c r="I479" s="220">
        <v>2</v>
      </c>
      <c r="J479" s="220">
        <v>11</v>
      </c>
      <c r="K479" s="52">
        <v>0</v>
      </c>
      <c r="L479" s="53">
        <v>38325056</v>
      </c>
      <c r="M479" s="218" t="s">
        <v>465</v>
      </c>
      <c r="N479" s="53" t="s">
        <v>618</v>
      </c>
      <c r="O479" s="219" t="s">
        <v>218</v>
      </c>
      <c r="P479" s="221" t="str">
        <f>IFERROR(VLOOKUP(C479,TD!$B$33:$F$37,2,0)," ")</f>
        <v>O230117</v>
      </c>
      <c r="Q479" s="221" t="str">
        <f>IFERROR(VLOOKUP(C479,TD!$B$33:$F$37,3,0)," ")</f>
        <v>4599</v>
      </c>
      <c r="R479" s="221">
        <f>IFERROR(VLOOKUP(C479,TD!$B$33:$F$37,4,0)," ")</f>
        <v>20240207</v>
      </c>
      <c r="S479" s="219" t="s">
        <v>185</v>
      </c>
      <c r="T479" s="221" t="str">
        <f>IFERROR(VLOOKUP(S479,TD!$J$34:$K$44,2,0)," ")</f>
        <v>Infraestructura física, mantenimiento y dotación (Sedes construidas, mantenidas reforzadas)</v>
      </c>
      <c r="U479" s="222" t="str">
        <f t="shared" si="30"/>
        <v>08-Infraestructura física, mantenimiento y dotación (Sedes construidas, mantenidas reforzadas)</v>
      </c>
      <c r="V479" s="219" t="s">
        <v>238</v>
      </c>
      <c r="W479" s="221" t="str">
        <f>IFERROR(VLOOKUP(V479,TD!$N$34:$O$46,2,0)," ")</f>
        <v>Sedes mantenidas</v>
      </c>
      <c r="X479" s="222" t="str">
        <f t="shared" si="31"/>
        <v>016_Sedes mantenidas</v>
      </c>
      <c r="Y479" s="222" t="str">
        <f t="shared" si="32"/>
        <v>08-Infraestructura física, mantenimiento y dotación (Sedes construidas, mantenidas reforzadas) 016_Sedes mantenidas</v>
      </c>
      <c r="Z479" s="221" t="str">
        <f t="shared" si="33"/>
        <v>O23011745992024020708016</v>
      </c>
      <c r="AA479" s="221" t="str">
        <f>IFERROR(VLOOKUP(Y479,TD!$K$47:$L$65,2,0)," ")</f>
        <v>PM/0131/0108/45990160207</v>
      </c>
      <c r="AB479" s="53" t="s">
        <v>138</v>
      </c>
      <c r="AC479" s="223" t="s">
        <v>204</v>
      </c>
    </row>
    <row r="480" spans="2:29" s="28" customFormat="1" ht="99" customHeight="1" x14ac:dyDescent="0.35">
      <c r="B480" s="77">
        <v>20250473</v>
      </c>
      <c r="C480" s="50" t="s">
        <v>208</v>
      </c>
      <c r="D480" s="218" t="s">
        <v>166</v>
      </c>
      <c r="E480" s="219" t="s">
        <v>565</v>
      </c>
      <c r="F480" s="218" t="s">
        <v>585</v>
      </c>
      <c r="G480" s="218" t="s">
        <v>156</v>
      </c>
      <c r="H480" s="93" t="s">
        <v>617</v>
      </c>
      <c r="I480" s="220">
        <v>2</v>
      </c>
      <c r="J480" s="220">
        <v>0</v>
      </c>
      <c r="K480" s="52">
        <v>11</v>
      </c>
      <c r="L480" s="53">
        <v>33534424</v>
      </c>
      <c r="M480" s="218" t="s">
        <v>465</v>
      </c>
      <c r="N480" s="53" t="s">
        <v>618</v>
      </c>
      <c r="O480" s="219" t="s">
        <v>218</v>
      </c>
      <c r="P480" s="221" t="str">
        <f>IFERROR(VLOOKUP(C480,TD!$B$33:$F$37,2,0)," ")</f>
        <v>O230117</v>
      </c>
      <c r="Q480" s="221" t="str">
        <f>IFERROR(VLOOKUP(C480,TD!$B$33:$F$37,3,0)," ")</f>
        <v>4599</v>
      </c>
      <c r="R480" s="221">
        <f>IFERROR(VLOOKUP(C480,TD!$B$33:$F$37,4,0)," ")</f>
        <v>20240207</v>
      </c>
      <c r="S480" s="219" t="s">
        <v>185</v>
      </c>
      <c r="T480" s="221" t="str">
        <f>IFERROR(VLOOKUP(S480,TD!$J$34:$K$44,2,0)," ")</f>
        <v>Infraestructura física, mantenimiento y dotación (Sedes construidas, mantenidas reforzadas)</v>
      </c>
      <c r="U480" s="222" t="str">
        <f t="shared" si="30"/>
        <v>08-Infraestructura física, mantenimiento y dotación (Sedes construidas, mantenidas reforzadas)</v>
      </c>
      <c r="V480" s="219" t="s">
        <v>238</v>
      </c>
      <c r="W480" s="221" t="str">
        <f>IFERROR(VLOOKUP(V480,TD!$N$34:$O$46,2,0)," ")</f>
        <v>Sedes mantenidas</v>
      </c>
      <c r="X480" s="222" t="str">
        <f t="shared" si="31"/>
        <v>016_Sedes mantenidas</v>
      </c>
      <c r="Y480" s="222" t="str">
        <f t="shared" si="32"/>
        <v>08-Infraestructura física, mantenimiento y dotación (Sedes construidas, mantenidas reforzadas) 016_Sedes mantenidas</v>
      </c>
      <c r="Z480" s="221" t="str">
        <f t="shared" si="33"/>
        <v>O23011745992024020708016</v>
      </c>
      <c r="AA480" s="221" t="str">
        <f>IFERROR(VLOOKUP(Y480,TD!$K$47:$L$65,2,0)," ")</f>
        <v>PM/0131/0108/45990160207</v>
      </c>
      <c r="AB480" s="53" t="s">
        <v>138</v>
      </c>
      <c r="AC480" s="223" t="s">
        <v>204</v>
      </c>
    </row>
    <row r="481" spans="2:29" s="28" customFormat="1" ht="99" customHeight="1" x14ac:dyDescent="0.35">
      <c r="B481" s="77">
        <v>20250474</v>
      </c>
      <c r="C481" s="50" t="s">
        <v>208</v>
      </c>
      <c r="D481" s="218" t="s">
        <v>166</v>
      </c>
      <c r="E481" s="219" t="s">
        <v>565</v>
      </c>
      <c r="F481" s="218" t="s">
        <v>585</v>
      </c>
      <c r="G481" s="218" t="s">
        <v>156</v>
      </c>
      <c r="H481" s="93" t="s">
        <v>617</v>
      </c>
      <c r="I481" s="220">
        <v>2</v>
      </c>
      <c r="J481" s="220">
        <v>11</v>
      </c>
      <c r="K481" s="52">
        <v>0</v>
      </c>
      <c r="L481" s="53">
        <v>33534424</v>
      </c>
      <c r="M481" s="218" t="s">
        <v>465</v>
      </c>
      <c r="N481" s="53" t="s">
        <v>618</v>
      </c>
      <c r="O481" s="219" t="s">
        <v>218</v>
      </c>
      <c r="P481" s="221" t="str">
        <f>IFERROR(VLOOKUP(C481,TD!$B$33:$F$37,2,0)," ")</f>
        <v>O230117</v>
      </c>
      <c r="Q481" s="221" t="str">
        <f>IFERROR(VLOOKUP(C481,TD!$B$33:$F$37,3,0)," ")</f>
        <v>4599</v>
      </c>
      <c r="R481" s="221">
        <f>IFERROR(VLOOKUP(C481,TD!$B$33:$F$37,4,0)," ")</f>
        <v>20240207</v>
      </c>
      <c r="S481" s="219" t="s">
        <v>185</v>
      </c>
      <c r="T481" s="221" t="str">
        <f>IFERROR(VLOOKUP(S481,TD!$J$34:$K$44,2,0)," ")</f>
        <v>Infraestructura física, mantenimiento y dotación (Sedes construidas, mantenidas reforzadas)</v>
      </c>
      <c r="U481" s="222" t="str">
        <f t="shared" si="30"/>
        <v>08-Infraestructura física, mantenimiento y dotación (Sedes construidas, mantenidas reforzadas)</v>
      </c>
      <c r="V481" s="219" t="s">
        <v>238</v>
      </c>
      <c r="W481" s="221" t="str">
        <f>IFERROR(VLOOKUP(V481,TD!$N$34:$O$46,2,0)," ")</f>
        <v>Sedes mantenidas</v>
      </c>
      <c r="X481" s="222" t="str">
        <f t="shared" si="31"/>
        <v>016_Sedes mantenidas</v>
      </c>
      <c r="Y481" s="222" t="str">
        <f t="shared" si="32"/>
        <v>08-Infraestructura física, mantenimiento y dotación (Sedes construidas, mantenidas reforzadas) 016_Sedes mantenidas</v>
      </c>
      <c r="Z481" s="221" t="str">
        <f t="shared" si="33"/>
        <v>O23011745992024020708016</v>
      </c>
      <c r="AA481" s="221" t="str">
        <f>IFERROR(VLOOKUP(Y481,TD!$K$47:$L$65,2,0)," ")</f>
        <v>PM/0131/0108/45990160207</v>
      </c>
      <c r="AB481" s="53" t="s">
        <v>138</v>
      </c>
      <c r="AC481" s="223" t="s">
        <v>204</v>
      </c>
    </row>
    <row r="482" spans="2:29" s="28" customFormat="1" ht="99" customHeight="1" x14ac:dyDescent="0.35">
      <c r="B482" s="77">
        <v>20250475</v>
      </c>
      <c r="C482" s="50" t="s">
        <v>208</v>
      </c>
      <c r="D482" s="218" t="s">
        <v>166</v>
      </c>
      <c r="E482" s="219" t="s">
        <v>565</v>
      </c>
      <c r="F482" s="218" t="s">
        <v>585</v>
      </c>
      <c r="G482" s="218" t="s">
        <v>156</v>
      </c>
      <c r="H482" s="93" t="s">
        <v>617</v>
      </c>
      <c r="I482" s="220">
        <v>2</v>
      </c>
      <c r="J482" s="220">
        <v>11</v>
      </c>
      <c r="K482" s="52">
        <v>0</v>
      </c>
      <c r="L482" s="53">
        <v>33534424</v>
      </c>
      <c r="M482" s="218" t="s">
        <v>465</v>
      </c>
      <c r="N482" s="53" t="s">
        <v>618</v>
      </c>
      <c r="O482" s="219" t="s">
        <v>218</v>
      </c>
      <c r="P482" s="221" t="str">
        <f>IFERROR(VLOOKUP(C482,TD!$B$33:$F$37,2,0)," ")</f>
        <v>O230117</v>
      </c>
      <c r="Q482" s="221" t="str">
        <f>IFERROR(VLOOKUP(C482,TD!$B$33:$F$37,3,0)," ")</f>
        <v>4599</v>
      </c>
      <c r="R482" s="221">
        <f>IFERROR(VLOOKUP(C482,TD!$B$33:$F$37,4,0)," ")</f>
        <v>20240207</v>
      </c>
      <c r="S482" s="219" t="s">
        <v>185</v>
      </c>
      <c r="T482" s="221" t="str">
        <f>IFERROR(VLOOKUP(S482,TD!$J$34:$K$44,2,0)," ")</f>
        <v>Infraestructura física, mantenimiento y dotación (Sedes construidas, mantenidas reforzadas)</v>
      </c>
      <c r="U482" s="222" t="str">
        <f t="shared" si="30"/>
        <v>08-Infraestructura física, mantenimiento y dotación (Sedes construidas, mantenidas reforzadas)</v>
      </c>
      <c r="V482" s="219" t="s">
        <v>238</v>
      </c>
      <c r="W482" s="221" t="str">
        <f>IFERROR(VLOOKUP(V482,TD!$N$34:$O$46,2,0)," ")</f>
        <v>Sedes mantenidas</v>
      </c>
      <c r="X482" s="222" t="str">
        <f t="shared" si="31"/>
        <v>016_Sedes mantenidas</v>
      </c>
      <c r="Y482" s="222" t="str">
        <f t="shared" si="32"/>
        <v>08-Infraestructura física, mantenimiento y dotación (Sedes construidas, mantenidas reforzadas) 016_Sedes mantenidas</v>
      </c>
      <c r="Z482" s="221" t="str">
        <f t="shared" si="33"/>
        <v>O23011745992024020708016</v>
      </c>
      <c r="AA482" s="221" t="str">
        <f>IFERROR(VLOOKUP(Y482,TD!$K$47:$L$65,2,0)," ")</f>
        <v>PM/0131/0108/45990160207</v>
      </c>
      <c r="AB482" s="53" t="s">
        <v>138</v>
      </c>
      <c r="AC482" s="223" t="s">
        <v>204</v>
      </c>
    </row>
    <row r="483" spans="2:29" s="28" customFormat="1" ht="99" customHeight="1" x14ac:dyDescent="0.35">
      <c r="B483" s="77">
        <v>20250476</v>
      </c>
      <c r="C483" s="50" t="s">
        <v>208</v>
      </c>
      <c r="D483" s="218" t="s">
        <v>166</v>
      </c>
      <c r="E483" s="219" t="s">
        <v>565</v>
      </c>
      <c r="F483" s="218" t="s">
        <v>586</v>
      </c>
      <c r="G483" s="218" t="s">
        <v>155</v>
      </c>
      <c r="H483" s="93" t="s">
        <v>617</v>
      </c>
      <c r="I483" s="220">
        <v>2</v>
      </c>
      <c r="J483" s="220">
        <v>11</v>
      </c>
      <c r="K483" s="52">
        <v>0</v>
      </c>
      <c r="L483" s="53">
        <v>60500000</v>
      </c>
      <c r="M483" s="218" t="s">
        <v>465</v>
      </c>
      <c r="N483" s="53" t="s">
        <v>618</v>
      </c>
      <c r="O483" s="219" t="s">
        <v>218</v>
      </c>
      <c r="P483" s="221" t="str">
        <f>IFERROR(VLOOKUP(C483,TD!$B$33:$F$37,2,0)," ")</f>
        <v>O230117</v>
      </c>
      <c r="Q483" s="221" t="str">
        <f>IFERROR(VLOOKUP(C483,TD!$B$33:$F$37,3,0)," ")</f>
        <v>4599</v>
      </c>
      <c r="R483" s="221">
        <f>IFERROR(VLOOKUP(C483,TD!$B$33:$F$37,4,0)," ")</f>
        <v>20240207</v>
      </c>
      <c r="S483" s="219" t="s">
        <v>185</v>
      </c>
      <c r="T483" s="221" t="str">
        <f>IFERROR(VLOOKUP(S483,TD!$J$34:$K$44,2,0)," ")</f>
        <v>Infraestructura física, mantenimiento y dotación (Sedes construidas, mantenidas reforzadas)</v>
      </c>
      <c r="U483" s="222" t="str">
        <f t="shared" si="30"/>
        <v>08-Infraestructura física, mantenimiento y dotación (Sedes construidas, mantenidas reforzadas)</v>
      </c>
      <c r="V483" s="219" t="s">
        <v>238</v>
      </c>
      <c r="W483" s="221" t="str">
        <f>IFERROR(VLOOKUP(V483,TD!$N$34:$O$46,2,0)," ")</f>
        <v>Sedes mantenidas</v>
      </c>
      <c r="X483" s="222" t="str">
        <f t="shared" si="31"/>
        <v>016_Sedes mantenidas</v>
      </c>
      <c r="Y483" s="222" t="str">
        <f t="shared" si="32"/>
        <v>08-Infraestructura física, mantenimiento y dotación (Sedes construidas, mantenidas reforzadas) 016_Sedes mantenidas</v>
      </c>
      <c r="Z483" s="221" t="str">
        <f t="shared" si="33"/>
        <v>O23011745992024020708016</v>
      </c>
      <c r="AA483" s="221" t="str">
        <f>IFERROR(VLOOKUP(Y483,TD!$K$47:$L$65,2,0)," ")</f>
        <v>PM/0131/0108/45990160207</v>
      </c>
      <c r="AB483" s="53" t="s">
        <v>138</v>
      </c>
      <c r="AC483" s="223" t="s">
        <v>204</v>
      </c>
    </row>
    <row r="484" spans="2:29" s="28" customFormat="1" ht="99" customHeight="1" x14ac:dyDescent="0.35">
      <c r="B484" s="130">
        <v>20250477</v>
      </c>
      <c r="C484" s="132" t="s">
        <v>208</v>
      </c>
      <c r="D484" s="224" t="s">
        <v>166</v>
      </c>
      <c r="E484" s="225" t="s">
        <v>565</v>
      </c>
      <c r="F484" s="224" t="s">
        <v>585</v>
      </c>
      <c r="G484" s="224" t="s">
        <v>156</v>
      </c>
      <c r="H484" s="133" t="s">
        <v>617</v>
      </c>
      <c r="I484" s="226">
        <v>2</v>
      </c>
      <c r="J484" s="226">
        <v>11</v>
      </c>
      <c r="K484" s="129">
        <v>0</v>
      </c>
      <c r="L484" s="128">
        <v>29558952</v>
      </c>
      <c r="M484" s="224" t="s">
        <v>465</v>
      </c>
      <c r="N484" s="128" t="s">
        <v>618</v>
      </c>
      <c r="O484" s="225" t="s">
        <v>218</v>
      </c>
      <c r="P484" s="227" t="str">
        <f>IFERROR(VLOOKUP(C484,TD!$B$33:$F$37,2,0)," ")</f>
        <v>O230117</v>
      </c>
      <c r="Q484" s="227" t="str">
        <f>IFERROR(VLOOKUP(C484,TD!$B$33:$F$37,3,0)," ")</f>
        <v>4599</v>
      </c>
      <c r="R484" s="227">
        <f>IFERROR(VLOOKUP(C484,TD!$B$33:$F$37,4,0)," ")</f>
        <v>20240207</v>
      </c>
      <c r="S484" s="225" t="s">
        <v>185</v>
      </c>
      <c r="T484" s="227" t="str">
        <f>IFERROR(VLOOKUP(S484,TD!$J$34:$K$44,2,0)," ")</f>
        <v>Infraestructura física, mantenimiento y dotación (Sedes construidas, mantenidas reforzadas)</v>
      </c>
      <c r="U484" s="222" t="str">
        <f t="shared" si="30"/>
        <v>08-Infraestructura física, mantenimiento y dotación (Sedes construidas, mantenidas reforzadas)</v>
      </c>
      <c r="V484" s="225" t="s">
        <v>238</v>
      </c>
      <c r="W484" s="227" t="str">
        <f>IFERROR(VLOOKUP(V484,TD!$N$34:$O$46,2,0)," ")</f>
        <v>Sedes mantenidas</v>
      </c>
      <c r="X484" s="222" t="str">
        <f t="shared" si="31"/>
        <v>016_Sedes mantenidas</v>
      </c>
      <c r="Y484" s="222" t="str">
        <f t="shared" si="32"/>
        <v>08-Infraestructura física, mantenimiento y dotación (Sedes construidas, mantenidas reforzadas) 016_Sedes mantenidas</v>
      </c>
      <c r="Z484" s="227" t="str">
        <f t="shared" si="33"/>
        <v>O23011745992024020708016</v>
      </c>
      <c r="AA484" s="227" t="str">
        <f>IFERROR(VLOOKUP(Y484,TD!$K$47:$L$65,2,0)," ")</f>
        <v>PM/0131/0108/45990160207</v>
      </c>
      <c r="AB484" s="128" t="s">
        <v>138</v>
      </c>
      <c r="AC484" s="228" t="s">
        <v>204</v>
      </c>
    </row>
    <row r="485" spans="2:29" s="28" customFormat="1" ht="99" customHeight="1" x14ac:dyDescent="0.35">
      <c r="B485" s="130">
        <v>20250478</v>
      </c>
      <c r="C485" s="132" t="s">
        <v>208</v>
      </c>
      <c r="D485" s="224" t="s">
        <v>166</v>
      </c>
      <c r="E485" s="225" t="s">
        <v>565</v>
      </c>
      <c r="F485" s="224" t="s">
        <v>626</v>
      </c>
      <c r="G485" s="224" t="s">
        <v>155</v>
      </c>
      <c r="H485" s="133" t="s">
        <v>617</v>
      </c>
      <c r="I485" s="226">
        <v>2</v>
      </c>
      <c r="J485" s="226">
        <v>11</v>
      </c>
      <c r="K485" s="129">
        <v>0</v>
      </c>
      <c r="L485" s="128">
        <v>54291951</v>
      </c>
      <c r="M485" s="224" t="s">
        <v>465</v>
      </c>
      <c r="N485" s="128" t="s">
        <v>618</v>
      </c>
      <c r="O485" s="225" t="s">
        <v>219</v>
      </c>
      <c r="P485" s="227" t="str">
        <f>IFERROR(VLOOKUP(C485,TD!$B$33:$F$37,2,0)," ")</f>
        <v>O230117</v>
      </c>
      <c r="Q485" s="227" t="str">
        <f>IFERROR(VLOOKUP(C485,TD!$B$33:$F$37,3,0)," ")</f>
        <v>4599</v>
      </c>
      <c r="R485" s="227">
        <f>IFERROR(VLOOKUP(C485,TD!$B$33:$F$37,4,0)," ")</f>
        <v>20240207</v>
      </c>
      <c r="S485" s="225" t="s">
        <v>185</v>
      </c>
      <c r="T485" s="227" t="str">
        <f>IFERROR(VLOOKUP(S485,TD!$J$34:$K$44,2,0)," ")</f>
        <v>Infraestructura física, mantenimiento y dotación (Sedes construidas, mantenidas reforzadas)</v>
      </c>
      <c r="U485" s="222" t="str">
        <f t="shared" si="30"/>
        <v>08-Infraestructura física, mantenimiento y dotación (Sedes construidas, mantenidas reforzadas)</v>
      </c>
      <c r="V485" s="225" t="s">
        <v>238</v>
      </c>
      <c r="W485" s="227" t="str">
        <f>IFERROR(VLOOKUP(V485,TD!$N$34:$O$46,2,0)," ")</f>
        <v>Sedes mantenidas</v>
      </c>
      <c r="X485" s="222" t="str">
        <f t="shared" si="31"/>
        <v>016_Sedes mantenidas</v>
      </c>
      <c r="Y485" s="222" t="str">
        <f t="shared" si="32"/>
        <v>08-Infraestructura física, mantenimiento y dotación (Sedes construidas, mantenidas reforzadas) 016_Sedes mantenidas</v>
      </c>
      <c r="Z485" s="227" t="str">
        <f t="shared" si="33"/>
        <v>O23011745992024020708016</v>
      </c>
      <c r="AA485" s="227" t="str">
        <f>IFERROR(VLOOKUP(Y485,TD!$K$47:$L$65,2,0)," ")</f>
        <v>PM/0131/0108/45990160207</v>
      </c>
      <c r="AB485" s="128" t="s">
        <v>138</v>
      </c>
      <c r="AC485" s="228" t="s">
        <v>204</v>
      </c>
    </row>
    <row r="486" spans="2:29" s="28" customFormat="1" ht="99" customHeight="1" x14ac:dyDescent="0.35">
      <c r="B486" s="130">
        <v>20250479</v>
      </c>
      <c r="C486" s="132" t="s">
        <v>208</v>
      </c>
      <c r="D486" s="224" t="s">
        <v>166</v>
      </c>
      <c r="E486" s="225" t="s">
        <v>565</v>
      </c>
      <c r="F486" s="224" t="s">
        <v>626</v>
      </c>
      <c r="G486" s="224" t="s">
        <v>155</v>
      </c>
      <c r="H486" s="133" t="s">
        <v>617</v>
      </c>
      <c r="I486" s="226">
        <v>2</v>
      </c>
      <c r="J486" s="226">
        <v>11</v>
      </c>
      <c r="K486" s="129">
        <v>0</v>
      </c>
      <c r="L486" s="128">
        <v>54291951</v>
      </c>
      <c r="M486" s="224" t="s">
        <v>465</v>
      </c>
      <c r="N486" s="128" t="s">
        <v>618</v>
      </c>
      <c r="O486" s="225" t="s">
        <v>219</v>
      </c>
      <c r="P486" s="227" t="str">
        <f>IFERROR(VLOOKUP(C486,TD!$B$33:$F$37,2,0)," ")</f>
        <v>O230117</v>
      </c>
      <c r="Q486" s="227" t="str">
        <f>IFERROR(VLOOKUP(C486,TD!$B$33:$F$37,3,0)," ")</f>
        <v>4599</v>
      </c>
      <c r="R486" s="227">
        <f>IFERROR(VLOOKUP(C486,TD!$B$33:$F$37,4,0)," ")</f>
        <v>20240207</v>
      </c>
      <c r="S486" s="225" t="s">
        <v>185</v>
      </c>
      <c r="T486" s="227" t="str">
        <f>IFERROR(VLOOKUP(S486,TD!$J$34:$K$44,2,0)," ")</f>
        <v>Infraestructura física, mantenimiento y dotación (Sedes construidas, mantenidas reforzadas)</v>
      </c>
      <c r="U486" s="222" t="str">
        <f t="shared" si="30"/>
        <v>08-Infraestructura física, mantenimiento y dotación (Sedes construidas, mantenidas reforzadas)</v>
      </c>
      <c r="V486" s="225" t="s">
        <v>238</v>
      </c>
      <c r="W486" s="227" t="str">
        <f>IFERROR(VLOOKUP(V486,TD!$N$34:$O$46,2,0)," ")</f>
        <v>Sedes mantenidas</v>
      </c>
      <c r="X486" s="222" t="str">
        <f t="shared" si="31"/>
        <v>016_Sedes mantenidas</v>
      </c>
      <c r="Y486" s="222" t="str">
        <f t="shared" si="32"/>
        <v>08-Infraestructura física, mantenimiento y dotación (Sedes construidas, mantenidas reforzadas) 016_Sedes mantenidas</v>
      </c>
      <c r="Z486" s="227" t="str">
        <f t="shared" si="33"/>
        <v>O23011745992024020708016</v>
      </c>
      <c r="AA486" s="227" t="str">
        <f>IFERROR(VLOOKUP(Y486,TD!$K$47:$L$65,2,0)," ")</f>
        <v>PM/0131/0108/45990160207</v>
      </c>
      <c r="AB486" s="128" t="s">
        <v>138</v>
      </c>
      <c r="AC486" s="228" t="s">
        <v>204</v>
      </c>
    </row>
    <row r="487" spans="2:29" s="28" customFormat="1" ht="99" customHeight="1" x14ac:dyDescent="0.35">
      <c r="B487" s="130">
        <v>20250480</v>
      </c>
      <c r="C487" s="132" t="s">
        <v>208</v>
      </c>
      <c r="D487" s="224" t="s">
        <v>166</v>
      </c>
      <c r="E487" s="225" t="s">
        <v>565</v>
      </c>
      <c r="F487" s="224" t="s">
        <v>588</v>
      </c>
      <c r="G487" s="224" t="s">
        <v>156</v>
      </c>
      <c r="H487" s="133" t="s">
        <v>617</v>
      </c>
      <c r="I487" s="226">
        <v>2</v>
      </c>
      <c r="J487" s="226">
        <v>11</v>
      </c>
      <c r="K487" s="129">
        <v>0</v>
      </c>
      <c r="L487" s="128">
        <v>40417344</v>
      </c>
      <c r="M487" s="224" t="s">
        <v>465</v>
      </c>
      <c r="N487" s="128" t="s">
        <v>618</v>
      </c>
      <c r="O487" s="225" t="s">
        <v>219</v>
      </c>
      <c r="P487" s="227" t="str">
        <f>IFERROR(VLOOKUP(C487,TD!$B$33:$F$37,2,0)," ")</f>
        <v>O230117</v>
      </c>
      <c r="Q487" s="227" t="str">
        <f>IFERROR(VLOOKUP(C487,TD!$B$33:$F$37,3,0)," ")</f>
        <v>4599</v>
      </c>
      <c r="R487" s="227">
        <f>IFERROR(VLOOKUP(C487,TD!$B$33:$F$37,4,0)," ")</f>
        <v>20240207</v>
      </c>
      <c r="S487" s="225" t="s">
        <v>185</v>
      </c>
      <c r="T487" s="227" t="str">
        <f>IFERROR(VLOOKUP(S487,TD!$J$34:$K$44,2,0)," ")</f>
        <v>Infraestructura física, mantenimiento y dotación (Sedes construidas, mantenidas reforzadas)</v>
      </c>
      <c r="U487" s="222" t="str">
        <f t="shared" si="30"/>
        <v>08-Infraestructura física, mantenimiento y dotación (Sedes construidas, mantenidas reforzadas)</v>
      </c>
      <c r="V487" s="225" t="s">
        <v>238</v>
      </c>
      <c r="W487" s="227" t="str">
        <f>IFERROR(VLOOKUP(V487,TD!$N$34:$O$46,2,0)," ")</f>
        <v>Sedes mantenidas</v>
      </c>
      <c r="X487" s="222" t="str">
        <f t="shared" si="31"/>
        <v>016_Sedes mantenidas</v>
      </c>
      <c r="Y487" s="222" t="str">
        <f t="shared" si="32"/>
        <v>08-Infraestructura física, mantenimiento y dotación (Sedes construidas, mantenidas reforzadas) 016_Sedes mantenidas</v>
      </c>
      <c r="Z487" s="227" t="str">
        <f t="shared" si="33"/>
        <v>O23011745992024020708016</v>
      </c>
      <c r="AA487" s="227" t="str">
        <f>IFERROR(VLOOKUP(Y487,TD!$K$47:$L$65,2,0)," ")</f>
        <v>PM/0131/0108/45990160207</v>
      </c>
      <c r="AB487" s="128" t="s">
        <v>138</v>
      </c>
      <c r="AC487" s="228" t="s">
        <v>204</v>
      </c>
    </row>
    <row r="488" spans="2:29" s="28" customFormat="1" ht="99" customHeight="1" x14ac:dyDescent="0.35">
      <c r="B488" s="130">
        <v>20250481</v>
      </c>
      <c r="C488" s="132" t="s">
        <v>208</v>
      </c>
      <c r="D488" s="224" t="s">
        <v>166</v>
      </c>
      <c r="E488" s="225" t="s">
        <v>565</v>
      </c>
      <c r="F488" s="224" t="s">
        <v>590</v>
      </c>
      <c r="G488" s="224" t="s">
        <v>155</v>
      </c>
      <c r="H488" s="133" t="s">
        <v>617</v>
      </c>
      <c r="I488" s="226">
        <v>2</v>
      </c>
      <c r="J488" s="226">
        <v>11</v>
      </c>
      <c r="K488" s="129">
        <v>0</v>
      </c>
      <c r="L488" s="128">
        <v>54291951</v>
      </c>
      <c r="M488" s="224" t="s">
        <v>465</v>
      </c>
      <c r="N488" s="128" t="s">
        <v>618</v>
      </c>
      <c r="O488" s="225" t="s">
        <v>219</v>
      </c>
      <c r="P488" s="227" t="str">
        <f>IFERROR(VLOOKUP(C488,TD!$B$33:$F$37,2,0)," ")</f>
        <v>O230117</v>
      </c>
      <c r="Q488" s="227" t="str">
        <f>IFERROR(VLOOKUP(C488,TD!$B$33:$F$37,3,0)," ")</f>
        <v>4599</v>
      </c>
      <c r="R488" s="227">
        <f>IFERROR(VLOOKUP(C488,TD!$B$33:$F$37,4,0)," ")</f>
        <v>20240207</v>
      </c>
      <c r="S488" s="225" t="s">
        <v>185</v>
      </c>
      <c r="T488" s="227" t="str">
        <f>IFERROR(VLOOKUP(S488,TD!$J$34:$K$44,2,0)," ")</f>
        <v>Infraestructura física, mantenimiento y dotación (Sedes construidas, mantenidas reforzadas)</v>
      </c>
      <c r="U488" s="222" t="str">
        <f t="shared" si="30"/>
        <v>08-Infraestructura física, mantenimiento y dotación (Sedes construidas, mantenidas reforzadas)</v>
      </c>
      <c r="V488" s="225" t="s">
        <v>238</v>
      </c>
      <c r="W488" s="227" t="str">
        <f>IFERROR(VLOOKUP(V488,TD!$N$34:$O$46,2,0)," ")</f>
        <v>Sedes mantenidas</v>
      </c>
      <c r="X488" s="222" t="str">
        <f t="shared" si="31"/>
        <v>016_Sedes mantenidas</v>
      </c>
      <c r="Y488" s="222" t="str">
        <f t="shared" si="32"/>
        <v>08-Infraestructura física, mantenimiento y dotación (Sedes construidas, mantenidas reforzadas) 016_Sedes mantenidas</v>
      </c>
      <c r="Z488" s="227" t="str">
        <f t="shared" si="33"/>
        <v>O23011745992024020708016</v>
      </c>
      <c r="AA488" s="227" t="str">
        <f>IFERROR(VLOOKUP(Y488,TD!$K$47:$L$65,2,0)," ")</f>
        <v>PM/0131/0108/45990160207</v>
      </c>
      <c r="AB488" s="128" t="s">
        <v>138</v>
      </c>
      <c r="AC488" s="228" t="s">
        <v>204</v>
      </c>
    </row>
    <row r="489" spans="2:29" s="28" customFormat="1" ht="99" customHeight="1" x14ac:dyDescent="0.35">
      <c r="B489" s="130">
        <v>20250483</v>
      </c>
      <c r="C489" s="132" t="s">
        <v>346</v>
      </c>
      <c r="D489" s="224" t="s">
        <v>166</v>
      </c>
      <c r="E489" s="225" t="s">
        <v>565</v>
      </c>
      <c r="F489" s="224" t="s">
        <v>628</v>
      </c>
      <c r="G489" s="224" t="s">
        <v>96</v>
      </c>
      <c r="H489" s="133" t="s">
        <v>868</v>
      </c>
      <c r="I489" s="226">
        <v>1</v>
      </c>
      <c r="J489" s="226">
        <v>10</v>
      </c>
      <c r="K489" s="129">
        <v>0</v>
      </c>
      <c r="L489" s="128">
        <v>240000000</v>
      </c>
      <c r="M489" s="224" t="s">
        <v>172</v>
      </c>
      <c r="N489" s="128" t="s">
        <v>629</v>
      </c>
      <c r="O489" s="225" t="s">
        <v>347</v>
      </c>
      <c r="P489" s="227" t="str">
        <f>IFERROR(VLOOKUP(C489,TD!$B$33:$F$37,2,0)," ")</f>
        <v>NA</v>
      </c>
      <c r="Q489" s="227" t="str">
        <f>IFERROR(VLOOKUP(C489,TD!$B$33:$F$37,3,0)," ")</f>
        <v>NA</v>
      </c>
      <c r="R489" s="227" t="str">
        <f>IFERROR(VLOOKUP(C489,TD!$B$33:$F$37,4,0)," ")</f>
        <v>NA</v>
      </c>
      <c r="S489" s="225" t="s">
        <v>406</v>
      </c>
      <c r="T489" s="227" t="str">
        <f>IFERROR(VLOOKUP(S489,TD!$J$34:$K$44,2,0)," ")</f>
        <v>N/A</v>
      </c>
      <c r="U489" s="222" t="str">
        <f t="shared" si="30"/>
        <v>N/A-N/A</v>
      </c>
      <c r="V489" s="225" t="s">
        <v>406</v>
      </c>
      <c r="W489" s="227" t="str">
        <f>IFERROR(VLOOKUP(V489,TD!$N$34:$O$46,2,0)," ")</f>
        <v>N/A</v>
      </c>
      <c r="X489" s="222" t="str">
        <f t="shared" si="31"/>
        <v>N/A_N/A</v>
      </c>
      <c r="Y489" s="222" t="str">
        <f t="shared" si="32"/>
        <v>N/A-N/A N/A_N/A</v>
      </c>
      <c r="Z489" s="227" t="str">
        <f t="shared" si="33"/>
        <v>NANANAN/AN/A</v>
      </c>
      <c r="AA489" s="227" t="str">
        <f>IFERROR(VLOOKUP(Y489,TD!$K$47:$L$65,2,0)," ")</f>
        <v>N/A</v>
      </c>
      <c r="AB489" s="128" t="s">
        <v>675</v>
      </c>
      <c r="AC489" s="228" t="s">
        <v>204</v>
      </c>
    </row>
    <row r="490" spans="2:29" s="28" customFormat="1" ht="99" customHeight="1" x14ac:dyDescent="0.35">
      <c r="B490" s="77">
        <v>20250484</v>
      </c>
      <c r="C490" s="50" t="s">
        <v>346</v>
      </c>
      <c r="D490" s="218" t="s">
        <v>166</v>
      </c>
      <c r="E490" s="219" t="s">
        <v>565</v>
      </c>
      <c r="F490" s="218" t="s">
        <v>566</v>
      </c>
      <c r="G490" s="218" t="s">
        <v>96</v>
      </c>
      <c r="H490" s="93" t="s">
        <v>567</v>
      </c>
      <c r="I490" s="220">
        <v>2</v>
      </c>
      <c r="J490" s="220">
        <v>11</v>
      </c>
      <c r="K490" s="52">
        <v>0</v>
      </c>
      <c r="L490" s="53">
        <v>147853623</v>
      </c>
      <c r="M490" s="218" t="s">
        <v>172</v>
      </c>
      <c r="N490" s="53" t="s">
        <v>616</v>
      </c>
      <c r="O490" s="219" t="s">
        <v>347</v>
      </c>
      <c r="P490" s="221" t="str">
        <f>IFERROR(VLOOKUP(C490,TD!$B$33:$F$37,2,0)," ")</f>
        <v>NA</v>
      </c>
      <c r="Q490" s="221" t="str">
        <f>IFERROR(VLOOKUP(C490,TD!$B$33:$F$37,3,0)," ")</f>
        <v>NA</v>
      </c>
      <c r="R490" s="221" t="str">
        <f>IFERROR(VLOOKUP(C490,TD!$B$33:$F$37,4,0)," ")</f>
        <v>NA</v>
      </c>
      <c r="S490" s="219" t="s">
        <v>406</v>
      </c>
      <c r="T490" s="221" t="str">
        <f>IFERROR(VLOOKUP(S490,TD!$J$34:$K$44,2,0)," ")</f>
        <v>N/A</v>
      </c>
      <c r="U490" s="222" t="str">
        <f t="shared" si="30"/>
        <v>N/A-N/A</v>
      </c>
      <c r="V490" s="219" t="s">
        <v>406</v>
      </c>
      <c r="W490" s="221" t="str">
        <f>IFERROR(VLOOKUP(V490,TD!$N$34:$O$46,2,0)," ")</f>
        <v>N/A</v>
      </c>
      <c r="X490" s="222" t="str">
        <f t="shared" si="31"/>
        <v>N/A_N/A</v>
      </c>
      <c r="Y490" s="222" t="str">
        <f t="shared" si="32"/>
        <v>N/A-N/A N/A_N/A</v>
      </c>
      <c r="Z490" s="221" t="str">
        <f t="shared" si="33"/>
        <v>NANANAN/AN/A</v>
      </c>
      <c r="AA490" s="221" t="str">
        <f>IFERROR(VLOOKUP(Y490,TD!$K$47:$L$65,2,0)," ")</f>
        <v>N/A</v>
      </c>
      <c r="AB490" s="53" t="s">
        <v>675</v>
      </c>
      <c r="AC490" s="223" t="s">
        <v>204</v>
      </c>
    </row>
    <row r="491" spans="2:29" s="28" customFormat="1" ht="99" customHeight="1" x14ac:dyDescent="0.35">
      <c r="B491" s="77">
        <v>20250485</v>
      </c>
      <c r="C491" s="50" t="s">
        <v>346</v>
      </c>
      <c r="D491" s="218" t="s">
        <v>166</v>
      </c>
      <c r="E491" s="219" t="s">
        <v>565</v>
      </c>
      <c r="F491" s="218" t="s">
        <v>566</v>
      </c>
      <c r="G491" s="218" t="s">
        <v>96</v>
      </c>
      <c r="H491" s="93" t="s">
        <v>567</v>
      </c>
      <c r="I491" s="220">
        <v>2</v>
      </c>
      <c r="J491" s="220">
        <v>11</v>
      </c>
      <c r="K491" s="52">
        <v>0</v>
      </c>
      <c r="L491" s="53">
        <v>453335302</v>
      </c>
      <c r="M491" s="218" t="s">
        <v>172</v>
      </c>
      <c r="N491" s="53" t="s">
        <v>616</v>
      </c>
      <c r="O491" s="219" t="s">
        <v>347</v>
      </c>
      <c r="P491" s="221" t="str">
        <f>IFERROR(VLOOKUP(C491,TD!$B$33:$F$37,2,0)," ")</f>
        <v>NA</v>
      </c>
      <c r="Q491" s="221" t="str">
        <f>IFERROR(VLOOKUP(C491,TD!$B$33:$F$37,3,0)," ")</f>
        <v>NA</v>
      </c>
      <c r="R491" s="221" t="str">
        <f>IFERROR(VLOOKUP(C491,TD!$B$33:$F$37,4,0)," ")</f>
        <v>NA</v>
      </c>
      <c r="S491" s="219" t="s">
        <v>406</v>
      </c>
      <c r="T491" s="221" t="str">
        <f>IFERROR(VLOOKUP(S491,TD!$J$34:$K$44,2,0)," ")</f>
        <v>N/A</v>
      </c>
      <c r="U491" s="222" t="str">
        <f t="shared" si="30"/>
        <v>N/A-N/A</v>
      </c>
      <c r="V491" s="219" t="s">
        <v>406</v>
      </c>
      <c r="W491" s="221" t="str">
        <f>IFERROR(VLOOKUP(V491,TD!$N$34:$O$46,2,0)," ")</f>
        <v>N/A</v>
      </c>
      <c r="X491" s="222" t="str">
        <f t="shared" si="31"/>
        <v>N/A_N/A</v>
      </c>
      <c r="Y491" s="222" t="str">
        <f t="shared" si="32"/>
        <v>N/A-N/A N/A_N/A</v>
      </c>
      <c r="Z491" s="221" t="str">
        <f t="shared" si="33"/>
        <v>NANANAN/AN/A</v>
      </c>
      <c r="AA491" s="221" t="str">
        <f>IFERROR(VLOOKUP(Y491,TD!$K$47:$L$65,2,0)," ")</f>
        <v>N/A</v>
      </c>
      <c r="AB491" s="53" t="s">
        <v>675</v>
      </c>
      <c r="AC491" s="223" t="s">
        <v>204</v>
      </c>
    </row>
    <row r="492" spans="2:29" s="28" customFormat="1" ht="99" customHeight="1" x14ac:dyDescent="0.35">
      <c r="B492" s="77">
        <v>20250486</v>
      </c>
      <c r="C492" s="50" t="s">
        <v>346</v>
      </c>
      <c r="D492" s="218" t="s">
        <v>166</v>
      </c>
      <c r="E492" s="219" t="s">
        <v>565</v>
      </c>
      <c r="F492" s="218" t="s">
        <v>630</v>
      </c>
      <c r="G492" s="218" t="s">
        <v>114</v>
      </c>
      <c r="H492" s="93" t="s">
        <v>631</v>
      </c>
      <c r="I492" s="220">
        <v>1</v>
      </c>
      <c r="J492" s="220">
        <v>12</v>
      </c>
      <c r="K492" s="52">
        <v>0</v>
      </c>
      <c r="L492" s="53">
        <v>157080000</v>
      </c>
      <c r="M492" s="218" t="s">
        <v>172</v>
      </c>
      <c r="N492" s="53" t="s">
        <v>618</v>
      </c>
      <c r="O492" s="219" t="s">
        <v>347</v>
      </c>
      <c r="P492" s="221" t="str">
        <f>IFERROR(VLOOKUP(C492,TD!$B$33:$F$37,2,0)," ")</f>
        <v>NA</v>
      </c>
      <c r="Q492" s="221" t="str">
        <f>IFERROR(VLOOKUP(C492,TD!$B$33:$F$37,3,0)," ")</f>
        <v>NA</v>
      </c>
      <c r="R492" s="221" t="str">
        <f>IFERROR(VLOOKUP(C492,TD!$B$33:$F$37,4,0)," ")</f>
        <v>NA</v>
      </c>
      <c r="S492" s="219" t="s">
        <v>406</v>
      </c>
      <c r="T492" s="221" t="str">
        <f>IFERROR(VLOOKUP(S492,TD!$J$34:$K$44,2,0)," ")</f>
        <v>N/A</v>
      </c>
      <c r="U492" s="222" t="str">
        <f t="shared" si="30"/>
        <v>N/A-N/A</v>
      </c>
      <c r="V492" s="219" t="s">
        <v>406</v>
      </c>
      <c r="W492" s="221" t="str">
        <f>IFERROR(VLOOKUP(V492,TD!$N$34:$O$46,2,0)," ")</f>
        <v>N/A</v>
      </c>
      <c r="X492" s="222" t="str">
        <f t="shared" si="31"/>
        <v>N/A_N/A</v>
      </c>
      <c r="Y492" s="222" t="str">
        <f t="shared" si="32"/>
        <v>N/A-N/A N/A_N/A</v>
      </c>
      <c r="Z492" s="221" t="str">
        <f t="shared" si="33"/>
        <v>NANANAN/AN/A</v>
      </c>
      <c r="AA492" s="221" t="str">
        <f>IFERROR(VLOOKUP(Y492,TD!$K$47:$L$65,2,0)," ")</f>
        <v>N/A</v>
      </c>
      <c r="AB492" s="53" t="s">
        <v>675</v>
      </c>
      <c r="AC492" s="223" t="s">
        <v>204</v>
      </c>
    </row>
    <row r="493" spans="2:29" s="28" customFormat="1" ht="99" customHeight="1" x14ac:dyDescent="0.35">
      <c r="B493" s="77">
        <v>20250487</v>
      </c>
      <c r="C493" s="50" t="s">
        <v>346</v>
      </c>
      <c r="D493" s="218" t="s">
        <v>166</v>
      </c>
      <c r="E493" s="219" t="s">
        <v>565</v>
      </c>
      <c r="F493" s="218" t="s">
        <v>632</v>
      </c>
      <c r="G493" s="218" t="s">
        <v>96</v>
      </c>
      <c r="H493" s="93" t="s">
        <v>633</v>
      </c>
      <c r="I493" s="220">
        <v>3</v>
      </c>
      <c r="J493" s="220">
        <v>12</v>
      </c>
      <c r="K493" s="52">
        <v>0</v>
      </c>
      <c r="L493" s="53">
        <v>139858097</v>
      </c>
      <c r="M493" s="218" t="s">
        <v>172</v>
      </c>
      <c r="N493" s="53" t="s">
        <v>618</v>
      </c>
      <c r="O493" s="219" t="s">
        <v>347</v>
      </c>
      <c r="P493" s="221" t="str">
        <f>IFERROR(VLOOKUP(C493,TD!$B$33:$F$37,2,0)," ")</f>
        <v>NA</v>
      </c>
      <c r="Q493" s="221" t="str">
        <f>IFERROR(VLOOKUP(C493,TD!$B$33:$F$37,3,0)," ")</f>
        <v>NA</v>
      </c>
      <c r="R493" s="221" t="str">
        <f>IFERROR(VLOOKUP(C493,TD!$B$33:$F$37,4,0)," ")</f>
        <v>NA</v>
      </c>
      <c r="S493" s="219" t="s">
        <v>406</v>
      </c>
      <c r="T493" s="221" t="str">
        <f>IFERROR(VLOOKUP(S493,TD!$J$34:$K$44,2,0)," ")</f>
        <v>N/A</v>
      </c>
      <c r="U493" s="222" t="str">
        <f t="shared" si="30"/>
        <v>N/A-N/A</v>
      </c>
      <c r="V493" s="219" t="s">
        <v>406</v>
      </c>
      <c r="W493" s="221" t="str">
        <f>IFERROR(VLOOKUP(V493,TD!$N$34:$O$46,2,0)," ")</f>
        <v>N/A</v>
      </c>
      <c r="X493" s="222" t="str">
        <f t="shared" si="31"/>
        <v>N/A_N/A</v>
      </c>
      <c r="Y493" s="222" t="str">
        <f t="shared" si="32"/>
        <v>N/A-N/A N/A_N/A</v>
      </c>
      <c r="Z493" s="221" t="str">
        <f t="shared" si="33"/>
        <v>NANANAN/AN/A</v>
      </c>
      <c r="AA493" s="221" t="str">
        <f>IFERROR(VLOOKUP(Y493,TD!$K$47:$L$65,2,0)," ")</f>
        <v>N/A</v>
      </c>
      <c r="AB493" s="53" t="s">
        <v>348</v>
      </c>
      <c r="AC493" s="223" t="s">
        <v>205</v>
      </c>
    </row>
    <row r="494" spans="2:29" s="28" customFormat="1" ht="99" customHeight="1" x14ac:dyDescent="0.35">
      <c r="B494" s="77">
        <v>20250488</v>
      </c>
      <c r="C494" s="50" t="s">
        <v>346</v>
      </c>
      <c r="D494" s="218" t="s">
        <v>166</v>
      </c>
      <c r="E494" s="219" t="s">
        <v>565</v>
      </c>
      <c r="F494" s="218" t="s">
        <v>634</v>
      </c>
      <c r="G494" s="218" t="s">
        <v>119</v>
      </c>
      <c r="H494" s="93" t="s">
        <v>635</v>
      </c>
      <c r="I494" s="220">
        <v>4</v>
      </c>
      <c r="J494" s="220">
        <v>6</v>
      </c>
      <c r="K494" s="52">
        <v>0</v>
      </c>
      <c r="L494" s="53">
        <v>51570633</v>
      </c>
      <c r="M494" s="218" t="s">
        <v>172</v>
      </c>
      <c r="N494" s="53" t="s">
        <v>95</v>
      </c>
      <c r="O494" s="219" t="s">
        <v>347</v>
      </c>
      <c r="P494" s="221" t="str">
        <f>IFERROR(VLOOKUP(C494,TD!$B$33:$F$37,2,0)," ")</f>
        <v>NA</v>
      </c>
      <c r="Q494" s="221" t="str">
        <f>IFERROR(VLOOKUP(C494,TD!$B$33:$F$37,3,0)," ")</f>
        <v>NA</v>
      </c>
      <c r="R494" s="221" t="str">
        <f>IFERROR(VLOOKUP(C494,TD!$B$33:$F$37,4,0)," ")</f>
        <v>NA</v>
      </c>
      <c r="S494" s="219" t="s">
        <v>406</v>
      </c>
      <c r="T494" s="221" t="str">
        <f>IFERROR(VLOOKUP(S494,TD!$J$34:$K$44,2,0)," ")</f>
        <v>N/A</v>
      </c>
      <c r="U494" s="222" t="str">
        <f t="shared" si="30"/>
        <v>N/A-N/A</v>
      </c>
      <c r="V494" s="219" t="s">
        <v>406</v>
      </c>
      <c r="W494" s="221" t="str">
        <f>IFERROR(VLOOKUP(V494,TD!$N$34:$O$46,2,0)," ")</f>
        <v>N/A</v>
      </c>
      <c r="X494" s="222" t="str">
        <f t="shared" si="31"/>
        <v>N/A_N/A</v>
      </c>
      <c r="Y494" s="222" t="str">
        <f t="shared" si="32"/>
        <v>N/A-N/A N/A_N/A</v>
      </c>
      <c r="Z494" s="221" t="str">
        <f t="shared" si="33"/>
        <v>NANANAN/AN/A</v>
      </c>
      <c r="AA494" s="221" t="str">
        <f>IFERROR(VLOOKUP(Y494,TD!$K$47:$L$65,2,0)," ")</f>
        <v>N/A</v>
      </c>
      <c r="AB494" s="53" t="s">
        <v>675</v>
      </c>
      <c r="AC494" s="223" t="s">
        <v>204</v>
      </c>
    </row>
    <row r="495" spans="2:29" s="28" customFormat="1" ht="99" customHeight="1" x14ac:dyDescent="0.35">
      <c r="B495" s="77">
        <v>20250489</v>
      </c>
      <c r="C495" s="50" t="s">
        <v>346</v>
      </c>
      <c r="D495" s="218" t="s">
        <v>166</v>
      </c>
      <c r="E495" s="219" t="s">
        <v>565</v>
      </c>
      <c r="F495" s="218" t="s">
        <v>636</v>
      </c>
      <c r="G495" s="218" t="s">
        <v>119</v>
      </c>
      <c r="H495" s="93" t="s">
        <v>637</v>
      </c>
      <c r="I495" s="220">
        <v>3</v>
      </c>
      <c r="J495" s="220">
        <v>9</v>
      </c>
      <c r="K495" s="52">
        <v>0</v>
      </c>
      <c r="L495" s="53">
        <f>80000000+101000000</f>
        <v>181000000</v>
      </c>
      <c r="M495" s="218" t="s">
        <v>172</v>
      </c>
      <c r="N495" s="53" t="s">
        <v>95</v>
      </c>
      <c r="O495" s="219" t="s">
        <v>347</v>
      </c>
      <c r="P495" s="221" t="str">
        <f>IFERROR(VLOOKUP(C495,TD!$B$33:$F$37,2,0)," ")</f>
        <v>NA</v>
      </c>
      <c r="Q495" s="221" t="str">
        <f>IFERROR(VLOOKUP(C495,TD!$B$33:$F$37,3,0)," ")</f>
        <v>NA</v>
      </c>
      <c r="R495" s="221" t="str">
        <f>IFERROR(VLOOKUP(C495,TD!$B$33:$F$37,4,0)," ")</f>
        <v>NA</v>
      </c>
      <c r="S495" s="219" t="s">
        <v>406</v>
      </c>
      <c r="T495" s="221" t="str">
        <f>IFERROR(VLOOKUP(S495,TD!$J$34:$K$44,2,0)," ")</f>
        <v>N/A</v>
      </c>
      <c r="U495" s="222" t="str">
        <f t="shared" si="30"/>
        <v>N/A-N/A</v>
      </c>
      <c r="V495" s="219" t="s">
        <v>406</v>
      </c>
      <c r="W495" s="221" t="str">
        <f>IFERROR(VLOOKUP(V495,TD!$N$34:$O$46,2,0)," ")</f>
        <v>N/A</v>
      </c>
      <c r="X495" s="222" t="str">
        <f t="shared" si="31"/>
        <v>N/A_N/A</v>
      </c>
      <c r="Y495" s="222" t="str">
        <f t="shared" si="32"/>
        <v>N/A-N/A N/A_N/A</v>
      </c>
      <c r="Z495" s="221" t="str">
        <f t="shared" si="33"/>
        <v>NANANAN/AN/A</v>
      </c>
      <c r="AA495" s="221" t="str">
        <f>IFERROR(VLOOKUP(Y495,TD!$K$47:$L$65,2,0)," ")</f>
        <v>N/A</v>
      </c>
      <c r="AB495" s="53" t="s">
        <v>675</v>
      </c>
      <c r="AC495" s="223" t="s">
        <v>204</v>
      </c>
    </row>
    <row r="496" spans="2:29" s="28" customFormat="1" ht="99" customHeight="1" x14ac:dyDescent="0.35">
      <c r="B496" s="130">
        <v>20250491</v>
      </c>
      <c r="C496" s="50" t="s">
        <v>346</v>
      </c>
      <c r="D496" s="218" t="s">
        <v>166</v>
      </c>
      <c r="E496" s="219" t="s">
        <v>565</v>
      </c>
      <c r="F496" s="218" t="s">
        <v>587</v>
      </c>
      <c r="G496" s="218" t="s">
        <v>96</v>
      </c>
      <c r="H496" s="93" t="s">
        <v>638</v>
      </c>
      <c r="I496" s="220">
        <v>4</v>
      </c>
      <c r="J496" s="220">
        <v>3</v>
      </c>
      <c r="K496" s="52">
        <v>0</v>
      </c>
      <c r="L496" s="53">
        <f>560000000-200000000-148197000</f>
        <v>211803000</v>
      </c>
      <c r="M496" s="218" t="s">
        <v>172</v>
      </c>
      <c r="N496" s="128" t="s">
        <v>90</v>
      </c>
      <c r="O496" s="219" t="s">
        <v>347</v>
      </c>
      <c r="P496" s="221" t="str">
        <f>IFERROR(VLOOKUP(C496,TD!$B$33:$F$37,2,0)," ")</f>
        <v>NA</v>
      </c>
      <c r="Q496" s="221" t="str">
        <f>IFERROR(VLOOKUP(C496,TD!$B$33:$F$37,3,0)," ")</f>
        <v>NA</v>
      </c>
      <c r="R496" s="221" t="str">
        <f>IFERROR(VLOOKUP(C496,TD!$B$33:$F$37,4,0)," ")</f>
        <v>NA</v>
      </c>
      <c r="S496" s="219" t="s">
        <v>406</v>
      </c>
      <c r="T496" s="221" t="str">
        <f>IFERROR(VLOOKUP(S496,TD!$J$34:$K$44,2,0)," ")</f>
        <v>N/A</v>
      </c>
      <c r="U496" s="222" t="str">
        <f t="shared" si="30"/>
        <v>N/A-N/A</v>
      </c>
      <c r="V496" s="219" t="s">
        <v>406</v>
      </c>
      <c r="W496" s="221" t="str">
        <f>IFERROR(VLOOKUP(V496,TD!$N$34:$O$46,2,0)," ")</f>
        <v>N/A</v>
      </c>
      <c r="X496" s="222" t="str">
        <f t="shared" si="31"/>
        <v>N/A_N/A</v>
      </c>
      <c r="Y496" s="222" t="str">
        <f t="shared" si="32"/>
        <v>N/A-N/A N/A_N/A</v>
      </c>
      <c r="Z496" s="221" t="str">
        <f t="shared" si="33"/>
        <v>NANANAN/AN/A</v>
      </c>
      <c r="AA496" s="221" t="str">
        <f>IFERROR(VLOOKUP(Y496,TD!$K$47:$L$65,2,0)," ")</f>
        <v>N/A</v>
      </c>
      <c r="AB496" s="53" t="s">
        <v>675</v>
      </c>
      <c r="AC496" s="223" t="s">
        <v>204</v>
      </c>
    </row>
    <row r="497" spans="2:29" s="28" customFormat="1" ht="99" customHeight="1" x14ac:dyDescent="0.35">
      <c r="B497" s="77">
        <v>20250492</v>
      </c>
      <c r="C497" s="50" t="s">
        <v>346</v>
      </c>
      <c r="D497" s="218" t="s">
        <v>166</v>
      </c>
      <c r="E497" s="219" t="s">
        <v>565</v>
      </c>
      <c r="F497" s="218" t="s">
        <v>639</v>
      </c>
      <c r="G497" s="218" t="s">
        <v>129</v>
      </c>
      <c r="H497" s="93" t="s">
        <v>640</v>
      </c>
      <c r="I497" s="220">
        <v>2</v>
      </c>
      <c r="J497" s="220">
        <v>3</v>
      </c>
      <c r="K497" s="52">
        <v>0</v>
      </c>
      <c r="L497" s="53">
        <f>2000000000-690803949</f>
        <v>1309196051</v>
      </c>
      <c r="M497" s="218" t="s">
        <v>172</v>
      </c>
      <c r="N497" s="53" t="s">
        <v>85</v>
      </c>
      <c r="O497" s="219" t="s">
        <v>347</v>
      </c>
      <c r="P497" s="221" t="str">
        <f>IFERROR(VLOOKUP(C497,TD!$B$33:$F$37,2,0)," ")</f>
        <v>NA</v>
      </c>
      <c r="Q497" s="221" t="str">
        <f>IFERROR(VLOOKUP(C497,TD!$B$33:$F$37,3,0)," ")</f>
        <v>NA</v>
      </c>
      <c r="R497" s="221" t="str">
        <f>IFERROR(VLOOKUP(C497,TD!$B$33:$F$37,4,0)," ")</f>
        <v>NA</v>
      </c>
      <c r="S497" s="219" t="s">
        <v>406</v>
      </c>
      <c r="T497" s="221" t="str">
        <f>IFERROR(VLOOKUP(S497,TD!$J$34:$K$44,2,0)," ")</f>
        <v>N/A</v>
      </c>
      <c r="U497" s="222" t="str">
        <f t="shared" si="30"/>
        <v>N/A-N/A</v>
      </c>
      <c r="V497" s="219" t="s">
        <v>406</v>
      </c>
      <c r="W497" s="221" t="str">
        <f>IFERROR(VLOOKUP(V497,TD!$N$34:$O$46,2,0)," ")</f>
        <v>N/A</v>
      </c>
      <c r="X497" s="222" t="str">
        <f t="shared" si="31"/>
        <v>N/A_N/A</v>
      </c>
      <c r="Y497" s="222" t="str">
        <f t="shared" si="32"/>
        <v>N/A-N/A N/A_N/A</v>
      </c>
      <c r="Z497" s="221" t="str">
        <f t="shared" si="33"/>
        <v>NANANAN/AN/A</v>
      </c>
      <c r="AA497" s="221" t="str">
        <f>IFERROR(VLOOKUP(Y497,TD!$K$47:$L$65,2,0)," ")</f>
        <v>N/A</v>
      </c>
      <c r="AB497" s="53" t="s">
        <v>675</v>
      </c>
      <c r="AC497" s="223" t="s">
        <v>205</v>
      </c>
    </row>
    <row r="498" spans="2:29" s="28" customFormat="1" ht="99" customHeight="1" x14ac:dyDescent="0.35">
      <c r="B498" s="77">
        <v>20250493</v>
      </c>
      <c r="C498" s="50" t="s">
        <v>346</v>
      </c>
      <c r="D498" s="218" t="s">
        <v>166</v>
      </c>
      <c r="E498" s="219" t="s">
        <v>565</v>
      </c>
      <c r="F498" s="218" t="s">
        <v>641</v>
      </c>
      <c r="G498" s="218" t="s">
        <v>129</v>
      </c>
      <c r="H498" s="93" t="s">
        <v>640</v>
      </c>
      <c r="I498" s="220">
        <v>1</v>
      </c>
      <c r="J498" s="220">
        <v>3</v>
      </c>
      <c r="K498" s="52">
        <v>0</v>
      </c>
      <c r="L498" s="53">
        <f>14000000-7218822</f>
        <v>6781178</v>
      </c>
      <c r="M498" s="218" t="s">
        <v>172</v>
      </c>
      <c r="N498" s="53" t="s">
        <v>85</v>
      </c>
      <c r="O498" s="219" t="s">
        <v>347</v>
      </c>
      <c r="P498" s="221" t="str">
        <f>IFERROR(VLOOKUP(C498,TD!$B$33:$F$37,2,0)," ")</f>
        <v>NA</v>
      </c>
      <c r="Q498" s="221" t="str">
        <f>IFERROR(VLOOKUP(C498,TD!$B$33:$F$37,3,0)," ")</f>
        <v>NA</v>
      </c>
      <c r="R498" s="221" t="str">
        <f>IFERROR(VLOOKUP(C498,TD!$B$33:$F$37,4,0)," ")</f>
        <v>NA</v>
      </c>
      <c r="S498" s="219" t="s">
        <v>406</v>
      </c>
      <c r="T498" s="221" t="str">
        <f>IFERROR(VLOOKUP(S498,TD!$J$34:$K$44,2,0)," ")</f>
        <v>N/A</v>
      </c>
      <c r="U498" s="222" t="str">
        <f t="shared" si="30"/>
        <v>N/A-N/A</v>
      </c>
      <c r="V498" s="219" t="s">
        <v>406</v>
      </c>
      <c r="W498" s="221" t="str">
        <f>IFERROR(VLOOKUP(V498,TD!$N$34:$O$46,2,0)," ")</f>
        <v>N/A</v>
      </c>
      <c r="X498" s="222" t="str">
        <f t="shared" si="31"/>
        <v>N/A_N/A</v>
      </c>
      <c r="Y498" s="222" t="str">
        <f t="shared" si="32"/>
        <v>N/A-N/A N/A_N/A</v>
      </c>
      <c r="Z498" s="221" t="str">
        <f t="shared" si="33"/>
        <v>NANANAN/AN/A</v>
      </c>
      <c r="AA498" s="221" t="str">
        <f>IFERROR(VLOOKUP(Y498,TD!$K$47:$L$65,2,0)," ")</f>
        <v>N/A</v>
      </c>
      <c r="AB498" s="53" t="s">
        <v>675</v>
      </c>
      <c r="AC498" s="223" t="s">
        <v>205</v>
      </c>
    </row>
    <row r="499" spans="2:29" s="28" customFormat="1" ht="99" customHeight="1" x14ac:dyDescent="0.35">
      <c r="B499" s="77">
        <v>20250494</v>
      </c>
      <c r="C499" s="50" t="s">
        <v>346</v>
      </c>
      <c r="D499" s="218" t="s">
        <v>166</v>
      </c>
      <c r="E499" s="219" t="s">
        <v>565</v>
      </c>
      <c r="F499" s="218" t="s">
        <v>954</v>
      </c>
      <c r="G499" s="218" t="s">
        <v>129</v>
      </c>
      <c r="H499" s="93" t="s">
        <v>640</v>
      </c>
      <c r="I499" s="220">
        <v>5</v>
      </c>
      <c r="J499" s="220">
        <v>10</v>
      </c>
      <c r="K499" s="52">
        <v>0</v>
      </c>
      <c r="L499" s="53">
        <v>6319572073</v>
      </c>
      <c r="M499" s="218" t="s">
        <v>172</v>
      </c>
      <c r="N499" s="53" t="s">
        <v>85</v>
      </c>
      <c r="O499" s="219" t="s">
        <v>347</v>
      </c>
      <c r="P499" s="221" t="str">
        <f>IFERROR(VLOOKUP(C499,TD!$B$33:$F$37,2,0)," ")</f>
        <v>NA</v>
      </c>
      <c r="Q499" s="221" t="str">
        <f>IFERROR(VLOOKUP(C499,TD!$B$33:$F$37,3,0)," ")</f>
        <v>NA</v>
      </c>
      <c r="R499" s="221" t="str">
        <f>IFERROR(VLOOKUP(C499,TD!$B$33:$F$37,4,0)," ")</f>
        <v>NA</v>
      </c>
      <c r="S499" s="219" t="s">
        <v>406</v>
      </c>
      <c r="T499" s="221" t="str">
        <f>IFERROR(VLOOKUP(S499,TD!$J$34:$K$44,2,0)," ")</f>
        <v>N/A</v>
      </c>
      <c r="U499" s="222" t="str">
        <f t="shared" si="30"/>
        <v>N/A-N/A</v>
      </c>
      <c r="V499" s="219" t="s">
        <v>406</v>
      </c>
      <c r="W499" s="221" t="str">
        <f>IFERROR(VLOOKUP(V499,TD!$N$34:$O$46,2,0)," ")</f>
        <v>N/A</v>
      </c>
      <c r="X499" s="222" t="str">
        <f t="shared" si="31"/>
        <v>N/A_N/A</v>
      </c>
      <c r="Y499" s="222" t="str">
        <f t="shared" si="32"/>
        <v>N/A-N/A N/A_N/A</v>
      </c>
      <c r="Z499" s="221" t="str">
        <f t="shared" si="33"/>
        <v>NANANAN/AN/A</v>
      </c>
      <c r="AA499" s="221" t="str">
        <f>IFERROR(VLOOKUP(Y499,TD!$K$47:$L$65,2,0)," ")</f>
        <v>N/A</v>
      </c>
      <c r="AB499" s="53" t="s">
        <v>675</v>
      </c>
      <c r="AC499" s="223" t="s">
        <v>204</v>
      </c>
    </row>
    <row r="500" spans="2:29" s="28" customFormat="1" ht="99" customHeight="1" x14ac:dyDescent="0.35">
      <c r="B500" s="130">
        <v>20250495</v>
      </c>
      <c r="C500" s="132" t="s">
        <v>346</v>
      </c>
      <c r="D500" s="224" t="s">
        <v>166</v>
      </c>
      <c r="E500" s="225" t="s">
        <v>565</v>
      </c>
      <c r="F500" s="224" t="s">
        <v>869</v>
      </c>
      <c r="G500" s="224" t="s">
        <v>133</v>
      </c>
      <c r="H500" s="133" t="s">
        <v>627</v>
      </c>
      <c r="I500" s="226">
        <v>2</v>
      </c>
      <c r="J500" s="226">
        <v>3</v>
      </c>
      <c r="K500" s="129">
        <v>0</v>
      </c>
      <c r="L500" s="128">
        <f>20003880+65341500</f>
        <v>85345380</v>
      </c>
      <c r="M500" s="224" t="s">
        <v>172</v>
      </c>
      <c r="N500" s="128" t="s">
        <v>85</v>
      </c>
      <c r="O500" s="225" t="s">
        <v>347</v>
      </c>
      <c r="P500" s="227" t="str">
        <f>IFERROR(VLOOKUP(C500,TD!$B$33:$F$37,2,0)," ")</f>
        <v>NA</v>
      </c>
      <c r="Q500" s="227" t="str">
        <f>IFERROR(VLOOKUP(C500,TD!$B$33:$F$37,3,0)," ")</f>
        <v>NA</v>
      </c>
      <c r="R500" s="227" t="str">
        <f>IFERROR(VLOOKUP(C500,TD!$B$33:$F$37,4,0)," ")</f>
        <v>NA</v>
      </c>
      <c r="S500" s="225" t="s">
        <v>406</v>
      </c>
      <c r="T500" s="227" t="str">
        <f>IFERROR(VLOOKUP(S500,TD!$J$34:$K$44,2,0)," ")</f>
        <v>N/A</v>
      </c>
      <c r="U500" s="222" t="str">
        <f t="shared" si="30"/>
        <v>N/A-N/A</v>
      </c>
      <c r="V500" s="225" t="s">
        <v>406</v>
      </c>
      <c r="W500" s="227" t="str">
        <f>IFERROR(VLOOKUP(V500,TD!$N$34:$O$46,2,0)," ")</f>
        <v>N/A</v>
      </c>
      <c r="X500" s="222" t="str">
        <f t="shared" si="31"/>
        <v>N/A_N/A</v>
      </c>
      <c r="Y500" s="222" t="str">
        <f t="shared" si="32"/>
        <v>N/A-N/A N/A_N/A</v>
      </c>
      <c r="Z500" s="227" t="str">
        <f t="shared" si="33"/>
        <v>NANANAN/AN/A</v>
      </c>
      <c r="AA500" s="227" t="str">
        <f>IFERROR(VLOOKUP(Y500,TD!$K$47:$L$65,2,0)," ")</f>
        <v>N/A</v>
      </c>
      <c r="AB500" s="128" t="s">
        <v>675</v>
      </c>
      <c r="AC500" s="228" t="s">
        <v>205</v>
      </c>
    </row>
    <row r="501" spans="2:29" s="28" customFormat="1" ht="99" customHeight="1" x14ac:dyDescent="0.35">
      <c r="B501" s="77">
        <v>20250496</v>
      </c>
      <c r="C501" s="50" t="s">
        <v>346</v>
      </c>
      <c r="D501" s="218" t="s">
        <v>166</v>
      </c>
      <c r="E501" s="219" t="s">
        <v>565</v>
      </c>
      <c r="F501" s="218" t="s">
        <v>642</v>
      </c>
      <c r="G501" s="218" t="s">
        <v>157</v>
      </c>
      <c r="H501" s="93" t="s">
        <v>739</v>
      </c>
      <c r="I501" s="220">
        <v>4</v>
      </c>
      <c r="J501" s="220">
        <v>10</v>
      </c>
      <c r="K501" s="52">
        <v>0</v>
      </c>
      <c r="L501" s="53">
        <f>10000000+1000000</f>
        <v>11000000</v>
      </c>
      <c r="M501" s="218" t="s">
        <v>172</v>
      </c>
      <c r="N501" s="53" t="s">
        <v>618</v>
      </c>
      <c r="O501" s="219" t="s">
        <v>347</v>
      </c>
      <c r="P501" s="221" t="str">
        <f>IFERROR(VLOOKUP(C501,TD!$B$33:$F$37,2,0)," ")</f>
        <v>NA</v>
      </c>
      <c r="Q501" s="221" t="str">
        <f>IFERROR(VLOOKUP(C501,TD!$B$33:$F$37,3,0)," ")</f>
        <v>NA</v>
      </c>
      <c r="R501" s="221" t="str">
        <f>IFERROR(VLOOKUP(C501,TD!$B$33:$F$37,4,0)," ")</f>
        <v>NA</v>
      </c>
      <c r="S501" s="219" t="s">
        <v>406</v>
      </c>
      <c r="T501" s="221" t="str">
        <f>IFERROR(VLOOKUP(S501,TD!$J$34:$K$44,2,0)," ")</f>
        <v>N/A</v>
      </c>
      <c r="U501" s="222" t="str">
        <f t="shared" si="30"/>
        <v>N/A-N/A</v>
      </c>
      <c r="V501" s="219" t="s">
        <v>406</v>
      </c>
      <c r="W501" s="221" t="str">
        <f>IFERROR(VLOOKUP(V501,TD!$N$34:$O$46,2,0)," ")</f>
        <v>N/A</v>
      </c>
      <c r="X501" s="222" t="str">
        <f t="shared" si="31"/>
        <v>N/A_N/A</v>
      </c>
      <c r="Y501" s="222" t="str">
        <f t="shared" si="32"/>
        <v>N/A-N/A N/A_N/A</v>
      </c>
      <c r="Z501" s="221" t="str">
        <f t="shared" si="33"/>
        <v>NANANAN/AN/A</v>
      </c>
      <c r="AA501" s="221" t="str">
        <f>IFERROR(VLOOKUP(Y501,TD!$K$47:$L$65,2,0)," ")</f>
        <v>N/A</v>
      </c>
      <c r="AB501" s="53" t="s">
        <v>675</v>
      </c>
      <c r="AC501" s="223" t="s">
        <v>204</v>
      </c>
    </row>
    <row r="502" spans="2:29" s="28" customFormat="1" ht="99" customHeight="1" x14ac:dyDescent="0.35">
      <c r="B502" s="77">
        <v>20250497</v>
      </c>
      <c r="C502" s="50" t="s">
        <v>346</v>
      </c>
      <c r="D502" s="218" t="s">
        <v>166</v>
      </c>
      <c r="E502" s="219" t="s">
        <v>565</v>
      </c>
      <c r="F502" s="218" t="s">
        <v>643</v>
      </c>
      <c r="G502" s="218" t="s">
        <v>96</v>
      </c>
      <c r="H502" s="93" t="s">
        <v>740</v>
      </c>
      <c r="I502" s="220">
        <v>3</v>
      </c>
      <c r="J502" s="220">
        <v>2</v>
      </c>
      <c r="K502" s="52">
        <v>0</v>
      </c>
      <c r="L502" s="53">
        <v>1285200</v>
      </c>
      <c r="M502" s="218" t="s">
        <v>172</v>
      </c>
      <c r="N502" s="53" t="s">
        <v>100</v>
      </c>
      <c r="O502" s="219" t="s">
        <v>347</v>
      </c>
      <c r="P502" s="221" t="str">
        <f>IFERROR(VLOOKUP(C502,TD!$B$33:$F$37,2,0)," ")</f>
        <v>NA</v>
      </c>
      <c r="Q502" s="221" t="str">
        <f>IFERROR(VLOOKUP(C502,TD!$B$33:$F$37,3,0)," ")</f>
        <v>NA</v>
      </c>
      <c r="R502" s="221" t="str">
        <f>IFERROR(VLOOKUP(C502,TD!$B$33:$F$37,4,0)," ")</f>
        <v>NA</v>
      </c>
      <c r="S502" s="219" t="s">
        <v>406</v>
      </c>
      <c r="T502" s="221" t="str">
        <f>IFERROR(VLOOKUP(S502,TD!$J$34:$K$44,2,0)," ")</f>
        <v>N/A</v>
      </c>
      <c r="U502" s="222" t="str">
        <f t="shared" si="30"/>
        <v>N/A-N/A</v>
      </c>
      <c r="V502" s="219" t="s">
        <v>406</v>
      </c>
      <c r="W502" s="221" t="str">
        <f>IFERROR(VLOOKUP(V502,TD!$N$34:$O$46,2,0)," ")</f>
        <v>N/A</v>
      </c>
      <c r="X502" s="222" t="str">
        <f t="shared" si="31"/>
        <v>N/A_N/A</v>
      </c>
      <c r="Y502" s="222" t="str">
        <f t="shared" si="32"/>
        <v>N/A-N/A N/A_N/A</v>
      </c>
      <c r="Z502" s="221" t="str">
        <f t="shared" si="33"/>
        <v>NANANAN/AN/A</v>
      </c>
      <c r="AA502" s="221" t="str">
        <f>IFERROR(VLOOKUP(Y502,TD!$K$47:$L$65,2,0)," ")</f>
        <v>N/A</v>
      </c>
      <c r="AB502" s="53" t="s">
        <v>675</v>
      </c>
      <c r="AC502" s="223" t="s">
        <v>204</v>
      </c>
    </row>
    <row r="503" spans="2:29" s="28" customFormat="1" ht="99" customHeight="1" x14ac:dyDescent="0.35">
      <c r="B503" s="77">
        <v>20250501</v>
      </c>
      <c r="C503" s="50" t="s">
        <v>346</v>
      </c>
      <c r="D503" s="218" t="s">
        <v>166</v>
      </c>
      <c r="E503" s="219" t="s">
        <v>565</v>
      </c>
      <c r="F503" s="218" t="s">
        <v>647</v>
      </c>
      <c r="G503" s="218" t="s">
        <v>96</v>
      </c>
      <c r="H503" s="93" t="s">
        <v>648</v>
      </c>
      <c r="I503" s="220">
        <v>3</v>
      </c>
      <c r="J503" s="220">
        <v>10</v>
      </c>
      <c r="K503" s="52">
        <v>0</v>
      </c>
      <c r="L503" s="53">
        <v>30000000</v>
      </c>
      <c r="M503" s="218" t="s">
        <v>172</v>
      </c>
      <c r="N503" s="53" t="s">
        <v>100</v>
      </c>
      <c r="O503" s="219" t="s">
        <v>347</v>
      </c>
      <c r="P503" s="221" t="str">
        <f>IFERROR(VLOOKUP(C503,TD!$B$33:$F$37,2,0)," ")</f>
        <v>NA</v>
      </c>
      <c r="Q503" s="221" t="str">
        <f>IFERROR(VLOOKUP(C503,TD!$B$33:$F$37,3,0)," ")</f>
        <v>NA</v>
      </c>
      <c r="R503" s="221" t="str">
        <f>IFERROR(VLOOKUP(C503,TD!$B$33:$F$37,4,0)," ")</f>
        <v>NA</v>
      </c>
      <c r="S503" s="219" t="s">
        <v>406</v>
      </c>
      <c r="T503" s="221" t="str">
        <f>IFERROR(VLOOKUP(S503,TD!$J$34:$K$44,2,0)," ")</f>
        <v>N/A</v>
      </c>
      <c r="U503" s="222" t="str">
        <f t="shared" si="30"/>
        <v>N/A-N/A</v>
      </c>
      <c r="V503" s="219" t="s">
        <v>406</v>
      </c>
      <c r="W503" s="221" t="str">
        <f>IFERROR(VLOOKUP(V503,TD!$N$34:$O$46,2,0)," ")</f>
        <v>N/A</v>
      </c>
      <c r="X503" s="222" t="str">
        <f t="shared" si="31"/>
        <v>N/A_N/A</v>
      </c>
      <c r="Y503" s="222" t="str">
        <f t="shared" si="32"/>
        <v>N/A-N/A N/A_N/A</v>
      </c>
      <c r="Z503" s="221" t="str">
        <f t="shared" si="33"/>
        <v>NANANAN/AN/A</v>
      </c>
      <c r="AA503" s="221" t="str">
        <f>IFERROR(VLOOKUP(Y503,TD!$K$47:$L$65,2,0)," ")</f>
        <v>N/A</v>
      </c>
      <c r="AB503" s="53" t="s">
        <v>675</v>
      </c>
      <c r="AC503" s="223" t="s">
        <v>204</v>
      </c>
    </row>
    <row r="504" spans="2:29" s="28" customFormat="1" ht="99" customHeight="1" x14ac:dyDescent="0.35">
      <c r="B504" s="77">
        <v>20250502</v>
      </c>
      <c r="C504" s="50" t="s">
        <v>346</v>
      </c>
      <c r="D504" s="218" t="s">
        <v>166</v>
      </c>
      <c r="E504" s="219" t="s">
        <v>565</v>
      </c>
      <c r="F504" s="218" t="s">
        <v>931</v>
      </c>
      <c r="G504" s="218" t="s">
        <v>119</v>
      </c>
      <c r="H504" s="93" t="s">
        <v>649</v>
      </c>
      <c r="I504" s="220">
        <v>3</v>
      </c>
      <c r="J504" s="220">
        <v>8</v>
      </c>
      <c r="K504" s="52">
        <v>0</v>
      </c>
      <c r="L504" s="53">
        <v>10000000</v>
      </c>
      <c r="M504" s="218" t="s">
        <v>172</v>
      </c>
      <c r="N504" s="53" t="s">
        <v>100</v>
      </c>
      <c r="O504" s="219" t="s">
        <v>347</v>
      </c>
      <c r="P504" s="221" t="str">
        <f>IFERROR(VLOOKUP(C504,TD!$B$33:$F$37,2,0)," ")</f>
        <v>NA</v>
      </c>
      <c r="Q504" s="221" t="str">
        <f>IFERROR(VLOOKUP(C504,TD!$B$33:$F$37,3,0)," ")</f>
        <v>NA</v>
      </c>
      <c r="R504" s="221" t="str">
        <f>IFERROR(VLOOKUP(C504,TD!$B$33:$F$37,4,0)," ")</f>
        <v>NA</v>
      </c>
      <c r="S504" s="219" t="s">
        <v>406</v>
      </c>
      <c r="T504" s="221" t="str">
        <f>IFERROR(VLOOKUP(S504,TD!$J$34:$K$44,2,0)," ")</f>
        <v>N/A</v>
      </c>
      <c r="U504" s="222" t="str">
        <f t="shared" si="30"/>
        <v>N/A-N/A</v>
      </c>
      <c r="V504" s="219" t="s">
        <v>406</v>
      </c>
      <c r="W504" s="221" t="str">
        <f>IFERROR(VLOOKUP(V504,TD!$N$34:$O$46,2,0)," ")</f>
        <v>N/A</v>
      </c>
      <c r="X504" s="222" t="str">
        <f t="shared" si="31"/>
        <v>N/A_N/A</v>
      </c>
      <c r="Y504" s="222" t="str">
        <f t="shared" si="32"/>
        <v>N/A-N/A N/A_N/A</v>
      </c>
      <c r="Z504" s="221" t="str">
        <f t="shared" si="33"/>
        <v>NANANAN/AN/A</v>
      </c>
      <c r="AA504" s="221" t="str">
        <f>IFERROR(VLOOKUP(Y504,TD!$K$47:$L$65,2,0)," ")</f>
        <v>N/A</v>
      </c>
      <c r="AB504" s="53" t="s">
        <v>675</v>
      </c>
      <c r="AC504" s="223" t="s">
        <v>204</v>
      </c>
    </row>
    <row r="505" spans="2:29" s="28" customFormat="1" ht="99" customHeight="1" x14ac:dyDescent="0.35">
      <c r="B505" s="77">
        <v>20250503</v>
      </c>
      <c r="C505" s="50" t="s">
        <v>346</v>
      </c>
      <c r="D505" s="218" t="s">
        <v>166</v>
      </c>
      <c r="E505" s="219" t="s">
        <v>565</v>
      </c>
      <c r="F505" s="218" t="s">
        <v>650</v>
      </c>
      <c r="G505" s="218" t="s">
        <v>119</v>
      </c>
      <c r="H505" s="93" t="s">
        <v>651</v>
      </c>
      <c r="I505" s="220">
        <v>2</v>
      </c>
      <c r="J505" s="220">
        <v>3</v>
      </c>
      <c r="K505" s="52">
        <v>0</v>
      </c>
      <c r="L505" s="53">
        <v>29250000</v>
      </c>
      <c r="M505" s="218" t="s">
        <v>172</v>
      </c>
      <c r="N505" s="53" t="s">
        <v>100</v>
      </c>
      <c r="O505" s="219" t="s">
        <v>347</v>
      </c>
      <c r="P505" s="221" t="str">
        <f>IFERROR(VLOOKUP(C505,TD!$B$33:$F$37,2,0)," ")</f>
        <v>NA</v>
      </c>
      <c r="Q505" s="221" t="str">
        <f>IFERROR(VLOOKUP(C505,TD!$B$33:$F$37,3,0)," ")</f>
        <v>NA</v>
      </c>
      <c r="R505" s="221" t="str">
        <f>IFERROR(VLOOKUP(C505,TD!$B$33:$F$37,4,0)," ")</f>
        <v>NA</v>
      </c>
      <c r="S505" s="219" t="s">
        <v>406</v>
      </c>
      <c r="T505" s="221" t="str">
        <f>IFERROR(VLOOKUP(S505,TD!$J$34:$K$44,2,0)," ")</f>
        <v>N/A</v>
      </c>
      <c r="U505" s="222" t="str">
        <f t="shared" si="30"/>
        <v>N/A-N/A</v>
      </c>
      <c r="V505" s="219" t="s">
        <v>406</v>
      </c>
      <c r="W505" s="221" t="str">
        <f>IFERROR(VLOOKUP(V505,TD!$N$34:$O$46,2,0)," ")</f>
        <v>N/A</v>
      </c>
      <c r="X505" s="222" t="str">
        <f t="shared" si="31"/>
        <v>N/A_N/A</v>
      </c>
      <c r="Y505" s="222" t="str">
        <f t="shared" si="32"/>
        <v>N/A-N/A N/A_N/A</v>
      </c>
      <c r="Z505" s="221" t="str">
        <f t="shared" si="33"/>
        <v>NANANAN/AN/A</v>
      </c>
      <c r="AA505" s="221" t="str">
        <f>IFERROR(VLOOKUP(Y505,TD!$K$47:$L$65,2,0)," ")</f>
        <v>N/A</v>
      </c>
      <c r="AB505" s="53" t="s">
        <v>675</v>
      </c>
      <c r="AC505" s="223" t="s">
        <v>205</v>
      </c>
    </row>
    <row r="506" spans="2:29" s="28" customFormat="1" ht="99" customHeight="1" x14ac:dyDescent="0.35">
      <c r="B506" s="130">
        <v>20250504</v>
      </c>
      <c r="C506" s="50" t="s">
        <v>208</v>
      </c>
      <c r="D506" s="218" t="s">
        <v>166</v>
      </c>
      <c r="E506" s="219" t="s">
        <v>565</v>
      </c>
      <c r="F506" s="218" t="s">
        <v>587</v>
      </c>
      <c r="G506" s="218" t="s">
        <v>96</v>
      </c>
      <c r="H506" s="93" t="s">
        <v>638</v>
      </c>
      <c r="I506" s="220">
        <v>4</v>
      </c>
      <c r="J506" s="220">
        <v>3</v>
      </c>
      <c r="K506" s="52">
        <v>0</v>
      </c>
      <c r="L506" s="53">
        <f>600000000-55178416+38743342-296956184-22080000</f>
        <v>264528742</v>
      </c>
      <c r="M506" s="218" t="s">
        <v>465</v>
      </c>
      <c r="N506" s="128" t="s">
        <v>90</v>
      </c>
      <c r="O506" s="219" t="s">
        <v>218</v>
      </c>
      <c r="P506" s="221" t="str">
        <f>IFERROR(VLOOKUP(C506,TD!$B$33:$F$37,2,0)," ")</f>
        <v>O230117</v>
      </c>
      <c r="Q506" s="221" t="str">
        <f>IFERROR(VLOOKUP(C506,TD!$B$33:$F$37,3,0)," ")</f>
        <v>4599</v>
      </c>
      <c r="R506" s="221">
        <f>IFERROR(VLOOKUP(C506,TD!$B$33:$F$37,4,0)," ")</f>
        <v>20240207</v>
      </c>
      <c r="S506" s="219" t="s">
        <v>185</v>
      </c>
      <c r="T506" s="221" t="str">
        <f>IFERROR(VLOOKUP(S506,TD!$J$34:$K$44,2,0)," ")</f>
        <v>Infraestructura física, mantenimiento y dotación (Sedes construidas, mantenidas reforzadas)</v>
      </c>
      <c r="U506" s="222" t="str">
        <f t="shared" si="30"/>
        <v>08-Infraestructura física, mantenimiento y dotación (Sedes construidas, mantenidas reforzadas)</v>
      </c>
      <c r="V506" s="219" t="s">
        <v>238</v>
      </c>
      <c r="W506" s="221" t="str">
        <f>IFERROR(VLOOKUP(V506,TD!$N$34:$O$46,2,0)," ")</f>
        <v>Sedes mantenidas</v>
      </c>
      <c r="X506" s="222" t="str">
        <f t="shared" si="31"/>
        <v>016_Sedes mantenidas</v>
      </c>
      <c r="Y506" s="222" t="str">
        <f t="shared" si="32"/>
        <v>08-Infraestructura física, mantenimiento y dotación (Sedes construidas, mantenidas reforzadas) 016_Sedes mantenidas</v>
      </c>
      <c r="Z506" s="221" t="str">
        <f t="shared" si="33"/>
        <v>O23011745992024020708016</v>
      </c>
      <c r="AA506" s="221" t="str">
        <f>IFERROR(VLOOKUP(Y506,TD!$K$47:$L$65,2,0)," ")</f>
        <v>PM/0131/0108/45990160207</v>
      </c>
      <c r="AB506" s="53" t="s">
        <v>141</v>
      </c>
      <c r="AC506" s="223" t="s">
        <v>204</v>
      </c>
    </row>
    <row r="507" spans="2:29" s="28" customFormat="1" ht="99" customHeight="1" x14ac:dyDescent="0.35">
      <c r="B507" s="77">
        <v>20250505</v>
      </c>
      <c r="C507" s="50" t="s">
        <v>208</v>
      </c>
      <c r="D507" s="218" t="s">
        <v>166</v>
      </c>
      <c r="E507" s="219" t="s">
        <v>565</v>
      </c>
      <c r="F507" s="218" t="s">
        <v>980</v>
      </c>
      <c r="G507" s="218" t="s">
        <v>146</v>
      </c>
      <c r="H507" s="93" t="s">
        <v>981</v>
      </c>
      <c r="I507" s="220">
        <v>2</v>
      </c>
      <c r="J507" s="220">
        <v>9</v>
      </c>
      <c r="K507" s="52">
        <v>0</v>
      </c>
      <c r="L507" s="53">
        <v>40000000</v>
      </c>
      <c r="M507" s="218" t="s">
        <v>465</v>
      </c>
      <c r="N507" s="53" t="s">
        <v>100</v>
      </c>
      <c r="O507" s="219" t="s">
        <v>218</v>
      </c>
      <c r="P507" s="221" t="str">
        <f>IFERROR(VLOOKUP(C507,TD!$B$33:$F$37,2,0)," ")</f>
        <v>O230117</v>
      </c>
      <c r="Q507" s="221" t="str">
        <f>IFERROR(VLOOKUP(C507,TD!$B$33:$F$37,3,0)," ")</f>
        <v>4599</v>
      </c>
      <c r="R507" s="221">
        <f>IFERROR(VLOOKUP(C507,TD!$B$33:$F$37,4,0)," ")</f>
        <v>20240207</v>
      </c>
      <c r="S507" s="219" t="s">
        <v>185</v>
      </c>
      <c r="T507" s="221" t="str">
        <f>IFERROR(VLOOKUP(S507,TD!$J$34:$K$44,2,0)," ")</f>
        <v>Infraestructura física, mantenimiento y dotación (Sedes construidas, mantenidas reforzadas)</v>
      </c>
      <c r="U507" s="222" t="str">
        <f t="shared" si="30"/>
        <v>08-Infraestructura física, mantenimiento y dotación (Sedes construidas, mantenidas reforzadas)</v>
      </c>
      <c r="V507" s="219" t="s">
        <v>238</v>
      </c>
      <c r="W507" s="221" t="str">
        <f>IFERROR(VLOOKUP(V507,TD!$N$34:$O$46,2,0)," ")</f>
        <v>Sedes mantenidas</v>
      </c>
      <c r="X507" s="222" t="str">
        <f t="shared" si="31"/>
        <v>016_Sedes mantenidas</v>
      </c>
      <c r="Y507" s="222" t="str">
        <f t="shared" si="32"/>
        <v>08-Infraestructura física, mantenimiento y dotación (Sedes construidas, mantenidas reforzadas) 016_Sedes mantenidas</v>
      </c>
      <c r="Z507" s="221" t="str">
        <f t="shared" si="33"/>
        <v>O23011745992024020708016</v>
      </c>
      <c r="AA507" s="221" t="str">
        <f>IFERROR(VLOOKUP(Y507,TD!$K$47:$L$65,2,0)," ")</f>
        <v>PM/0131/0108/45990160207</v>
      </c>
      <c r="AB507" s="53" t="s">
        <v>147</v>
      </c>
      <c r="AC507" s="223" t="s">
        <v>204</v>
      </c>
    </row>
    <row r="508" spans="2:29" s="28" customFormat="1" ht="99" customHeight="1" x14ac:dyDescent="0.35">
      <c r="B508" s="77">
        <v>20250506</v>
      </c>
      <c r="C508" s="50" t="s">
        <v>208</v>
      </c>
      <c r="D508" s="218" t="s">
        <v>166</v>
      </c>
      <c r="E508" s="219" t="s">
        <v>565</v>
      </c>
      <c r="F508" s="218" t="s">
        <v>600</v>
      </c>
      <c r="G508" s="218" t="s">
        <v>157</v>
      </c>
      <c r="H508" s="93" t="s">
        <v>652</v>
      </c>
      <c r="I508" s="220">
        <v>4</v>
      </c>
      <c r="J508" s="220">
        <v>6</v>
      </c>
      <c r="K508" s="52">
        <v>0</v>
      </c>
      <c r="L508" s="53">
        <v>1000000</v>
      </c>
      <c r="M508" s="218" t="s">
        <v>465</v>
      </c>
      <c r="N508" s="53" t="s">
        <v>90</v>
      </c>
      <c r="O508" s="219" t="s">
        <v>218</v>
      </c>
      <c r="P508" s="221" t="str">
        <f>IFERROR(VLOOKUP(C508,TD!$B$33:$F$37,2,0)," ")</f>
        <v>O230117</v>
      </c>
      <c r="Q508" s="221" t="str">
        <f>IFERROR(VLOOKUP(C508,TD!$B$33:$F$37,3,0)," ")</f>
        <v>4599</v>
      </c>
      <c r="R508" s="221">
        <f>IFERROR(VLOOKUP(C508,TD!$B$33:$F$37,4,0)," ")</f>
        <v>20240207</v>
      </c>
      <c r="S508" s="219" t="s">
        <v>185</v>
      </c>
      <c r="T508" s="221" t="str">
        <f>IFERROR(VLOOKUP(S508,TD!$J$34:$K$44,2,0)," ")</f>
        <v>Infraestructura física, mantenimiento y dotación (Sedes construidas, mantenidas reforzadas)</v>
      </c>
      <c r="U508" s="222" t="str">
        <f t="shared" si="30"/>
        <v>08-Infraestructura física, mantenimiento y dotación (Sedes construidas, mantenidas reforzadas)</v>
      </c>
      <c r="V508" s="219" t="s">
        <v>238</v>
      </c>
      <c r="W508" s="221" t="str">
        <f>IFERROR(VLOOKUP(V508,TD!$N$34:$O$46,2,0)," ")</f>
        <v>Sedes mantenidas</v>
      </c>
      <c r="X508" s="222" t="str">
        <f t="shared" si="31"/>
        <v>016_Sedes mantenidas</v>
      </c>
      <c r="Y508" s="222" t="str">
        <f t="shared" si="32"/>
        <v>08-Infraestructura física, mantenimiento y dotación (Sedes construidas, mantenidas reforzadas) 016_Sedes mantenidas</v>
      </c>
      <c r="Z508" s="221" t="str">
        <f t="shared" si="33"/>
        <v>O23011745992024020708016</v>
      </c>
      <c r="AA508" s="221" t="str">
        <f>IFERROR(VLOOKUP(Y508,TD!$K$47:$L$65,2,0)," ")</f>
        <v>PM/0131/0108/45990160207</v>
      </c>
      <c r="AB508" s="53" t="s">
        <v>147</v>
      </c>
      <c r="AC508" s="223" t="s">
        <v>204</v>
      </c>
    </row>
    <row r="509" spans="2:29" s="28" customFormat="1" ht="99" customHeight="1" x14ac:dyDescent="0.35">
      <c r="B509" s="77">
        <v>20250507</v>
      </c>
      <c r="C509" s="50" t="s">
        <v>208</v>
      </c>
      <c r="D509" s="218" t="s">
        <v>166</v>
      </c>
      <c r="E509" s="219" t="s">
        <v>565</v>
      </c>
      <c r="F509" s="218" t="s">
        <v>979</v>
      </c>
      <c r="G509" s="218" t="s">
        <v>146</v>
      </c>
      <c r="H509" s="93">
        <v>73152108</v>
      </c>
      <c r="I509" s="220">
        <v>3</v>
      </c>
      <c r="J509" s="220">
        <v>8</v>
      </c>
      <c r="K509" s="52">
        <v>0</v>
      </c>
      <c r="L509" s="53">
        <v>15000000</v>
      </c>
      <c r="M509" s="218" t="s">
        <v>465</v>
      </c>
      <c r="N509" s="53" t="s">
        <v>100</v>
      </c>
      <c r="O509" s="219" t="s">
        <v>218</v>
      </c>
      <c r="P509" s="221" t="str">
        <f>IFERROR(VLOOKUP(C509,TD!$B$33:$F$37,2,0)," ")</f>
        <v>O230117</v>
      </c>
      <c r="Q509" s="221" t="str">
        <f>IFERROR(VLOOKUP(C509,TD!$B$33:$F$37,3,0)," ")</f>
        <v>4599</v>
      </c>
      <c r="R509" s="221">
        <f>IFERROR(VLOOKUP(C509,TD!$B$33:$F$37,4,0)," ")</f>
        <v>20240207</v>
      </c>
      <c r="S509" s="219" t="s">
        <v>185</v>
      </c>
      <c r="T509" s="221" t="str">
        <f>IFERROR(VLOOKUP(S509,TD!$J$34:$K$44,2,0)," ")</f>
        <v>Infraestructura física, mantenimiento y dotación (Sedes construidas, mantenidas reforzadas)</v>
      </c>
      <c r="U509" s="222" t="str">
        <f t="shared" si="30"/>
        <v>08-Infraestructura física, mantenimiento y dotación (Sedes construidas, mantenidas reforzadas)</v>
      </c>
      <c r="V509" s="219" t="s">
        <v>238</v>
      </c>
      <c r="W509" s="221" t="str">
        <f>IFERROR(VLOOKUP(V509,TD!$N$34:$O$46,2,0)," ")</f>
        <v>Sedes mantenidas</v>
      </c>
      <c r="X509" s="222" t="str">
        <f t="shared" si="31"/>
        <v>016_Sedes mantenidas</v>
      </c>
      <c r="Y509" s="222" t="str">
        <f t="shared" si="32"/>
        <v>08-Infraestructura física, mantenimiento y dotación (Sedes construidas, mantenidas reforzadas) 016_Sedes mantenidas</v>
      </c>
      <c r="Z509" s="221" t="str">
        <f t="shared" si="33"/>
        <v>O23011745992024020708016</v>
      </c>
      <c r="AA509" s="221" t="str">
        <f>IFERROR(VLOOKUP(Y509,TD!$K$47:$L$65,2,0)," ")</f>
        <v>PM/0131/0108/45990160207</v>
      </c>
      <c r="AB509" s="53" t="s">
        <v>147</v>
      </c>
      <c r="AC509" s="223" t="s">
        <v>204</v>
      </c>
    </row>
    <row r="510" spans="2:29" s="28" customFormat="1" ht="99" customHeight="1" x14ac:dyDescent="0.35">
      <c r="B510" s="77">
        <v>20250508</v>
      </c>
      <c r="C510" s="50" t="s">
        <v>208</v>
      </c>
      <c r="D510" s="218" t="s">
        <v>166</v>
      </c>
      <c r="E510" s="219" t="s">
        <v>565</v>
      </c>
      <c r="F510" s="218" t="s">
        <v>601</v>
      </c>
      <c r="G510" s="218" t="s">
        <v>119</v>
      </c>
      <c r="H510" s="93" t="s">
        <v>653</v>
      </c>
      <c r="I510" s="220">
        <v>2</v>
      </c>
      <c r="J510" s="220">
        <v>8</v>
      </c>
      <c r="K510" s="52">
        <v>0</v>
      </c>
      <c r="L510" s="53">
        <v>243061556</v>
      </c>
      <c r="M510" s="218" t="s">
        <v>465</v>
      </c>
      <c r="N510" s="53" t="s">
        <v>123</v>
      </c>
      <c r="O510" s="219" t="s">
        <v>218</v>
      </c>
      <c r="P510" s="221" t="str">
        <f>IFERROR(VLOOKUP(C510,TD!$B$33:$F$37,2,0)," ")</f>
        <v>O230117</v>
      </c>
      <c r="Q510" s="221" t="str">
        <f>IFERROR(VLOOKUP(C510,TD!$B$33:$F$37,3,0)," ")</f>
        <v>4599</v>
      </c>
      <c r="R510" s="221">
        <f>IFERROR(VLOOKUP(C510,TD!$B$33:$F$37,4,0)," ")</f>
        <v>20240207</v>
      </c>
      <c r="S510" s="219" t="s">
        <v>185</v>
      </c>
      <c r="T510" s="221" t="str">
        <f>IFERROR(VLOOKUP(S510,TD!$J$34:$K$44,2,0)," ")</f>
        <v>Infraestructura física, mantenimiento y dotación (Sedes construidas, mantenidas reforzadas)</v>
      </c>
      <c r="U510" s="222" t="str">
        <f t="shared" si="30"/>
        <v>08-Infraestructura física, mantenimiento y dotación (Sedes construidas, mantenidas reforzadas)</v>
      </c>
      <c r="V510" s="219" t="s">
        <v>238</v>
      </c>
      <c r="W510" s="221" t="str">
        <f>IFERROR(VLOOKUP(V510,TD!$N$34:$O$46,2,0)," ")</f>
        <v>Sedes mantenidas</v>
      </c>
      <c r="X510" s="222" t="str">
        <f t="shared" si="31"/>
        <v>016_Sedes mantenidas</v>
      </c>
      <c r="Y510" s="222" t="str">
        <f t="shared" si="32"/>
        <v>08-Infraestructura física, mantenimiento y dotación (Sedes construidas, mantenidas reforzadas) 016_Sedes mantenidas</v>
      </c>
      <c r="Z510" s="221" t="str">
        <f t="shared" si="33"/>
        <v>O23011745992024020708016</v>
      </c>
      <c r="AA510" s="221" t="str">
        <f>IFERROR(VLOOKUP(Y510,TD!$K$47:$L$65,2,0)," ")</f>
        <v>PM/0131/0108/45990160207</v>
      </c>
      <c r="AB510" s="53" t="s">
        <v>147</v>
      </c>
      <c r="AC510" s="223" t="s">
        <v>204</v>
      </c>
    </row>
    <row r="511" spans="2:29" s="28" customFormat="1" ht="99" customHeight="1" x14ac:dyDescent="0.35">
      <c r="B511" s="130">
        <v>20250510</v>
      </c>
      <c r="C511" s="132" t="s">
        <v>208</v>
      </c>
      <c r="D511" s="224" t="s">
        <v>166</v>
      </c>
      <c r="E511" s="225" t="s">
        <v>565</v>
      </c>
      <c r="F511" s="224" t="s">
        <v>894</v>
      </c>
      <c r="G511" s="224" t="s">
        <v>146</v>
      </c>
      <c r="H511" s="133" t="s">
        <v>654</v>
      </c>
      <c r="I511" s="226">
        <v>2</v>
      </c>
      <c r="J511" s="226">
        <v>8</v>
      </c>
      <c r="K511" s="129">
        <v>0</v>
      </c>
      <c r="L511" s="128">
        <v>400000000</v>
      </c>
      <c r="M511" s="224" t="s">
        <v>465</v>
      </c>
      <c r="N511" s="128" t="s">
        <v>85</v>
      </c>
      <c r="O511" s="225" t="s">
        <v>218</v>
      </c>
      <c r="P511" s="227" t="str">
        <f>IFERROR(VLOOKUP(C511,TD!$B$33:$F$37,2,0)," ")</f>
        <v>O230117</v>
      </c>
      <c r="Q511" s="227" t="str">
        <f>IFERROR(VLOOKUP(C511,TD!$B$33:$F$37,3,0)," ")</f>
        <v>4599</v>
      </c>
      <c r="R511" s="227">
        <f>IFERROR(VLOOKUP(C511,TD!$B$33:$F$37,4,0)," ")</f>
        <v>20240207</v>
      </c>
      <c r="S511" s="225" t="s">
        <v>185</v>
      </c>
      <c r="T511" s="227" t="str">
        <f>IFERROR(VLOOKUP(S511,TD!$J$34:$K$44,2,0)," ")</f>
        <v>Infraestructura física, mantenimiento y dotación (Sedes construidas, mantenidas reforzadas)</v>
      </c>
      <c r="U511" s="222" t="str">
        <f t="shared" si="30"/>
        <v>08-Infraestructura física, mantenimiento y dotación (Sedes construidas, mantenidas reforzadas)</v>
      </c>
      <c r="V511" s="225" t="s">
        <v>238</v>
      </c>
      <c r="W511" s="227" t="str">
        <f>IFERROR(VLOOKUP(V511,TD!$N$34:$O$46,2,0)," ")</f>
        <v>Sedes mantenidas</v>
      </c>
      <c r="X511" s="222" t="str">
        <f t="shared" si="31"/>
        <v>016_Sedes mantenidas</v>
      </c>
      <c r="Y511" s="222" t="str">
        <f t="shared" si="32"/>
        <v>08-Infraestructura física, mantenimiento y dotación (Sedes construidas, mantenidas reforzadas) 016_Sedes mantenidas</v>
      </c>
      <c r="Z511" s="227" t="str">
        <f t="shared" si="33"/>
        <v>O23011745992024020708016</v>
      </c>
      <c r="AA511" s="227" t="str">
        <f>IFERROR(VLOOKUP(Y511,TD!$K$47:$L$65,2,0)," ")</f>
        <v>PM/0131/0108/45990160207</v>
      </c>
      <c r="AB511" s="53" t="s">
        <v>102</v>
      </c>
      <c r="AC511" s="228" t="s">
        <v>205</v>
      </c>
    </row>
    <row r="512" spans="2:29" s="28" customFormat="1" ht="99" customHeight="1" x14ac:dyDescent="0.35">
      <c r="B512" s="77">
        <v>20250511</v>
      </c>
      <c r="C512" s="50" t="s">
        <v>208</v>
      </c>
      <c r="D512" s="218" t="s">
        <v>166</v>
      </c>
      <c r="E512" s="219" t="s">
        <v>565</v>
      </c>
      <c r="F512" s="218" t="s">
        <v>880</v>
      </c>
      <c r="G512" s="218" t="s">
        <v>140</v>
      </c>
      <c r="H512" s="93" t="s">
        <v>655</v>
      </c>
      <c r="I512" s="220">
        <v>2</v>
      </c>
      <c r="J512" s="220">
        <v>8</v>
      </c>
      <c r="K512" s="52">
        <v>0</v>
      </c>
      <c r="L512" s="53">
        <f>181681869-81681885</f>
        <v>99999984</v>
      </c>
      <c r="M512" s="218" t="s">
        <v>465</v>
      </c>
      <c r="N512" s="53" t="s">
        <v>108</v>
      </c>
      <c r="O512" s="219" t="s">
        <v>218</v>
      </c>
      <c r="P512" s="221" t="str">
        <f>IFERROR(VLOOKUP(C512,TD!$B$33:$F$37,2,0)," ")</f>
        <v>O230117</v>
      </c>
      <c r="Q512" s="221" t="str">
        <f>IFERROR(VLOOKUP(C512,TD!$B$33:$F$37,3,0)," ")</f>
        <v>4599</v>
      </c>
      <c r="R512" s="221">
        <f>IFERROR(VLOOKUP(C512,TD!$B$33:$F$37,4,0)," ")</f>
        <v>20240207</v>
      </c>
      <c r="S512" s="219" t="s">
        <v>185</v>
      </c>
      <c r="T512" s="221" t="str">
        <f>IFERROR(VLOOKUP(S512,TD!$J$34:$K$44,2,0)," ")</f>
        <v>Infraestructura física, mantenimiento y dotación (Sedes construidas, mantenidas reforzadas)</v>
      </c>
      <c r="U512" s="222" t="str">
        <f t="shared" si="30"/>
        <v>08-Infraestructura física, mantenimiento y dotación (Sedes construidas, mantenidas reforzadas)</v>
      </c>
      <c r="V512" s="219" t="s">
        <v>238</v>
      </c>
      <c r="W512" s="221" t="str">
        <f>IFERROR(VLOOKUP(V512,TD!$N$34:$O$46,2,0)," ")</f>
        <v>Sedes mantenidas</v>
      </c>
      <c r="X512" s="222" t="str">
        <f t="shared" si="31"/>
        <v>016_Sedes mantenidas</v>
      </c>
      <c r="Y512" s="222" t="str">
        <f t="shared" si="32"/>
        <v>08-Infraestructura física, mantenimiento y dotación (Sedes construidas, mantenidas reforzadas) 016_Sedes mantenidas</v>
      </c>
      <c r="Z512" s="221" t="str">
        <f t="shared" si="33"/>
        <v>O23011745992024020708016</v>
      </c>
      <c r="AA512" s="221" t="str">
        <f>IFERROR(VLOOKUP(Y512,TD!$K$47:$L$65,2,0)," ")</f>
        <v>PM/0131/0108/45990160207</v>
      </c>
      <c r="AB512" s="53" t="s">
        <v>102</v>
      </c>
      <c r="AC512" s="223" t="s">
        <v>205</v>
      </c>
    </row>
    <row r="513" spans="2:29" s="28" customFormat="1" ht="99" customHeight="1" x14ac:dyDescent="0.35">
      <c r="B513" s="77">
        <v>20250512</v>
      </c>
      <c r="C513" s="50" t="s">
        <v>208</v>
      </c>
      <c r="D513" s="218" t="s">
        <v>166</v>
      </c>
      <c r="E513" s="219" t="s">
        <v>565</v>
      </c>
      <c r="F513" s="218" t="s">
        <v>881</v>
      </c>
      <c r="G513" s="218" t="s">
        <v>109</v>
      </c>
      <c r="H513" s="93" t="s">
        <v>603</v>
      </c>
      <c r="I513" s="220">
        <v>4</v>
      </c>
      <c r="J513" s="220">
        <v>3</v>
      </c>
      <c r="K513" s="52">
        <v>0</v>
      </c>
      <c r="L513" s="53">
        <v>1000000</v>
      </c>
      <c r="M513" s="218" t="s">
        <v>465</v>
      </c>
      <c r="N513" s="53" t="s">
        <v>95</v>
      </c>
      <c r="O513" s="219" t="s">
        <v>218</v>
      </c>
      <c r="P513" s="221" t="str">
        <f>IFERROR(VLOOKUP(C513,TD!$B$33:$F$37,2,0)," ")</f>
        <v>O230117</v>
      </c>
      <c r="Q513" s="221" t="str">
        <f>IFERROR(VLOOKUP(C513,TD!$B$33:$F$37,3,0)," ")</f>
        <v>4599</v>
      </c>
      <c r="R513" s="221">
        <f>IFERROR(VLOOKUP(C513,TD!$B$33:$F$37,4,0)," ")</f>
        <v>20240207</v>
      </c>
      <c r="S513" s="219" t="s">
        <v>185</v>
      </c>
      <c r="T513" s="221" t="str">
        <f>IFERROR(VLOOKUP(S513,TD!$J$34:$K$44,2,0)," ")</f>
        <v>Infraestructura física, mantenimiento y dotación (Sedes construidas, mantenidas reforzadas)</v>
      </c>
      <c r="U513" s="222" t="str">
        <f t="shared" si="30"/>
        <v>08-Infraestructura física, mantenimiento y dotación (Sedes construidas, mantenidas reforzadas)</v>
      </c>
      <c r="V513" s="219" t="s">
        <v>238</v>
      </c>
      <c r="W513" s="221" t="str">
        <f>IFERROR(VLOOKUP(V513,TD!$N$34:$O$46,2,0)," ")</f>
        <v>Sedes mantenidas</v>
      </c>
      <c r="X513" s="222" t="str">
        <f t="shared" si="31"/>
        <v>016_Sedes mantenidas</v>
      </c>
      <c r="Y513" s="222" t="str">
        <f t="shared" si="32"/>
        <v>08-Infraestructura física, mantenimiento y dotación (Sedes construidas, mantenidas reforzadas) 016_Sedes mantenidas</v>
      </c>
      <c r="Z513" s="221" t="str">
        <f t="shared" si="33"/>
        <v>O23011745992024020708016</v>
      </c>
      <c r="AA513" s="221" t="str">
        <f>IFERROR(VLOOKUP(Y513,TD!$K$47:$L$65,2,0)," ")</f>
        <v>PM/0131/0108/45990160207</v>
      </c>
      <c r="AB513" s="53" t="s">
        <v>87</v>
      </c>
      <c r="AC513" s="223" t="s">
        <v>204</v>
      </c>
    </row>
    <row r="514" spans="2:29" s="28" customFormat="1" ht="99" customHeight="1" x14ac:dyDescent="0.35">
      <c r="B514" s="130">
        <v>20250515</v>
      </c>
      <c r="C514" s="50" t="s">
        <v>208</v>
      </c>
      <c r="D514" s="218" t="s">
        <v>166</v>
      </c>
      <c r="E514" s="219" t="s">
        <v>565</v>
      </c>
      <c r="F514" s="218" t="s">
        <v>656</v>
      </c>
      <c r="G514" s="218" t="s">
        <v>96</v>
      </c>
      <c r="H514" s="93" t="s">
        <v>638</v>
      </c>
      <c r="I514" s="220">
        <v>2</v>
      </c>
      <c r="J514" s="220">
        <v>4</v>
      </c>
      <c r="K514" s="52">
        <v>0</v>
      </c>
      <c r="L514" s="53">
        <f>100000000+55178416-38743342</f>
        <v>116435074</v>
      </c>
      <c r="M514" s="218" t="s">
        <v>465</v>
      </c>
      <c r="N514" s="53" t="s">
        <v>85</v>
      </c>
      <c r="O514" s="219" t="s">
        <v>218</v>
      </c>
      <c r="P514" s="221" t="str">
        <f>IFERROR(VLOOKUP(C514,TD!$B$33:$F$37,2,0)," ")</f>
        <v>O230117</v>
      </c>
      <c r="Q514" s="221" t="str">
        <f>IFERROR(VLOOKUP(C514,TD!$B$33:$F$37,3,0)," ")</f>
        <v>4599</v>
      </c>
      <c r="R514" s="221">
        <f>IFERROR(VLOOKUP(C514,TD!$B$33:$F$37,4,0)," ")</f>
        <v>20240207</v>
      </c>
      <c r="S514" s="219" t="s">
        <v>185</v>
      </c>
      <c r="T514" s="221" t="str">
        <f>IFERROR(VLOOKUP(S514,TD!$J$34:$K$44,2,0)," ")</f>
        <v>Infraestructura física, mantenimiento y dotación (Sedes construidas, mantenidas reforzadas)</v>
      </c>
      <c r="U514" s="222" t="str">
        <f t="shared" si="30"/>
        <v>08-Infraestructura física, mantenimiento y dotación (Sedes construidas, mantenidas reforzadas)</v>
      </c>
      <c r="V514" s="219" t="s">
        <v>238</v>
      </c>
      <c r="W514" s="221" t="str">
        <f>IFERROR(VLOOKUP(V514,TD!$N$34:$O$46,2,0)," ")</f>
        <v>Sedes mantenidas</v>
      </c>
      <c r="X514" s="222" t="str">
        <f t="shared" si="31"/>
        <v>016_Sedes mantenidas</v>
      </c>
      <c r="Y514" s="222" t="str">
        <f t="shared" si="32"/>
        <v>08-Infraestructura física, mantenimiento y dotación (Sedes construidas, mantenidas reforzadas) 016_Sedes mantenidas</v>
      </c>
      <c r="Z514" s="221" t="str">
        <f t="shared" si="33"/>
        <v>O23011745992024020708016</v>
      </c>
      <c r="AA514" s="221" t="str">
        <f>IFERROR(VLOOKUP(Y514,TD!$K$47:$L$65,2,0)," ")</f>
        <v>PM/0131/0108/45990160207</v>
      </c>
      <c r="AB514" s="53" t="s">
        <v>141</v>
      </c>
      <c r="AC514" s="223" t="s">
        <v>205</v>
      </c>
    </row>
    <row r="515" spans="2:29" s="28" customFormat="1" ht="99" customHeight="1" x14ac:dyDescent="0.35">
      <c r="B515" s="77">
        <v>20250516</v>
      </c>
      <c r="C515" s="50" t="s">
        <v>208</v>
      </c>
      <c r="D515" s="218" t="s">
        <v>166</v>
      </c>
      <c r="E515" s="219" t="s">
        <v>565</v>
      </c>
      <c r="F515" s="218" t="s">
        <v>882</v>
      </c>
      <c r="G515" s="218" t="s">
        <v>119</v>
      </c>
      <c r="H515" s="93" t="s">
        <v>883</v>
      </c>
      <c r="I515" s="220">
        <v>1</v>
      </c>
      <c r="J515" s="220">
        <v>2</v>
      </c>
      <c r="K515" s="52">
        <v>0</v>
      </c>
      <c r="L515" s="53">
        <v>50000000</v>
      </c>
      <c r="M515" s="218" t="s">
        <v>465</v>
      </c>
      <c r="N515" s="53" t="s">
        <v>100</v>
      </c>
      <c r="O515" s="219" t="s">
        <v>218</v>
      </c>
      <c r="P515" s="221" t="str">
        <f>IFERROR(VLOOKUP(C515,TD!$B$33:$F$37,2,0)," ")</f>
        <v>O230117</v>
      </c>
      <c r="Q515" s="221" t="str">
        <f>IFERROR(VLOOKUP(C515,TD!$B$33:$F$37,3,0)," ")</f>
        <v>4599</v>
      </c>
      <c r="R515" s="221">
        <f>IFERROR(VLOOKUP(C515,TD!$B$33:$F$37,4,0)," ")</f>
        <v>20240207</v>
      </c>
      <c r="S515" s="219" t="s">
        <v>185</v>
      </c>
      <c r="T515" s="221" t="str">
        <f>IFERROR(VLOOKUP(S515,TD!$J$34:$K$44,2,0)," ")</f>
        <v>Infraestructura física, mantenimiento y dotación (Sedes construidas, mantenidas reforzadas)</v>
      </c>
      <c r="U515" s="222" t="str">
        <f t="shared" si="30"/>
        <v>08-Infraestructura física, mantenimiento y dotación (Sedes construidas, mantenidas reforzadas)</v>
      </c>
      <c r="V515" s="219" t="s">
        <v>238</v>
      </c>
      <c r="W515" s="221" t="str">
        <f>IFERROR(VLOOKUP(V515,TD!$N$34:$O$46,2,0)," ")</f>
        <v>Sedes mantenidas</v>
      </c>
      <c r="X515" s="222" t="str">
        <f t="shared" si="31"/>
        <v>016_Sedes mantenidas</v>
      </c>
      <c r="Y515" s="222" t="str">
        <f t="shared" si="32"/>
        <v>08-Infraestructura física, mantenimiento y dotación (Sedes construidas, mantenidas reforzadas) 016_Sedes mantenidas</v>
      </c>
      <c r="Z515" s="221" t="str">
        <f t="shared" si="33"/>
        <v>O23011745992024020708016</v>
      </c>
      <c r="AA515" s="221" t="str">
        <f>IFERROR(VLOOKUP(Y515,TD!$K$47:$L$65,2,0)," ")</f>
        <v>PM/0131/0108/45990160207</v>
      </c>
      <c r="AB515" s="53" t="s">
        <v>87</v>
      </c>
      <c r="AC515" s="223" t="s">
        <v>204</v>
      </c>
    </row>
    <row r="516" spans="2:29" s="28" customFormat="1" ht="99" customHeight="1" x14ac:dyDescent="0.35">
      <c r="B516" s="77">
        <v>20250518</v>
      </c>
      <c r="C516" s="50" t="s">
        <v>209</v>
      </c>
      <c r="D516" s="218" t="s">
        <v>166</v>
      </c>
      <c r="E516" s="219" t="s">
        <v>565</v>
      </c>
      <c r="F516" s="218" t="s">
        <v>606</v>
      </c>
      <c r="G516" s="218" t="s">
        <v>140</v>
      </c>
      <c r="H516" s="93" t="s">
        <v>602</v>
      </c>
      <c r="I516" s="220">
        <v>4</v>
      </c>
      <c r="J516" s="220">
        <v>10</v>
      </c>
      <c r="K516" s="52">
        <v>0</v>
      </c>
      <c r="L516" s="53">
        <v>1000000</v>
      </c>
      <c r="M516" s="218" t="s">
        <v>465</v>
      </c>
      <c r="N516" s="53" t="s">
        <v>108</v>
      </c>
      <c r="O516" s="219" t="s">
        <v>227</v>
      </c>
      <c r="P516" s="221" t="str">
        <f>IFERROR(VLOOKUP(C516,TD!$B$33:$F$37,2,0)," ")</f>
        <v>O230117</v>
      </c>
      <c r="Q516" s="221" t="str">
        <f>IFERROR(VLOOKUP(C516,TD!$B$33:$F$37,3,0)," ")</f>
        <v>4503</v>
      </c>
      <c r="R516" s="221">
        <f>IFERROR(VLOOKUP(C516,TD!$B$33:$F$37,4,0)," ")</f>
        <v>20240255</v>
      </c>
      <c r="S516" s="219" t="s">
        <v>185</v>
      </c>
      <c r="T516" s="221" t="str">
        <f>IFERROR(VLOOKUP(S516,TD!$J$34:$K$44,2,0)," ")</f>
        <v>Infraestructura física, mantenimiento y dotación (Sedes construidas, mantenidas reforzadas)</v>
      </c>
      <c r="U516" s="222" t="str">
        <f t="shared" si="30"/>
        <v>08-Infraestructura física, mantenimiento y dotación (Sedes construidas, mantenidas reforzadas)</v>
      </c>
      <c r="V516" s="219" t="s">
        <v>236</v>
      </c>
      <c r="W516" s="221" t="str">
        <f>IFERROR(VLOOKUP(V516,TD!$N$34:$O$46,2,0)," ")</f>
        <v>Estaciones de bomberos adecuadas</v>
      </c>
      <c r="X516" s="222" t="str">
        <f t="shared" si="31"/>
        <v>014_Estaciones de bomberos adecuadas</v>
      </c>
      <c r="Y516" s="222" t="str">
        <f t="shared" si="32"/>
        <v>08-Infraestructura física, mantenimiento y dotación (Sedes construidas, mantenidas reforzadas) 014_Estaciones de bomberos adecuadas</v>
      </c>
      <c r="Z516" s="221" t="str">
        <f t="shared" si="33"/>
        <v>O23011745032024025508014</v>
      </c>
      <c r="AA516" s="221" t="str">
        <f>IFERROR(VLOOKUP(Y516,TD!$K$47:$L$65,2,0)," ")</f>
        <v>PM/0131/0108/45030140255</v>
      </c>
      <c r="AB516" s="53" t="s">
        <v>102</v>
      </c>
      <c r="AC516" s="223" t="s">
        <v>204</v>
      </c>
    </row>
    <row r="517" spans="2:29" s="28" customFormat="1" ht="99" customHeight="1" x14ac:dyDescent="0.35">
      <c r="B517" s="77">
        <v>20250519</v>
      </c>
      <c r="C517" s="50" t="s">
        <v>209</v>
      </c>
      <c r="D517" s="218" t="s">
        <v>166</v>
      </c>
      <c r="E517" s="219" t="s">
        <v>565</v>
      </c>
      <c r="F517" s="218" t="s">
        <v>1006</v>
      </c>
      <c r="G517" s="218" t="s">
        <v>101</v>
      </c>
      <c r="H517" s="93" t="s">
        <v>605</v>
      </c>
      <c r="I517" s="220">
        <v>4</v>
      </c>
      <c r="J517" s="220">
        <v>10</v>
      </c>
      <c r="K517" s="52">
        <v>0</v>
      </c>
      <c r="L517" s="53">
        <v>300000000</v>
      </c>
      <c r="M517" s="218" t="s">
        <v>465</v>
      </c>
      <c r="N517" s="53" t="s">
        <v>108</v>
      </c>
      <c r="O517" s="219" t="s">
        <v>227</v>
      </c>
      <c r="P517" s="221" t="str">
        <f>IFERROR(VLOOKUP(C517,TD!$B$33:$F$37,2,0)," ")</f>
        <v>O230117</v>
      </c>
      <c r="Q517" s="221" t="str">
        <f>IFERROR(VLOOKUP(C517,TD!$B$33:$F$37,3,0)," ")</f>
        <v>4503</v>
      </c>
      <c r="R517" s="221">
        <f>IFERROR(VLOOKUP(C517,TD!$B$33:$F$37,4,0)," ")</f>
        <v>20240255</v>
      </c>
      <c r="S517" s="219" t="s">
        <v>185</v>
      </c>
      <c r="T517" s="221" t="str">
        <f>IFERROR(VLOOKUP(S517,TD!$J$34:$K$44,2,0)," ")</f>
        <v>Infraestructura física, mantenimiento y dotación (Sedes construidas, mantenidas reforzadas)</v>
      </c>
      <c r="U517" s="222" t="str">
        <f t="shared" si="30"/>
        <v>08-Infraestructura física, mantenimiento y dotación (Sedes construidas, mantenidas reforzadas)</v>
      </c>
      <c r="V517" s="219" t="s">
        <v>236</v>
      </c>
      <c r="W517" s="221" t="str">
        <f>IFERROR(VLOOKUP(V517,TD!$N$34:$O$46,2,0)," ")</f>
        <v>Estaciones de bomberos adecuadas</v>
      </c>
      <c r="X517" s="222" t="str">
        <f t="shared" si="31"/>
        <v>014_Estaciones de bomberos adecuadas</v>
      </c>
      <c r="Y517" s="222" t="str">
        <f t="shared" si="32"/>
        <v>08-Infraestructura física, mantenimiento y dotación (Sedes construidas, mantenidas reforzadas) 014_Estaciones de bomberos adecuadas</v>
      </c>
      <c r="Z517" s="221" t="str">
        <f t="shared" si="33"/>
        <v>O23011745032024025508014</v>
      </c>
      <c r="AA517" s="221" t="str">
        <f>IFERROR(VLOOKUP(Y517,TD!$K$47:$L$65,2,0)," ")</f>
        <v>PM/0131/0108/45030140255</v>
      </c>
      <c r="AB517" s="53" t="s">
        <v>102</v>
      </c>
      <c r="AC517" s="223" t="s">
        <v>204</v>
      </c>
    </row>
    <row r="518" spans="2:29" s="28" customFormat="1" ht="99" customHeight="1" x14ac:dyDescent="0.35">
      <c r="B518" s="77">
        <v>20250520</v>
      </c>
      <c r="C518" s="50" t="s">
        <v>209</v>
      </c>
      <c r="D518" s="218" t="s">
        <v>166</v>
      </c>
      <c r="E518" s="219" t="s">
        <v>565</v>
      </c>
      <c r="F518" s="218" t="s">
        <v>1007</v>
      </c>
      <c r="G518" s="218" t="s">
        <v>140</v>
      </c>
      <c r="H518" s="93" t="s">
        <v>602</v>
      </c>
      <c r="I518" s="220">
        <v>4</v>
      </c>
      <c r="J518" s="220">
        <v>10</v>
      </c>
      <c r="K518" s="52">
        <v>0</v>
      </c>
      <c r="L518" s="53">
        <v>74000000</v>
      </c>
      <c r="M518" s="218" t="s">
        <v>465</v>
      </c>
      <c r="N518" s="53" t="s">
        <v>108</v>
      </c>
      <c r="O518" s="219" t="s">
        <v>227</v>
      </c>
      <c r="P518" s="221" t="str">
        <f>IFERROR(VLOOKUP(C518,TD!$B$33:$F$37,2,0)," ")</f>
        <v>O230117</v>
      </c>
      <c r="Q518" s="221" t="str">
        <f>IFERROR(VLOOKUP(C518,TD!$B$33:$F$37,3,0)," ")</f>
        <v>4503</v>
      </c>
      <c r="R518" s="221">
        <f>IFERROR(VLOOKUP(C518,TD!$B$33:$F$37,4,0)," ")</f>
        <v>20240255</v>
      </c>
      <c r="S518" s="219" t="s">
        <v>185</v>
      </c>
      <c r="T518" s="221" t="str">
        <f>IFERROR(VLOOKUP(S518,TD!$J$34:$K$44,2,0)," ")</f>
        <v>Infraestructura física, mantenimiento y dotación (Sedes construidas, mantenidas reforzadas)</v>
      </c>
      <c r="U518" s="222" t="str">
        <f t="shared" si="30"/>
        <v>08-Infraestructura física, mantenimiento y dotación (Sedes construidas, mantenidas reforzadas)</v>
      </c>
      <c r="V518" s="219" t="s">
        <v>236</v>
      </c>
      <c r="W518" s="221" t="str">
        <f>IFERROR(VLOOKUP(V518,TD!$N$34:$O$46,2,0)," ")</f>
        <v>Estaciones de bomberos adecuadas</v>
      </c>
      <c r="X518" s="222" t="str">
        <f t="shared" si="31"/>
        <v>014_Estaciones de bomberos adecuadas</v>
      </c>
      <c r="Y518" s="222" t="str">
        <f t="shared" si="32"/>
        <v>08-Infraestructura física, mantenimiento y dotación (Sedes construidas, mantenidas reforzadas) 014_Estaciones de bomberos adecuadas</v>
      </c>
      <c r="Z518" s="221" t="str">
        <f t="shared" si="33"/>
        <v>O23011745032024025508014</v>
      </c>
      <c r="AA518" s="221" t="str">
        <f>IFERROR(VLOOKUP(Y518,TD!$K$47:$L$65,2,0)," ")</f>
        <v>PM/0131/0108/45030140255</v>
      </c>
      <c r="AB518" s="53" t="s">
        <v>102</v>
      </c>
      <c r="AC518" s="223" t="s">
        <v>204</v>
      </c>
    </row>
    <row r="519" spans="2:29" s="28" customFormat="1" ht="99" customHeight="1" x14ac:dyDescent="0.35">
      <c r="B519" s="77">
        <v>20250521</v>
      </c>
      <c r="C519" s="50" t="s">
        <v>209</v>
      </c>
      <c r="D519" s="218" t="s">
        <v>166</v>
      </c>
      <c r="E519" s="219" t="s">
        <v>565</v>
      </c>
      <c r="F519" s="218" t="s">
        <v>607</v>
      </c>
      <c r="G519" s="218" t="s">
        <v>101</v>
      </c>
      <c r="H519" s="93" t="s">
        <v>605</v>
      </c>
      <c r="I519" s="220">
        <v>4</v>
      </c>
      <c r="J519" s="220">
        <v>10</v>
      </c>
      <c r="K519" s="52">
        <v>0</v>
      </c>
      <c r="L519" s="53">
        <v>500000000</v>
      </c>
      <c r="M519" s="218" t="s">
        <v>465</v>
      </c>
      <c r="N519" s="53" t="s">
        <v>108</v>
      </c>
      <c r="O519" s="219" t="s">
        <v>230</v>
      </c>
      <c r="P519" s="221" t="str">
        <f>IFERROR(VLOOKUP(C519,TD!$B$33:$F$37,2,0)," ")</f>
        <v>O230117</v>
      </c>
      <c r="Q519" s="221" t="str">
        <f>IFERROR(VLOOKUP(C519,TD!$B$33:$F$37,3,0)," ")</f>
        <v>4503</v>
      </c>
      <c r="R519" s="221">
        <f>IFERROR(VLOOKUP(C519,TD!$B$33:$F$37,4,0)," ")</f>
        <v>20240255</v>
      </c>
      <c r="S519" s="219" t="s">
        <v>185</v>
      </c>
      <c r="T519" s="221" t="str">
        <f>IFERROR(VLOOKUP(S519,TD!$J$34:$K$44,2,0)," ")</f>
        <v>Infraestructura física, mantenimiento y dotación (Sedes construidas, mantenidas reforzadas)</v>
      </c>
      <c r="U519" s="222" t="str">
        <f t="shared" si="30"/>
        <v>08-Infraestructura física, mantenimiento y dotación (Sedes construidas, mantenidas reforzadas)</v>
      </c>
      <c r="V519" s="219" t="s">
        <v>294</v>
      </c>
      <c r="W519" s="221" t="str">
        <f>IFERROR(VLOOKUP(V519,TD!$N$34:$O$46,2,0)," ")</f>
        <v>Documentos de lineamientos técnicos</v>
      </c>
      <c r="X519" s="222" t="str">
        <f t="shared" si="31"/>
        <v>031__Documentos de lineamientos técnicos</v>
      </c>
      <c r="Y519" s="222" t="str">
        <f t="shared" si="32"/>
        <v>08-Infraestructura física, mantenimiento y dotación (Sedes construidas, mantenidas reforzadas) 031__Documentos de lineamientos técnicos</v>
      </c>
      <c r="Z519" s="221" t="str">
        <f t="shared" si="33"/>
        <v>O23011745032024025508031_</v>
      </c>
      <c r="AA519" s="221" t="str">
        <f>IFERROR(VLOOKUP(Y519,TD!$K$47:$L$65,2,0)," ")</f>
        <v>PM/0131/0108/45030310255</v>
      </c>
      <c r="AB519" s="53" t="s">
        <v>102</v>
      </c>
      <c r="AC519" s="223" t="s">
        <v>204</v>
      </c>
    </row>
    <row r="520" spans="2:29" s="28" customFormat="1" ht="105" customHeight="1" x14ac:dyDescent="0.35">
      <c r="B520" s="77">
        <v>20250523</v>
      </c>
      <c r="C520" s="50" t="s">
        <v>209</v>
      </c>
      <c r="D520" s="218" t="s">
        <v>166</v>
      </c>
      <c r="E520" s="219" t="s">
        <v>565</v>
      </c>
      <c r="F520" s="218" t="s">
        <v>892</v>
      </c>
      <c r="G520" s="218" t="s">
        <v>105</v>
      </c>
      <c r="H520" s="93" t="s">
        <v>609</v>
      </c>
      <c r="I520" s="220">
        <v>8</v>
      </c>
      <c r="J520" s="220">
        <v>20</v>
      </c>
      <c r="K520" s="52">
        <v>0</v>
      </c>
      <c r="L520" s="53">
        <v>7629266116</v>
      </c>
      <c r="M520" s="218" t="s">
        <v>465</v>
      </c>
      <c r="N520" s="53" t="s">
        <v>85</v>
      </c>
      <c r="O520" s="219" t="s">
        <v>227</v>
      </c>
      <c r="P520" s="221" t="str">
        <f>IFERROR(VLOOKUP(C520,TD!$B$33:$F$37,2,0)," ")</f>
        <v>O230117</v>
      </c>
      <c r="Q520" s="221" t="str">
        <f>IFERROR(VLOOKUP(C520,TD!$B$33:$F$37,3,0)," ")</f>
        <v>4503</v>
      </c>
      <c r="R520" s="221">
        <f>IFERROR(VLOOKUP(C520,TD!$B$33:$F$37,4,0)," ")</f>
        <v>20240255</v>
      </c>
      <c r="S520" s="219" t="s">
        <v>185</v>
      </c>
      <c r="T520" s="221" t="str">
        <f>IFERROR(VLOOKUP(S520,TD!$J$34:$K$44,2,0)," ")</f>
        <v>Infraestructura física, mantenimiento y dotación (Sedes construidas, mantenidas reforzadas)</v>
      </c>
      <c r="U520" s="222" t="str">
        <f t="shared" si="30"/>
        <v>08-Infraestructura física, mantenimiento y dotación (Sedes construidas, mantenidas reforzadas)</v>
      </c>
      <c r="V520" s="219" t="s">
        <v>236</v>
      </c>
      <c r="W520" s="221" t="str">
        <f>IFERROR(VLOOKUP(V520,TD!$N$34:$O$46,2,0)," ")</f>
        <v>Estaciones de bomberos adecuadas</v>
      </c>
      <c r="X520" s="222" t="str">
        <f t="shared" si="31"/>
        <v>014_Estaciones de bomberos adecuadas</v>
      </c>
      <c r="Y520" s="222" t="str">
        <f t="shared" si="32"/>
        <v>08-Infraestructura física, mantenimiento y dotación (Sedes construidas, mantenidas reforzadas) 014_Estaciones de bomberos adecuadas</v>
      </c>
      <c r="Z520" s="221" t="str">
        <f t="shared" si="33"/>
        <v>O23011745032024025508014</v>
      </c>
      <c r="AA520" s="221" t="str">
        <f>IFERROR(VLOOKUP(Y520,TD!$K$47:$L$65,2,0)," ")</f>
        <v>PM/0131/0108/45030140255</v>
      </c>
      <c r="AB520" s="53" t="s">
        <v>102</v>
      </c>
      <c r="AC520" s="223" t="s">
        <v>204</v>
      </c>
    </row>
    <row r="521" spans="2:29" s="28" customFormat="1" ht="99" customHeight="1" x14ac:dyDescent="0.35">
      <c r="B521" s="77">
        <v>20250524</v>
      </c>
      <c r="C521" s="50" t="s">
        <v>209</v>
      </c>
      <c r="D521" s="218" t="s">
        <v>166</v>
      </c>
      <c r="E521" s="219" t="s">
        <v>565</v>
      </c>
      <c r="F521" s="218" t="s">
        <v>893</v>
      </c>
      <c r="G521" s="218" t="s">
        <v>140</v>
      </c>
      <c r="H521" s="93" t="s">
        <v>610</v>
      </c>
      <c r="I521" s="220">
        <v>8</v>
      </c>
      <c r="J521" s="220">
        <v>20</v>
      </c>
      <c r="K521" s="52">
        <v>0</v>
      </c>
      <c r="L521" s="53">
        <v>392000000</v>
      </c>
      <c r="M521" s="218" t="s">
        <v>465</v>
      </c>
      <c r="N521" s="53" t="s">
        <v>108</v>
      </c>
      <c r="O521" s="219" t="s">
        <v>227</v>
      </c>
      <c r="P521" s="221" t="str">
        <f>IFERROR(VLOOKUP(C521,TD!$B$33:$F$37,2,0)," ")</f>
        <v>O230117</v>
      </c>
      <c r="Q521" s="221" t="str">
        <f>IFERROR(VLOOKUP(C521,TD!$B$33:$F$37,3,0)," ")</f>
        <v>4503</v>
      </c>
      <c r="R521" s="221">
        <f>IFERROR(VLOOKUP(C521,TD!$B$33:$F$37,4,0)," ")</f>
        <v>20240255</v>
      </c>
      <c r="S521" s="219" t="s">
        <v>185</v>
      </c>
      <c r="T521" s="221" t="str">
        <f>IFERROR(VLOOKUP(S521,TD!$J$34:$K$44,2,0)," ")</f>
        <v>Infraestructura física, mantenimiento y dotación (Sedes construidas, mantenidas reforzadas)</v>
      </c>
      <c r="U521" s="222" t="str">
        <f t="shared" si="30"/>
        <v>08-Infraestructura física, mantenimiento y dotación (Sedes construidas, mantenidas reforzadas)</v>
      </c>
      <c r="V521" s="219" t="s">
        <v>236</v>
      </c>
      <c r="W521" s="221" t="str">
        <f>IFERROR(VLOOKUP(V521,TD!$N$34:$O$46,2,0)," ")</f>
        <v>Estaciones de bomberos adecuadas</v>
      </c>
      <c r="X521" s="222" t="str">
        <f t="shared" si="31"/>
        <v>014_Estaciones de bomberos adecuadas</v>
      </c>
      <c r="Y521" s="222" t="str">
        <f t="shared" si="32"/>
        <v>08-Infraestructura física, mantenimiento y dotación (Sedes construidas, mantenidas reforzadas) 014_Estaciones de bomberos adecuadas</v>
      </c>
      <c r="Z521" s="221" t="str">
        <f t="shared" si="33"/>
        <v>O23011745032024025508014</v>
      </c>
      <c r="AA521" s="221" t="str">
        <f>IFERROR(VLOOKUP(Y521,TD!$K$47:$L$65,2,0)," ")</f>
        <v>PM/0131/0108/45030140255</v>
      </c>
      <c r="AB521" s="53" t="s">
        <v>102</v>
      </c>
      <c r="AC521" s="223" t="s">
        <v>204</v>
      </c>
    </row>
    <row r="522" spans="2:29" s="28" customFormat="1" ht="99" customHeight="1" x14ac:dyDescent="0.35">
      <c r="B522" s="77">
        <v>20250525</v>
      </c>
      <c r="C522" s="50" t="s">
        <v>208</v>
      </c>
      <c r="D522" s="218" t="s">
        <v>166</v>
      </c>
      <c r="E522" s="219" t="s">
        <v>565</v>
      </c>
      <c r="F522" s="218" t="s">
        <v>741</v>
      </c>
      <c r="G522" s="218" t="s">
        <v>155</v>
      </c>
      <c r="H522" s="93" t="s">
        <v>617</v>
      </c>
      <c r="I522" s="220">
        <v>2</v>
      </c>
      <c r="J522" s="220">
        <v>11</v>
      </c>
      <c r="K522" s="52">
        <v>0</v>
      </c>
      <c r="L522" s="53">
        <v>112237664</v>
      </c>
      <c r="M522" s="218" t="s">
        <v>465</v>
      </c>
      <c r="N522" s="53" t="s">
        <v>618</v>
      </c>
      <c r="O522" s="219" t="s">
        <v>218</v>
      </c>
      <c r="P522" s="221" t="str">
        <f>IFERROR(VLOOKUP(C522,TD!$B$33:$F$37,2,0)," ")</f>
        <v>O230117</v>
      </c>
      <c r="Q522" s="221" t="str">
        <f>IFERROR(VLOOKUP(C522,TD!$B$33:$F$37,3,0)," ")</f>
        <v>4599</v>
      </c>
      <c r="R522" s="221">
        <f>IFERROR(VLOOKUP(C522,TD!$B$33:$F$37,4,0)," ")</f>
        <v>20240207</v>
      </c>
      <c r="S522" s="219" t="s">
        <v>185</v>
      </c>
      <c r="T522" s="221" t="str">
        <f>IFERROR(VLOOKUP(S522,TD!$J$34:$K$44,2,0)," ")</f>
        <v>Infraestructura física, mantenimiento y dotación (Sedes construidas, mantenidas reforzadas)</v>
      </c>
      <c r="U522" s="222" t="str">
        <f t="shared" si="30"/>
        <v>08-Infraestructura física, mantenimiento y dotación (Sedes construidas, mantenidas reforzadas)</v>
      </c>
      <c r="V522" s="219" t="s">
        <v>238</v>
      </c>
      <c r="W522" s="221" t="str">
        <f>IFERROR(VLOOKUP(V522,TD!$N$34:$O$46,2,0)," ")</f>
        <v>Sedes mantenidas</v>
      </c>
      <c r="X522" s="222" t="str">
        <f t="shared" si="31"/>
        <v>016_Sedes mantenidas</v>
      </c>
      <c r="Y522" s="222" t="str">
        <f t="shared" si="32"/>
        <v>08-Infraestructura física, mantenimiento y dotación (Sedes construidas, mantenidas reforzadas) 016_Sedes mantenidas</v>
      </c>
      <c r="Z522" s="221" t="str">
        <f t="shared" si="33"/>
        <v>O23011745992024020708016</v>
      </c>
      <c r="AA522" s="221" t="str">
        <f>IFERROR(VLOOKUP(Y522,TD!$K$47:$L$65,2,0)," ")</f>
        <v>PM/0131/0108/45990160207</v>
      </c>
      <c r="AB522" s="53" t="s">
        <v>138</v>
      </c>
      <c r="AC522" s="223" t="s">
        <v>204</v>
      </c>
    </row>
    <row r="523" spans="2:29" s="28" customFormat="1" ht="99" customHeight="1" x14ac:dyDescent="0.35">
      <c r="B523" s="77">
        <v>20250526</v>
      </c>
      <c r="C523" s="50" t="s">
        <v>208</v>
      </c>
      <c r="D523" s="218" t="s">
        <v>166</v>
      </c>
      <c r="E523" s="219" t="s">
        <v>565</v>
      </c>
      <c r="F523" s="218" t="s">
        <v>585</v>
      </c>
      <c r="G523" s="218" t="s">
        <v>156</v>
      </c>
      <c r="H523" s="93" t="s">
        <v>617</v>
      </c>
      <c r="I523" s="220">
        <v>2</v>
      </c>
      <c r="J523" s="220">
        <v>11</v>
      </c>
      <c r="K523" s="52">
        <v>0</v>
      </c>
      <c r="L523" s="53">
        <v>33534424</v>
      </c>
      <c r="M523" s="218" t="s">
        <v>465</v>
      </c>
      <c r="N523" s="53" t="s">
        <v>618</v>
      </c>
      <c r="O523" s="219" t="s">
        <v>218</v>
      </c>
      <c r="P523" s="221" t="str">
        <f>IFERROR(VLOOKUP(C523,TD!$B$33:$F$37,2,0)," ")</f>
        <v>O230117</v>
      </c>
      <c r="Q523" s="221" t="str">
        <f>IFERROR(VLOOKUP(C523,TD!$B$33:$F$37,3,0)," ")</f>
        <v>4599</v>
      </c>
      <c r="R523" s="221">
        <f>IFERROR(VLOOKUP(C523,TD!$B$33:$F$37,4,0)," ")</f>
        <v>20240207</v>
      </c>
      <c r="S523" s="219" t="s">
        <v>185</v>
      </c>
      <c r="T523" s="221" t="str">
        <f>IFERROR(VLOOKUP(S523,TD!$J$34:$K$44,2,0)," ")</f>
        <v>Infraestructura física, mantenimiento y dotación (Sedes construidas, mantenidas reforzadas)</v>
      </c>
      <c r="U523" s="222" t="str">
        <f t="shared" si="30"/>
        <v>08-Infraestructura física, mantenimiento y dotación (Sedes construidas, mantenidas reforzadas)</v>
      </c>
      <c r="V523" s="219" t="s">
        <v>238</v>
      </c>
      <c r="W523" s="221" t="str">
        <f>IFERROR(VLOOKUP(V523,TD!$N$34:$O$46,2,0)," ")</f>
        <v>Sedes mantenidas</v>
      </c>
      <c r="X523" s="222" t="str">
        <f t="shared" si="31"/>
        <v>016_Sedes mantenidas</v>
      </c>
      <c r="Y523" s="222" t="str">
        <f t="shared" si="32"/>
        <v>08-Infraestructura física, mantenimiento y dotación (Sedes construidas, mantenidas reforzadas) 016_Sedes mantenidas</v>
      </c>
      <c r="Z523" s="221" t="str">
        <f t="shared" si="33"/>
        <v>O23011745992024020708016</v>
      </c>
      <c r="AA523" s="221" t="str">
        <f>IFERROR(VLOOKUP(Y523,TD!$K$47:$L$65,2,0)," ")</f>
        <v>PM/0131/0108/45990160207</v>
      </c>
      <c r="AB523" s="53" t="s">
        <v>138</v>
      </c>
      <c r="AC523" s="223" t="s">
        <v>204</v>
      </c>
    </row>
    <row r="524" spans="2:29" s="28" customFormat="1" ht="99" customHeight="1" x14ac:dyDescent="0.35">
      <c r="B524" s="77">
        <v>20250527</v>
      </c>
      <c r="C524" s="50" t="s">
        <v>208</v>
      </c>
      <c r="D524" s="218" t="s">
        <v>166</v>
      </c>
      <c r="E524" s="219" t="s">
        <v>565</v>
      </c>
      <c r="F524" s="218" t="s">
        <v>585</v>
      </c>
      <c r="G524" s="218" t="s">
        <v>156</v>
      </c>
      <c r="H524" s="93" t="s">
        <v>617</v>
      </c>
      <c r="I524" s="220">
        <v>2</v>
      </c>
      <c r="J524" s="220">
        <v>11</v>
      </c>
      <c r="K524" s="52">
        <v>0</v>
      </c>
      <c r="L524" s="53">
        <v>33534424</v>
      </c>
      <c r="M524" s="218" t="s">
        <v>465</v>
      </c>
      <c r="N524" s="53" t="s">
        <v>618</v>
      </c>
      <c r="O524" s="219" t="s">
        <v>218</v>
      </c>
      <c r="P524" s="221" t="str">
        <f>IFERROR(VLOOKUP(C524,TD!$B$33:$F$37,2,0)," ")</f>
        <v>O230117</v>
      </c>
      <c r="Q524" s="221" t="str">
        <f>IFERROR(VLOOKUP(C524,TD!$B$33:$F$37,3,0)," ")</f>
        <v>4599</v>
      </c>
      <c r="R524" s="221">
        <f>IFERROR(VLOOKUP(C524,TD!$B$33:$F$37,4,0)," ")</f>
        <v>20240207</v>
      </c>
      <c r="S524" s="219" t="s">
        <v>185</v>
      </c>
      <c r="T524" s="221" t="str">
        <f>IFERROR(VLOOKUP(S524,TD!$J$34:$K$44,2,0)," ")</f>
        <v>Infraestructura física, mantenimiento y dotación (Sedes construidas, mantenidas reforzadas)</v>
      </c>
      <c r="U524" s="222" t="str">
        <f t="shared" ref="U524:U587" si="34">CONCATENATE(S524,"-",T524)</f>
        <v>08-Infraestructura física, mantenimiento y dotación (Sedes construidas, mantenidas reforzadas)</v>
      </c>
      <c r="V524" s="219" t="s">
        <v>238</v>
      </c>
      <c r="W524" s="221" t="str">
        <f>IFERROR(VLOOKUP(V524,TD!$N$34:$O$46,2,0)," ")</f>
        <v>Sedes mantenidas</v>
      </c>
      <c r="X524" s="222" t="str">
        <f t="shared" ref="X524:X587" si="35">CONCATENATE(V524,"_",W524)</f>
        <v>016_Sedes mantenidas</v>
      </c>
      <c r="Y524" s="222" t="str">
        <f t="shared" ref="Y524:Y587" si="36">CONCATENATE(U524," ",X524)</f>
        <v>08-Infraestructura física, mantenimiento y dotación (Sedes construidas, mantenidas reforzadas) 016_Sedes mantenidas</v>
      </c>
      <c r="Z524" s="221" t="str">
        <f t="shared" ref="Z524:Z587" si="37">CONCATENATE(P524,Q524,R524,S524,V524)</f>
        <v>O23011745992024020708016</v>
      </c>
      <c r="AA524" s="221" t="str">
        <f>IFERROR(VLOOKUP(Y524,TD!$K$47:$L$65,2,0)," ")</f>
        <v>PM/0131/0108/45990160207</v>
      </c>
      <c r="AB524" s="53" t="s">
        <v>138</v>
      </c>
      <c r="AC524" s="223" t="s">
        <v>204</v>
      </c>
    </row>
    <row r="525" spans="2:29" s="28" customFormat="1" ht="99" customHeight="1" x14ac:dyDescent="0.35">
      <c r="B525" s="77">
        <v>20250528</v>
      </c>
      <c r="C525" s="50" t="s">
        <v>208</v>
      </c>
      <c r="D525" s="218" t="s">
        <v>166</v>
      </c>
      <c r="E525" s="219" t="s">
        <v>565</v>
      </c>
      <c r="F525" s="218" t="s">
        <v>585</v>
      </c>
      <c r="G525" s="218" t="s">
        <v>156</v>
      </c>
      <c r="H525" s="93" t="s">
        <v>617</v>
      </c>
      <c r="I525" s="220">
        <v>2</v>
      </c>
      <c r="J525" s="220">
        <v>11</v>
      </c>
      <c r="K525" s="52">
        <v>0</v>
      </c>
      <c r="L525" s="53">
        <v>33534424</v>
      </c>
      <c r="M525" s="218" t="s">
        <v>465</v>
      </c>
      <c r="N525" s="53" t="s">
        <v>618</v>
      </c>
      <c r="O525" s="219" t="s">
        <v>218</v>
      </c>
      <c r="P525" s="221" t="str">
        <f>IFERROR(VLOOKUP(C525,TD!$B$33:$F$37,2,0)," ")</f>
        <v>O230117</v>
      </c>
      <c r="Q525" s="221" t="str">
        <f>IFERROR(VLOOKUP(C525,TD!$B$33:$F$37,3,0)," ")</f>
        <v>4599</v>
      </c>
      <c r="R525" s="221">
        <f>IFERROR(VLOOKUP(C525,TD!$B$33:$F$37,4,0)," ")</f>
        <v>20240207</v>
      </c>
      <c r="S525" s="219" t="s">
        <v>185</v>
      </c>
      <c r="T525" s="221" t="str">
        <f>IFERROR(VLOOKUP(S525,TD!$J$34:$K$44,2,0)," ")</f>
        <v>Infraestructura física, mantenimiento y dotación (Sedes construidas, mantenidas reforzadas)</v>
      </c>
      <c r="U525" s="222" t="str">
        <f t="shared" si="34"/>
        <v>08-Infraestructura física, mantenimiento y dotación (Sedes construidas, mantenidas reforzadas)</v>
      </c>
      <c r="V525" s="219" t="s">
        <v>238</v>
      </c>
      <c r="W525" s="221" t="str">
        <f>IFERROR(VLOOKUP(V525,TD!$N$34:$O$46,2,0)," ")</f>
        <v>Sedes mantenidas</v>
      </c>
      <c r="X525" s="222" t="str">
        <f t="shared" si="35"/>
        <v>016_Sedes mantenidas</v>
      </c>
      <c r="Y525" s="222" t="str">
        <f t="shared" si="36"/>
        <v>08-Infraestructura física, mantenimiento y dotación (Sedes construidas, mantenidas reforzadas) 016_Sedes mantenidas</v>
      </c>
      <c r="Z525" s="221" t="str">
        <f t="shared" si="37"/>
        <v>O23011745992024020708016</v>
      </c>
      <c r="AA525" s="221" t="str">
        <f>IFERROR(VLOOKUP(Y525,TD!$K$47:$L$65,2,0)," ")</f>
        <v>PM/0131/0108/45990160207</v>
      </c>
      <c r="AB525" s="53" t="s">
        <v>138</v>
      </c>
      <c r="AC525" s="223" t="s">
        <v>204</v>
      </c>
    </row>
    <row r="526" spans="2:29" s="28" customFormat="1" ht="99" customHeight="1" x14ac:dyDescent="0.35">
      <c r="B526" s="77">
        <v>20250529</v>
      </c>
      <c r="C526" s="50" t="s">
        <v>209</v>
      </c>
      <c r="D526" s="218" t="s">
        <v>166</v>
      </c>
      <c r="E526" s="219" t="s">
        <v>565</v>
      </c>
      <c r="F526" s="218" t="s">
        <v>742</v>
      </c>
      <c r="G526" s="218" t="s">
        <v>155</v>
      </c>
      <c r="H526" s="93" t="s">
        <v>617</v>
      </c>
      <c r="I526" s="220">
        <v>2</v>
      </c>
      <c r="J526" s="220">
        <v>11</v>
      </c>
      <c r="K526" s="52">
        <v>0</v>
      </c>
      <c r="L526" s="53">
        <v>78650000</v>
      </c>
      <c r="M526" s="218" t="s">
        <v>465</v>
      </c>
      <c r="N526" s="53" t="s">
        <v>618</v>
      </c>
      <c r="O526" s="219" t="s">
        <v>230</v>
      </c>
      <c r="P526" s="221" t="str">
        <f>IFERROR(VLOOKUP(C526,TD!$B$33:$F$37,2,0)," ")</f>
        <v>O230117</v>
      </c>
      <c r="Q526" s="221" t="str">
        <f>IFERROR(VLOOKUP(C526,TD!$B$33:$F$37,3,0)," ")</f>
        <v>4503</v>
      </c>
      <c r="R526" s="221">
        <f>IFERROR(VLOOKUP(C526,TD!$B$33:$F$37,4,0)," ")</f>
        <v>20240255</v>
      </c>
      <c r="S526" s="219" t="s">
        <v>185</v>
      </c>
      <c r="T526" s="221" t="str">
        <f>IFERROR(VLOOKUP(S526,TD!$J$34:$K$44,2,0)," ")</f>
        <v>Infraestructura física, mantenimiento y dotación (Sedes construidas, mantenidas reforzadas)</v>
      </c>
      <c r="U526" s="222" t="str">
        <f t="shared" si="34"/>
        <v>08-Infraestructura física, mantenimiento y dotación (Sedes construidas, mantenidas reforzadas)</v>
      </c>
      <c r="V526" s="219" t="s">
        <v>294</v>
      </c>
      <c r="W526" s="221" t="str">
        <f>IFERROR(VLOOKUP(V526,TD!$N$34:$O$46,2,0)," ")</f>
        <v>Documentos de lineamientos técnicos</v>
      </c>
      <c r="X526" s="222" t="str">
        <f t="shared" si="35"/>
        <v>031__Documentos de lineamientos técnicos</v>
      </c>
      <c r="Y526" s="222" t="str">
        <f t="shared" si="36"/>
        <v>08-Infraestructura física, mantenimiento y dotación (Sedes construidas, mantenidas reforzadas) 031__Documentos de lineamientos técnicos</v>
      </c>
      <c r="Z526" s="221" t="str">
        <f t="shared" si="37"/>
        <v>O23011745032024025508031_</v>
      </c>
      <c r="AA526" s="221" t="str">
        <f>IFERROR(VLOOKUP(Y526,TD!$K$47:$L$65,2,0)," ")</f>
        <v>PM/0131/0108/45030310255</v>
      </c>
      <c r="AB526" s="53" t="s">
        <v>120</v>
      </c>
      <c r="AC526" s="223" t="s">
        <v>204</v>
      </c>
    </row>
    <row r="527" spans="2:29" s="28" customFormat="1" ht="99" customHeight="1" x14ac:dyDescent="0.35">
      <c r="B527" s="77">
        <v>20250530</v>
      </c>
      <c r="C527" s="50" t="s">
        <v>209</v>
      </c>
      <c r="D527" s="218" t="s">
        <v>166</v>
      </c>
      <c r="E527" s="219" t="s">
        <v>565</v>
      </c>
      <c r="F527" s="218" t="s">
        <v>582</v>
      </c>
      <c r="G527" s="218" t="s">
        <v>155</v>
      </c>
      <c r="H527" s="93" t="s">
        <v>617</v>
      </c>
      <c r="I527" s="220">
        <v>2</v>
      </c>
      <c r="J527" s="220">
        <v>11</v>
      </c>
      <c r="K527" s="52">
        <v>0</v>
      </c>
      <c r="L527" s="53">
        <v>62920000</v>
      </c>
      <c r="M527" s="218" t="s">
        <v>465</v>
      </c>
      <c r="N527" s="53" t="s">
        <v>618</v>
      </c>
      <c r="O527" s="219" t="s">
        <v>227</v>
      </c>
      <c r="P527" s="221" t="str">
        <f>IFERROR(VLOOKUP(C527,TD!$B$33:$F$37,2,0)," ")</f>
        <v>O230117</v>
      </c>
      <c r="Q527" s="221" t="str">
        <f>IFERROR(VLOOKUP(C527,TD!$B$33:$F$37,3,0)," ")</f>
        <v>4503</v>
      </c>
      <c r="R527" s="221">
        <f>IFERROR(VLOOKUP(C527,TD!$B$33:$F$37,4,0)," ")</f>
        <v>20240255</v>
      </c>
      <c r="S527" s="219" t="s">
        <v>185</v>
      </c>
      <c r="T527" s="221" t="str">
        <f>IFERROR(VLOOKUP(S527,TD!$J$34:$K$44,2,0)," ")</f>
        <v>Infraestructura física, mantenimiento y dotación (Sedes construidas, mantenidas reforzadas)</v>
      </c>
      <c r="U527" s="222" t="str">
        <f t="shared" si="34"/>
        <v>08-Infraestructura física, mantenimiento y dotación (Sedes construidas, mantenidas reforzadas)</v>
      </c>
      <c r="V527" s="219" t="s">
        <v>236</v>
      </c>
      <c r="W527" s="221" t="str">
        <f>IFERROR(VLOOKUP(V527,TD!$N$34:$O$46,2,0)," ")</f>
        <v>Estaciones de bomberos adecuadas</v>
      </c>
      <c r="X527" s="222" t="str">
        <f t="shared" si="35"/>
        <v>014_Estaciones de bomberos adecuadas</v>
      </c>
      <c r="Y527" s="222" t="str">
        <f t="shared" si="36"/>
        <v>08-Infraestructura física, mantenimiento y dotación (Sedes construidas, mantenidas reforzadas) 014_Estaciones de bomberos adecuadas</v>
      </c>
      <c r="Z527" s="221" t="str">
        <f t="shared" si="37"/>
        <v>O23011745032024025508014</v>
      </c>
      <c r="AA527" s="221" t="str">
        <f>IFERROR(VLOOKUP(Y527,TD!$K$47:$L$65,2,0)," ")</f>
        <v>PM/0131/0108/45030140255</v>
      </c>
      <c r="AB527" s="53" t="s">
        <v>138</v>
      </c>
      <c r="AC527" s="223" t="s">
        <v>204</v>
      </c>
    </row>
    <row r="528" spans="2:29" s="28" customFormat="1" ht="99" customHeight="1" x14ac:dyDescent="0.35">
      <c r="B528" s="77">
        <v>20250531</v>
      </c>
      <c r="C528" s="50" t="s">
        <v>209</v>
      </c>
      <c r="D528" s="218" t="s">
        <v>166</v>
      </c>
      <c r="E528" s="219" t="s">
        <v>565</v>
      </c>
      <c r="F528" s="218" t="s">
        <v>597</v>
      </c>
      <c r="G528" s="218" t="s">
        <v>155</v>
      </c>
      <c r="H528" s="93" t="s">
        <v>617</v>
      </c>
      <c r="I528" s="220">
        <v>2</v>
      </c>
      <c r="J528" s="220">
        <v>11</v>
      </c>
      <c r="K528" s="52">
        <v>0</v>
      </c>
      <c r="L528" s="53">
        <v>66550000</v>
      </c>
      <c r="M528" s="218" t="s">
        <v>465</v>
      </c>
      <c r="N528" s="53" t="s">
        <v>618</v>
      </c>
      <c r="O528" s="219" t="s">
        <v>227</v>
      </c>
      <c r="P528" s="221" t="str">
        <f>IFERROR(VLOOKUP(C528,TD!$B$33:$F$37,2,0)," ")</f>
        <v>O230117</v>
      </c>
      <c r="Q528" s="221" t="str">
        <f>IFERROR(VLOOKUP(C528,TD!$B$33:$F$37,3,0)," ")</f>
        <v>4503</v>
      </c>
      <c r="R528" s="221">
        <f>IFERROR(VLOOKUP(C528,TD!$B$33:$F$37,4,0)," ")</f>
        <v>20240255</v>
      </c>
      <c r="S528" s="219" t="s">
        <v>185</v>
      </c>
      <c r="T528" s="221" t="str">
        <f>IFERROR(VLOOKUP(S528,TD!$J$34:$K$44,2,0)," ")</f>
        <v>Infraestructura física, mantenimiento y dotación (Sedes construidas, mantenidas reforzadas)</v>
      </c>
      <c r="U528" s="222" t="str">
        <f t="shared" si="34"/>
        <v>08-Infraestructura física, mantenimiento y dotación (Sedes construidas, mantenidas reforzadas)</v>
      </c>
      <c r="V528" s="219" t="s">
        <v>236</v>
      </c>
      <c r="W528" s="221" t="str">
        <f>IFERROR(VLOOKUP(V528,TD!$N$34:$O$46,2,0)," ")</f>
        <v>Estaciones de bomberos adecuadas</v>
      </c>
      <c r="X528" s="222" t="str">
        <f t="shared" si="35"/>
        <v>014_Estaciones de bomberos adecuadas</v>
      </c>
      <c r="Y528" s="222" t="str">
        <f t="shared" si="36"/>
        <v>08-Infraestructura física, mantenimiento y dotación (Sedes construidas, mantenidas reforzadas) 014_Estaciones de bomberos adecuadas</v>
      </c>
      <c r="Z528" s="221" t="str">
        <f t="shared" si="37"/>
        <v>O23011745032024025508014</v>
      </c>
      <c r="AA528" s="221" t="str">
        <f>IFERROR(VLOOKUP(Y528,TD!$K$47:$L$65,2,0)," ")</f>
        <v>PM/0131/0108/45030140255</v>
      </c>
      <c r="AB528" s="53" t="s">
        <v>138</v>
      </c>
      <c r="AC528" s="223" t="s">
        <v>204</v>
      </c>
    </row>
    <row r="529" spans="2:29" s="28" customFormat="1" ht="99" customHeight="1" x14ac:dyDescent="0.35">
      <c r="B529" s="130">
        <v>20250532</v>
      </c>
      <c r="C529" s="132" t="s">
        <v>208</v>
      </c>
      <c r="D529" s="224" t="s">
        <v>166</v>
      </c>
      <c r="E529" s="225" t="s">
        <v>565</v>
      </c>
      <c r="F529" s="224" t="s">
        <v>730</v>
      </c>
      <c r="G529" s="224" t="s">
        <v>155</v>
      </c>
      <c r="H529" s="133" t="s">
        <v>617</v>
      </c>
      <c r="I529" s="226">
        <v>2</v>
      </c>
      <c r="J529" s="226">
        <v>11</v>
      </c>
      <c r="K529" s="129">
        <v>0</v>
      </c>
      <c r="L529" s="128">
        <v>44237886</v>
      </c>
      <c r="M529" s="224" t="s">
        <v>465</v>
      </c>
      <c r="N529" s="128" t="s">
        <v>618</v>
      </c>
      <c r="O529" s="225" t="s">
        <v>219</v>
      </c>
      <c r="P529" s="227" t="str">
        <f>IFERROR(VLOOKUP(C529,TD!$B$33:$F$37,2,0)," ")</f>
        <v>O230117</v>
      </c>
      <c r="Q529" s="227" t="str">
        <f>IFERROR(VLOOKUP(C529,TD!$B$33:$F$37,3,0)," ")</f>
        <v>4599</v>
      </c>
      <c r="R529" s="227">
        <f>IFERROR(VLOOKUP(C529,TD!$B$33:$F$37,4,0)," ")</f>
        <v>20240207</v>
      </c>
      <c r="S529" s="225" t="s">
        <v>185</v>
      </c>
      <c r="T529" s="227" t="str">
        <f>IFERROR(VLOOKUP(S529,TD!$J$34:$K$44,2,0)," ")</f>
        <v>Infraestructura física, mantenimiento y dotación (Sedes construidas, mantenidas reforzadas)</v>
      </c>
      <c r="U529" s="222" t="str">
        <f t="shared" si="34"/>
        <v>08-Infraestructura física, mantenimiento y dotación (Sedes construidas, mantenidas reforzadas)</v>
      </c>
      <c r="V529" s="225" t="s">
        <v>238</v>
      </c>
      <c r="W529" s="227" t="str">
        <f>IFERROR(VLOOKUP(V529,TD!$N$34:$O$46,2,0)," ")</f>
        <v>Sedes mantenidas</v>
      </c>
      <c r="X529" s="222" t="str">
        <f t="shared" si="35"/>
        <v>016_Sedes mantenidas</v>
      </c>
      <c r="Y529" s="222" t="str">
        <f t="shared" si="36"/>
        <v>08-Infraestructura física, mantenimiento y dotación (Sedes construidas, mantenidas reforzadas) 016_Sedes mantenidas</v>
      </c>
      <c r="Z529" s="227" t="str">
        <f t="shared" si="37"/>
        <v>O23011745992024020708016</v>
      </c>
      <c r="AA529" s="227" t="str">
        <f>IFERROR(VLOOKUP(Y529,TD!$K$47:$L$65,2,0)," ")</f>
        <v>PM/0131/0108/45990160207</v>
      </c>
      <c r="AB529" s="128" t="s">
        <v>120</v>
      </c>
      <c r="AC529" s="228" t="s">
        <v>204</v>
      </c>
    </row>
    <row r="530" spans="2:29" s="28" customFormat="1" ht="118.5" customHeight="1" x14ac:dyDescent="0.35">
      <c r="B530" s="130">
        <v>20250533</v>
      </c>
      <c r="C530" s="132" t="s">
        <v>209</v>
      </c>
      <c r="D530" s="224" t="s">
        <v>166</v>
      </c>
      <c r="E530" s="225" t="s">
        <v>565</v>
      </c>
      <c r="F530" s="224" t="s">
        <v>625</v>
      </c>
      <c r="G530" s="224" t="s">
        <v>155</v>
      </c>
      <c r="H530" s="133" t="s">
        <v>617</v>
      </c>
      <c r="I530" s="226">
        <v>2</v>
      </c>
      <c r="J530" s="226">
        <v>11</v>
      </c>
      <c r="K530" s="129">
        <v>0</v>
      </c>
      <c r="L530" s="128">
        <v>79406250</v>
      </c>
      <c r="M530" s="224" t="s">
        <v>465</v>
      </c>
      <c r="N530" s="128" t="s">
        <v>618</v>
      </c>
      <c r="O530" s="225" t="s">
        <v>227</v>
      </c>
      <c r="P530" s="227" t="str">
        <f>IFERROR(VLOOKUP(C530,TD!$B$33:$F$37,2,0)," ")</f>
        <v>O230117</v>
      </c>
      <c r="Q530" s="227" t="str">
        <f>IFERROR(VLOOKUP(C530,TD!$B$33:$F$37,3,0)," ")</f>
        <v>4503</v>
      </c>
      <c r="R530" s="227">
        <f>IFERROR(VLOOKUP(C530,TD!$B$33:$F$37,4,0)," ")</f>
        <v>20240255</v>
      </c>
      <c r="S530" s="225" t="s">
        <v>185</v>
      </c>
      <c r="T530" s="227" t="str">
        <f>IFERROR(VLOOKUP(S530,TD!$J$34:$K$44,2,0)," ")</f>
        <v>Infraestructura física, mantenimiento y dotación (Sedes construidas, mantenidas reforzadas)</v>
      </c>
      <c r="U530" s="222" t="str">
        <f t="shared" si="34"/>
        <v>08-Infraestructura física, mantenimiento y dotación (Sedes construidas, mantenidas reforzadas)</v>
      </c>
      <c r="V530" s="225" t="s">
        <v>236</v>
      </c>
      <c r="W530" s="227" t="str">
        <f>IFERROR(VLOOKUP(V530,TD!$N$34:$O$46,2,0)," ")</f>
        <v>Estaciones de bomberos adecuadas</v>
      </c>
      <c r="X530" s="222" t="str">
        <f t="shared" si="35"/>
        <v>014_Estaciones de bomberos adecuadas</v>
      </c>
      <c r="Y530" s="222" t="str">
        <f t="shared" si="36"/>
        <v>08-Infraestructura física, mantenimiento y dotación (Sedes construidas, mantenidas reforzadas) 014_Estaciones de bomberos adecuadas</v>
      </c>
      <c r="Z530" s="227" t="str">
        <f t="shared" si="37"/>
        <v>O23011745032024025508014</v>
      </c>
      <c r="AA530" s="227" t="str">
        <f>IFERROR(VLOOKUP(Y530,TD!$K$47:$L$65,2,0)," ")</f>
        <v>PM/0131/0108/45030140255</v>
      </c>
      <c r="AB530" s="53" t="s">
        <v>674</v>
      </c>
      <c r="AC530" s="228" t="s">
        <v>204</v>
      </c>
    </row>
    <row r="531" spans="2:29" s="28" customFormat="1" ht="99" customHeight="1" x14ac:dyDescent="0.35">
      <c r="B531" s="77">
        <v>20250534</v>
      </c>
      <c r="C531" s="50" t="s">
        <v>208</v>
      </c>
      <c r="D531" s="218" t="s">
        <v>166</v>
      </c>
      <c r="E531" s="219" t="s">
        <v>565</v>
      </c>
      <c r="F531" s="218" t="s">
        <v>585</v>
      </c>
      <c r="G531" s="218" t="s">
        <v>156</v>
      </c>
      <c r="H531" s="93" t="s">
        <v>617</v>
      </c>
      <c r="I531" s="220">
        <v>2</v>
      </c>
      <c r="J531" s="220">
        <v>11</v>
      </c>
      <c r="K531" s="52">
        <v>0</v>
      </c>
      <c r="L531" s="53">
        <v>33534424</v>
      </c>
      <c r="M531" s="218" t="s">
        <v>465</v>
      </c>
      <c r="N531" s="53" t="s">
        <v>618</v>
      </c>
      <c r="O531" s="219" t="s">
        <v>218</v>
      </c>
      <c r="P531" s="221" t="str">
        <f>IFERROR(VLOOKUP(C531,TD!$B$33:$F$37,2,0)," ")</f>
        <v>O230117</v>
      </c>
      <c r="Q531" s="221" t="str">
        <f>IFERROR(VLOOKUP(C531,TD!$B$33:$F$37,3,0)," ")</f>
        <v>4599</v>
      </c>
      <c r="R531" s="221">
        <f>IFERROR(VLOOKUP(C531,TD!$B$33:$F$37,4,0)," ")</f>
        <v>20240207</v>
      </c>
      <c r="S531" s="219" t="s">
        <v>185</v>
      </c>
      <c r="T531" s="221" t="str">
        <f>IFERROR(VLOOKUP(S531,TD!$J$34:$K$44,2,0)," ")</f>
        <v>Infraestructura física, mantenimiento y dotación (Sedes construidas, mantenidas reforzadas)</v>
      </c>
      <c r="U531" s="222" t="str">
        <f t="shared" si="34"/>
        <v>08-Infraestructura física, mantenimiento y dotación (Sedes construidas, mantenidas reforzadas)</v>
      </c>
      <c r="V531" s="219" t="s">
        <v>238</v>
      </c>
      <c r="W531" s="221" t="str">
        <f>IFERROR(VLOOKUP(V531,TD!$N$34:$O$46,2,0)," ")</f>
        <v>Sedes mantenidas</v>
      </c>
      <c r="X531" s="222" t="str">
        <f t="shared" si="35"/>
        <v>016_Sedes mantenidas</v>
      </c>
      <c r="Y531" s="222" t="str">
        <f t="shared" si="36"/>
        <v>08-Infraestructura física, mantenimiento y dotación (Sedes construidas, mantenidas reforzadas) 016_Sedes mantenidas</v>
      </c>
      <c r="Z531" s="221" t="str">
        <f t="shared" si="37"/>
        <v>O23011745992024020708016</v>
      </c>
      <c r="AA531" s="221" t="str">
        <f>IFERROR(VLOOKUP(Y531,TD!$K$47:$L$65,2,0)," ")</f>
        <v>PM/0131/0108/45990160207</v>
      </c>
      <c r="AB531" s="53" t="s">
        <v>138</v>
      </c>
      <c r="AC531" s="223" t="s">
        <v>204</v>
      </c>
    </row>
    <row r="532" spans="2:29" s="28" customFormat="1" ht="99" customHeight="1" x14ac:dyDescent="0.35">
      <c r="B532" s="77">
        <v>20250535</v>
      </c>
      <c r="C532" s="50" t="s">
        <v>208</v>
      </c>
      <c r="D532" s="218" t="s">
        <v>166</v>
      </c>
      <c r="E532" s="219" t="s">
        <v>565</v>
      </c>
      <c r="F532" s="218" t="s">
        <v>585</v>
      </c>
      <c r="G532" s="218" t="s">
        <v>156</v>
      </c>
      <c r="H532" s="93" t="s">
        <v>617</v>
      </c>
      <c r="I532" s="220">
        <v>2</v>
      </c>
      <c r="J532" s="220">
        <v>11</v>
      </c>
      <c r="K532" s="52">
        <v>0</v>
      </c>
      <c r="L532" s="53">
        <v>33534424</v>
      </c>
      <c r="M532" s="218" t="s">
        <v>465</v>
      </c>
      <c r="N532" s="53" t="s">
        <v>618</v>
      </c>
      <c r="O532" s="219" t="s">
        <v>218</v>
      </c>
      <c r="P532" s="221" t="str">
        <f>IFERROR(VLOOKUP(C532,TD!$B$33:$F$37,2,0)," ")</f>
        <v>O230117</v>
      </c>
      <c r="Q532" s="221" t="str">
        <f>IFERROR(VLOOKUP(C532,TD!$B$33:$F$37,3,0)," ")</f>
        <v>4599</v>
      </c>
      <c r="R532" s="221">
        <f>IFERROR(VLOOKUP(C532,TD!$B$33:$F$37,4,0)," ")</f>
        <v>20240207</v>
      </c>
      <c r="S532" s="219" t="s">
        <v>185</v>
      </c>
      <c r="T532" s="221" t="str">
        <f>IFERROR(VLOOKUP(S532,TD!$J$34:$K$44,2,0)," ")</f>
        <v>Infraestructura física, mantenimiento y dotación (Sedes construidas, mantenidas reforzadas)</v>
      </c>
      <c r="U532" s="222" t="str">
        <f t="shared" si="34"/>
        <v>08-Infraestructura física, mantenimiento y dotación (Sedes construidas, mantenidas reforzadas)</v>
      </c>
      <c r="V532" s="219" t="s">
        <v>238</v>
      </c>
      <c r="W532" s="221" t="str">
        <f>IFERROR(VLOOKUP(V532,TD!$N$34:$O$46,2,0)," ")</f>
        <v>Sedes mantenidas</v>
      </c>
      <c r="X532" s="222" t="str">
        <f t="shared" si="35"/>
        <v>016_Sedes mantenidas</v>
      </c>
      <c r="Y532" s="222" t="str">
        <f t="shared" si="36"/>
        <v>08-Infraestructura física, mantenimiento y dotación (Sedes construidas, mantenidas reforzadas) 016_Sedes mantenidas</v>
      </c>
      <c r="Z532" s="221" t="str">
        <f t="shared" si="37"/>
        <v>O23011745992024020708016</v>
      </c>
      <c r="AA532" s="221" t="str">
        <f>IFERROR(VLOOKUP(Y532,TD!$K$47:$L$65,2,0)," ")</f>
        <v>PM/0131/0108/45990160207</v>
      </c>
      <c r="AB532" s="53" t="s">
        <v>138</v>
      </c>
      <c r="AC532" s="223" t="s">
        <v>204</v>
      </c>
    </row>
    <row r="533" spans="2:29" s="28" customFormat="1" ht="99" customHeight="1" x14ac:dyDescent="0.35">
      <c r="B533" s="130">
        <v>20250536</v>
      </c>
      <c r="C533" s="132" t="s">
        <v>208</v>
      </c>
      <c r="D533" s="224" t="s">
        <v>166</v>
      </c>
      <c r="E533" s="225" t="s">
        <v>565</v>
      </c>
      <c r="F533" s="224" t="s">
        <v>657</v>
      </c>
      <c r="G533" s="224" t="s">
        <v>155</v>
      </c>
      <c r="H533" s="133" t="s">
        <v>617</v>
      </c>
      <c r="I533" s="226">
        <v>2</v>
      </c>
      <c r="J533" s="226">
        <v>11</v>
      </c>
      <c r="K533" s="129">
        <v>0</v>
      </c>
      <c r="L533" s="128">
        <v>83482560</v>
      </c>
      <c r="M533" s="224" t="s">
        <v>465</v>
      </c>
      <c r="N533" s="128" t="s">
        <v>618</v>
      </c>
      <c r="O533" s="225" t="s">
        <v>219</v>
      </c>
      <c r="P533" s="227" t="str">
        <f>IFERROR(VLOOKUP(C533,TD!$B$33:$F$37,2,0)," ")</f>
        <v>O230117</v>
      </c>
      <c r="Q533" s="227" t="str">
        <f>IFERROR(VLOOKUP(C533,TD!$B$33:$F$37,3,0)," ")</f>
        <v>4599</v>
      </c>
      <c r="R533" s="227">
        <f>IFERROR(VLOOKUP(C533,TD!$B$33:$F$37,4,0)," ")</f>
        <v>20240207</v>
      </c>
      <c r="S533" s="225" t="s">
        <v>185</v>
      </c>
      <c r="T533" s="227" t="str">
        <f>IFERROR(VLOOKUP(S533,TD!$J$34:$K$44,2,0)," ")</f>
        <v>Infraestructura física, mantenimiento y dotación (Sedes construidas, mantenidas reforzadas)</v>
      </c>
      <c r="U533" s="222" t="str">
        <f t="shared" si="34"/>
        <v>08-Infraestructura física, mantenimiento y dotación (Sedes construidas, mantenidas reforzadas)</v>
      </c>
      <c r="V533" s="225" t="s">
        <v>238</v>
      </c>
      <c r="W533" s="227" t="str">
        <f>IFERROR(VLOOKUP(V533,TD!$N$34:$O$46,2,0)," ")</f>
        <v>Sedes mantenidas</v>
      </c>
      <c r="X533" s="222" t="str">
        <f t="shared" si="35"/>
        <v>016_Sedes mantenidas</v>
      </c>
      <c r="Y533" s="222" t="str">
        <f t="shared" si="36"/>
        <v>08-Infraestructura física, mantenimiento y dotación (Sedes construidas, mantenidas reforzadas) 016_Sedes mantenidas</v>
      </c>
      <c r="Z533" s="227" t="str">
        <f t="shared" si="37"/>
        <v>O23011745992024020708016</v>
      </c>
      <c r="AA533" s="227" t="str">
        <f>IFERROR(VLOOKUP(Y533,TD!$K$47:$L$65,2,0)," ")</f>
        <v>PM/0131/0108/45990160207</v>
      </c>
      <c r="AB533" s="128" t="s">
        <v>138</v>
      </c>
      <c r="AC533" s="228" t="s">
        <v>204</v>
      </c>
    </row>
    <row r="534" spans="2:29" s="28" customFormat="1" ht="99" customHeight="1" x14ac:dyDescent="0.35">
      <c r="B534" s="77">
        <v>20250537</v>
      </c>
      <c r="C534" s="50" t="s">
        <v>208</v>
      </c>
      <c r="D534" s="218" t="s">
        <v>166</v>
      </c>
      <c r="E534" s="219" t="s">
        <v>565</v>
      </c>
      <c r="F534" s="218" t="s">
        <v>658</v>
      </c>
      <c r="G534" s="218" t="s">
        <v>155</v>
      </c>
      <c r="H534" s="93" t="s">
        <v>617</v>
      </c>
      <c r="I534" s="220">
        <v>2</v>
      </c>
      <c r="J534" s="220">
        <v>11</v>
      </c>
      <c r="K534" s="52">
        <v>0</v>
      </c>
      <c r="L534" s="53">
        <v>76230000</v>
      </c>
      <c r="M534" s="218" t="s">
        <v>465</v>
      </c>
      <c r="N534" s="53" t="s">
        <v>618</v>
      </c>
      <c r="O534" s="219" t="s">
        <v>219</v>
      </c>
      <c r="P534" s="221" t="str">
        <f>IFERROR(VLOOKUP(C534,TD!$B$33:$F$37,2,0)," ")</f>
        <v>O230117</v>
      </c>
      <c r="Q534" s="221" t="str">
        <f>IFERROR(VLOOKUP(C534,TD!$B$33:$F$37,3,0)," ")</f>
        <v>4599</v>
      </c>
      <c r="R534" s="221">
        <f>IFERROR(VLOOKUP(C534,TD!$B$33:$F$37,4,0)," ")</f>
        <v>20240207</v>
      </c>
      <c r="S534" s="219" t="s">
        <v>185</v>
      </c>
      <c r="T534" s="221" t="str">
        <f>IFERROR(VLOOKUP(S534,TD!$J$34:$K$44,2,0)," ")</f>
        <v>Infraestructura física, mantenimiento y dotación (Sedes construidas, mantenidas reforzadas)</v>
      </c>
      <c r="U534" s="222" t="str">
        <f t="shared" si="34"/>
        <v>08-Infraestructura física, mantenimiento y dotación (Sedes construidas, mantenidas reforzadas)</v>
      </c>
      <c r="V534" s="219" t="s">
        <v>238</v>
      </c>
      <c r="W534" s="221" t="str">
        <f>IFERROR(VLOOKUP(V534,TD!$N$34:$O$46,2,0)," ")</f>
        <v>Sedes mantenidas</v>
      </c>
      <c r="X534" s="222" t="str">
        <f t="shared" si="35"/>
        <v>016_Sedes mantenidas</v>
      </c>
      <c r="Y534" s="222" t="str">
        <f t="shared" si="36"/>
        <v>08-Infraestructura física, mantenimiento y dotación (Sedes construidas, mantenidas reforzadas) 016_Sedes mantenidas</v>
      </c>
      <c r="Z534" s="221" t="str">
        <f t="shared" si="37"/>
        <v>O23011745992024020708016</v>
      </c>
      <c r="AA534" s="221" t="str">
        <f>IFERROR(VLOOKUP(Y534,TD!$K$47:$L$65,2,0)," ")</f>
        <v>PM/0131/0108/45990160207</v>
      </c>
      <c r="AB534" s="53" t="s">
        <v>138</v>
      </c>
      <c r="AC534" s="223" t="s">
        <v>204</v>
      </c>
    </row>
    <row r="535" spans="2:29" s="28" customFormat="1" ht="99" customHeight="1" x14ac:dyDescent="0.35">
      <c r="B535" s="77">
        <v>20250538</v>
      </c>
      <c r="C535" s="50" t="s">
        <v>208</v>
      </c>
      <c r="D535" s="218" t="s">
        <v>166</v>
      </c>
      <c r="E535" s="219" t="s">
        <v>565</v>
      </c>
      <c r="F535" s="218" t="s">
        <v>659</v>
      </c>
      <c r="G535" s="218" t="s">
        <v>155</v>
      </c>
      <c r="H535" s="93" t="s">
        <v>617</v>
      </c>
      <c r="I535" s="220">
        <v>2</v>
      </c>
      <c r="J535" s="220">
        <v>11</v>
      </c>
      <c r="K535" s="52">
        <v>0</v>
      </c>
      <c r="L535" s="53">
        <v>99918896</v>
      </c>
      <c r="M535" s="218" t="s">
        <v>465</v>
      </c>
      <c r="N535" s="53" t="s">
        <v>618</v>
      </c>
      <c r="O535" s="219" t="s">
        <v>219</v>
      </c>
      <c r="P535" s="221" t="str">
        <f>IFERROR(VLOOKUP(C535,TD!$B$33:$F$37,2,0)," ")</f>
        <v>O230117</v>
      </c>
      <c r="Q535" s="221" t="str">
        <f>IFERROR(VLOOKUP(C535,TD!$B$33:$F$37,3,0)," ")</f>
        <v>4599</v>
      </c>
      <c r="R535" s="221">
        <f>IFERROR(VLOOKUP(C535,TD!$B$33:$F$37,4,0)," ")</f>
        <v>20240207</v>
      </c>
      <c r="S535" s="219" t="s">
        <v>185</v>
      </c>
      <c r="T535" s="221" t="str">
        <f>IFERROR(VLOOKUP(S535,TD!$J$34:$K$44,2,0)," ")</f>
        <v>Infraestructura física, mantenimiento y dotación (Sedes construidas, mantenidas reforzadas)</v>
      </c>
      <c r="U535" s="222" t="str">
        <f t="shared" si="34"/>
        <v>08-Infraestructura física, mantenimiento y dotación (Sedes construidas, mantenidas reforzadas)</v>
      </c>
      <c r="V535" s="219" t="s">
        <v>238</v>
      </c>
      <c r="W535" s="221" t="str">
        <f>IFERROR(VLOOKUP(V535,TD!$N$34:$O$46,2,0)," ")</f>
        <v>Sedes mantenidas</v>
      </c>
      <c r="X535" s="222" t="str">
        <f t="shared" si="35"/>
        <v>016_Sedes mantenidas</v>
      </c>
      <c r="Y535" s="222" t="str">
        <f t="shared" si="36"/>
        <v>08-Infraestructura física, mantenimiento y dotación (Sedes construidas, mantenidas reforzadas) 016_Sedes mantenidas</v>
      </c>
      <c r="Z535" s="221" t="str">
        <f t="shared" si="37"/>
        <v>O23011745992024020708016</v>
      </c>
      <c r="AA535" s="221" t="str">
        <f>IFERROR(VLOOKUP(Y535,TD!$K$47:$L$65,2,0)," ")</f>
        <v>PM/0131/0108/45990160207</v>
      </c>
      <c r="AB535" s="53" t="s">
        <v>120</v>
      </c>
      <c r="AC535" s="223" t="s">
        <v>204</v>
      </c>
    </row>
    <row r="536" spans="2:29" s="28" customFormat="1" ht="99" customHeight="1" x14ac:dyDescent="0.35">
      <c r="B536" s="130">
        <v>20250539</v>
      </c>
      <c r="C536" s="132" t="s">
        <v>208</v>
      </c>
      <c r="D536" s="224" t="s">
        <v>166</v>
      </c>
      <c r="E536" s="225" t="s">
        <v>565</v>
      </c>
      <c r="F536" s="224" t="s">
        <v>660</v>
      </c>
      <c r="G536" s="224" t="s">
        <v>156</v>
      </c>
      <c r="H536" s="133" t="s">
        <v>617</v>
      </c>
      <c r="I536" s="226">
        <v>2</v>
      </c>
      <c r="J536" s="226">
        <v>11</v>
      </c>
      <c r="K536" s="129">
        <v>0</v>
      </c>
      <c r="L536" s="128">
        <v>38607615</v>
      </c>
      <c r="M536" s="224" t="s">
        <v>465</v>
      </c>
      <c r="N536" s="128" t="s">
        <v>618</v>
      </c>
      <c r="O536" s="225" t="s">
        <v>219</v>
      </c>
      <c r="P536" s="227" t="str">
        <f>IFERROR(VLOOKUP(C536,TD!$B$33:$F$37,2,0)," ")</f>
        <v>O230117</v>
      </c>
      <c r="Q536" s="227" t="str">
        <f>IFERROR(VLOOKUP(C536,TD!$B$33:$F$37,3,0)," ")</f>
        <v>4599</v>
      </c>
      <c r="R536" s="227">
        <f>IFERROR(VLOOKUP(C536,TD!$B$33:$F$37,4,0)," ")</f>
        <v>20240207</v>
      </c>
      <c r="S536" s="225" t="s">
        <v>185</v>
      </c>
      <c r="T536" s="227" t="str">
        <f>IFERROR(VLOOKUP(S536,TD!$J$34:$K$44,2,0)," ")</f>
        <v>Infraestructura física, mantenimiento y dotación (Sedes construidas, mantenidas reforzadas)</v>
      </c>
      <c r="U536" s="222" t="str">
        <f t="shared" si="34"/>
        <v>08-Infraestructura física, mantenimiento y dotación (Sedes construidas, mantenidas reforzadas)</v>
      </c>
      <c r="V536" s="225" t="s">
        <v>238</v>
      </c>
      <c r="W536" s="227" t="str">
        <f>IFERROR(VLOOKUP(V536,TD!$N$34:$O$46,2,0)," ")</f>
        <v>Sedes mantenidas</v>
      </c>
      <c r="X536" s="222" t="str">
        <f t="shared" si="35"/>
        <v>016_Sedes mantenidas</v>
      </c>
      <c r="Y536" s="222" t="str">
        <f t="shared" si="36"/>
        <v>08-Infraestructura física, mantenimiento y dotación (Sedes construidas, mantenidas reforzadas) 016_Sedes mantenidas</v>
      </c>
      <c r="Z536" s="227" t="str">
        <f t="shared" si="37"/>
        <v>O23011745992024020708016</v>
      </c>
      <c r="AA536" s="227" t="str">
        <f>IFERROR(VLOOKUP(Y536,TD!$K$47:$L$65,2,0)," ")</f>
        <v>PM/0131/0108/45990160207</v>
      </c>
      <c r="AB536" s="128" t="s">
        <v>138</v>
      </c>
      <c r="AC536" s="228" t="s">
        <v>204</v>
      </c>
    </row>
    <row r="537" spans="2:29" s="28" customFormat="1" ht="99" customHeight="1" x14ac:dyDescent="0.35">
      <c r="B537" s="77">
        <v>20250540</v>
      </c>
      <c r="C537" s="50" t="s">
        <v>209</v>
      </c>
      <c r="D537" s="218" t="s">
        <v>166</v>
      </c>
      <c r="E537" s="219" t="s">
        <v>565</v>
      </c>
      <c r="F537" s="218" t="s">
        <v>583</v>
      </c>
      <c r="G537" s="218" t="s">
        <v>155</v>
      </c>
      <c r="H537" s="93" t="s">
        <v>617</v>
      </c>
      <c r="I537" s="220">
        <v>2</v>
      </c>
      <c r="J537" s="220">
        <v>11</v>
      </c>
      <c r="K537" s="52">
        <v>0</v>
      </c>
      <c r="L537" s="53">
        <v>99918896</v>
      </c>
      <c r="M537" s="218" t="s">
        <v>465</v>
      </c>
      <c r="N537" s="53" t="s">
        <v>618</v>
      </c>
      <c r="O537" s="219" t="s">
        <v>228</v>
      </c>
      <c r="P537" s="221" t="str">
        <f>IFERROR(VLOOKUP(C537,TD!$B$33:$F$37,2,0)," ")</f>
        <v>O230117</v>
      </c>
      <c r="Q537" s="221" t="str">
        <f>IFERROR(VLOOKUP(C537,TD!$B$33:$F$37,3,0)," ")</f>
        <v>4503</v>
      </c>
      <c r="R537" s="221">
        <f>IFERROR(VLOOKUP(C537,TD!$B$33:$F$37,4,0)," ")</f>
        <v>20240255</v>
      </c>
      <c r="S537" s="219" t="s">
        <v>185</v>
      </c>
      <c r="T537" s="221" t="str">
        <f>IFERROR(VLOOKUP(S537,TD!$J$34:$K$44,2,0)," ")</f>
        <v>Infraestructura física, mantenimiento y dotación (Sedes construidas, mantenidas reforzadas)</v>
      </c>
      <c r="U537" s="222" t="str">
        <f t="shared" si="34"/>
        <v>08-Infraestructura física, mantenimiento y dotación (Sedes construidas, mantenidas reforzadas)</v>
      </c>
      <c r="V537" s="219" t="s">
        <v>237</v>
      </c>
      <c r="W537" s="221" t="str">
        <f>IFERROR(VLOOKUP(V537,TD!$N$34:$O$46,2,0)," ")</f>
        <v>Estaciones de bomberos construidas</v>
      </c>
      <c r="X537" s="222" t="str">
        <f t="shared" si="35"/>
        <v>015_Estaciones de bomberos construidas</v>
      </c>
      <c r="Y537" s="222" t="str">
        <f t="shared" si="36"/>
        <v>08-Infraestructura física, mantenimiento y dotación (Sedes construidas, mantenidas reforzadas) 015_Estaciones de bomberos construidas</v>
      </c>
      <c r="Z537" s="221" t="str">
        <f t="shared" si="37"/>
        <v>O23011745032024025508015</v>
      </c>
      <c r="AA537" s="221" t="str">
        <f>IFERROR(VLOOKUP(Y537,TD!$K$47:$L$65,2,0)," ")</f>
        <v>PM/0131/0108/45030150255</v>
      </c>
      <c r="AB537" s="53" t="s">
        <v>138</v>
      </c>
      <c r="AC537" s="223" t="s">
        <v>204</v>
      </c>
    </row>
    <row r="538" spans="2:29" s="28" customFormat="1" ht="99" customHeight="1" x14ac:dyDescent="0.35">
      <c r="B538" s="77">
        <v>20250541</v>
      </c>
      <c r="C538" s="50" t="s">
        <v>208</v>
      </c>
      <c r="D538" s="218" t="s">
        <v>166</v>
      </c>
      <c r="E538" s="219" t="s">
        <v>565</v>
      </c>
      <c r="F538" s="218" t="s">
        <v>661</v>
      </c>
      <c r="G538" s="218" t="s">
        <v>156</v>
      </c>
      <c r="H538" s="93" t="s">
        <v>617</v>
      </c>
      <c r="I538" s="220">
        <v>2</v>
      </c>
      <c r="J538" s="220">
        <v>11</v>
      </c>
      <c r="K538" s="52">
        <v>0</v>
      </c>
      <c r="L538" s="53">
        <v>33534424</v>
      </c>
      <c r="M538" s="218" t="s">
        <v>465</v>
      </c>
      <c r="N538" s="53" t="s">
        <v>618</v>
      </c>
      <c r="O538" s="219" t="s">
        <v>219</v>
      </c>
      <c r="P538" s="221" t="str">
        <f>IFERROR(VLOOKUP(C538,TD!$B$33:$F$37,2,0)," ")</f>
        <v>O230117</v>
      </c>
      <c r="Q538" s="221" t="str">
        <f>IFERROR(VLOOKUP(C538,TD!$B$33:$F$37,3,0)," ")</f>
        <v>4599</v>
      </c>
      <c r="R538" s="221">
        <f>IFERROR(VLOOKUP(C538,TD!$B$33:$F$37,4,0)," ")</f>
        <v>20240207</v>
      </c>
      <c r="S538" s="219" t="s">
        <v>185</v>
      </c>
      <c r="T538" s="221" t="str">
        <f>IFERROR(VLOOKUP(S538,TD!$J$34:$K$44,2,0)," ")</f>
        <v>Infraestructura física, mantenimiento y dotación (Sedes construidas, mantenidas reforzadas)</v>
      </c>
      <c r="U538" s="222" t="str">
        <f t="shared" si="34"/>
        <v>08-Infraestructura física, mantenimiento y dotación (Sedes construidas, mantenidas reforzadas)</v>
      </c>
      <c r="V538" s="219" t="s">
        <v>238</v>
      </c>
      <c r="W538" s="221" t="str">
        <f>IFERROR(VLOOKUP(V538,TD!$N$34:$O$46,2,0)," ")</f>
        <v>Sedes mantenidas</v>
      </c>
      <c r="X538" s="222" t="str">
        <f t="shared" si="35"/>
        <v>016_Sedes mantenidas</v>
      </c>
      <c r="Y538" s="222" t="str">
        <f t="shared" si="36"/>
        <v>08-Infraestructura física, mantenimiento y dotación (Sedes construidas, mantenidas reforzadas) 016_Sedes mantenidas</v>
      </c>
      <c r="Z538" s="221" t="str">
        <f t="shared" si="37"/>
        <v>O23011745992024020708016</v>
      </c>
      <c r="AA538" s="221" t="str">
        <f>IFERROR(VLOOKUP(Y538,TD!$K$47:$L$65,2,0)," ")</f>
        <v>PM/0131/0108/45990160207</v>
      </c>
      <c r="AB538" s="53" t="s">
        <v>138</v>
      </c>
      <c r="AC538" s="223" t="s">
        <v>204</v>
      </c>
    </row>
    <row r="539" spans="2:29" s="28" customFormat="1" ht="99" customHeight="1" x14ac:dyDescent="0.35">
      <c r="B539" s="77">
        <v>20250542</v>
      </c>
      <c r="C539" s="50" t="s">
        <v>208</v>
      </c>
      <c r="D539" s="218" t="s">
        <v>166</v>
      </c>
      <c r="E539" s="219" t="s">
        <v>565</v>
      </c>
      <c r="F539" s="218" t="s">
        <v>662</v>
      </c>
      <c r="G539" s="218" t="s">
        <v>155</v>
      </c>
      <c r="H539" s="93" t="s">
        <v>617</v>
      </c>
      <c r="I539" s="220">
        <v>2</v>
      </c>
      <c r="J539" s="220">
        <v>11</v>
      </c>
      <c r="K539" s="52">
        <v>0</v>
      </c>
      <c r="L539" s="53">
        <v>72600000</v>
      </c>
      <c r="M539" s="218" t="s">
        <v>465</v>
      </c>
      <c r="N539" s="53" t="s">
        <v>618</v>
      </c>
      <c r="O539" s="219" t="s">
        <v>219</v>
      </c>
      <c r="P539" s="221" t="str">
        <f>IFERROR(VLOOKUP(C539,TD!$B$33:$F$37,2,0)," ")</f>
        <v>O230117</v>
      </c>
      <c r="Q539" s="221" t="str">
        <f>IFERROR(VLOOKUP(C539,TD!$B$33:$F$37,3,0)," ")</f>
        <v>4599</v>
      </c>
      <c r="R539" s="221">
        <f>IFERROR(VLOOKUP(C539,TD!$B$33:$F$37,4,0)," ")</f>
        <v>20240207</v>
      </c>
      <c r="S539" s="219" t="s">
        <v>185</v>
      </c>
      <c r="T539" s="221" t="str">
        <f>IFERROR(VLOOKUP(S539,TD!$J$34:$K$44,2,0)," ")</f>
        <v>Infraestructura física, mantenimiento y dotación (Sedes construidas, mantenidas reforzadas)</v>
      </c>
      <c r="U539" s="222" t="str">
        <f t="shared" si="34"/>
        <v>08-Infraestructura física, mantenimiento y dotación (Sedes construidas, mantenidas reforzadas)</v>
      </c>
      <c r="V539" s="219" t="s">
        <v>238</v>
      </c>
      <c r="W539" s="221" t="str">
        <f>IFERROR(VLOOKUP(V539,TD!$N$34:$O$46,2,0)," ")</f>
        <v>Sedes mantenidas</v>
      </c>
      <c r="X539" s="222" t="str">
        <f t="shared" si="35"/>
        <v>016_Sedes mantenidas</v>
      </c>
      <c r="Y539" s="222" t="str">
        <f t="shared" si="36"/>
        <v>08-Infraestructura física, mantenimiento y dotación (Sedes construidas, mantenidas reforzadas) 016_Sedes mantenidas</v>
      </c>
      <c r="Z539" s="221" t="str">
        <f t="shared" si="37"/>
        <v>O23011745992024020708016</v>
      </c>
      <c r="AA539" s="221" t="str">
        <f>IFERROR(VLOOKUP(Y539,TD!$K$47:$L$65,2,0)," ")</f>
        <v>PM/0131/0108/45990160207</v>
      </c>
      <c r="AB539" s="53" t="s">
        <v>138</v>
      </c>
      <c r="AC539" s="223" t="s">
        <v>204</v>
      </c>
    </row>
    <row r="540" spans="2:29" s="28" customFormat="1" ht="99" customHeight="1" x14ac:dyDescent="0.35">
      <c r="B540" s="77">
        <v>20250543</v>
      </c>
      <c r="C540" s="50" t="s">
        <v>208</v>
      </c>
      <c r="D540" s="218" t="s">
        <v>166</v>
      </c>
      <c r="E540" s="219" t="s">
        <v>565</v>
      </c>
      <c r="F540" s="218" t="s">
        <v>663</v>
      </c>
      <c r="G540" s="218" t="s">
        <v>156</v>
      </c>
      <c r="H540" s="93" t="s">
        <v>617</v>
      </c>
      <c r="I540" s="220">
        <v>2</v>
      </c>
      <c r="J540" s="220">
        <v>11</v>
      </c>
      <c r="K540" s="52">
        <v>0</v>
      </c>
      <c r="L540" s="53">
        <v>37243800</v>
      </c>
      <c r="M540" s="218" t="s">
        <v>465</v>
      </c>
      <c r="N540" s="53" t="s">
        <v>618</v>
      </c>
      <c r="O540" s="219" t="s">
        <v>219</v>
      </c>
      <c r="P540" s="221" t="str">
        <f>IFERROR(VLOOKUP(C540,TD!$B$33:$F$37,2,0)," ")</f>
        <v>O230117</v>
      </c>
      <c r="Q540" s="221" t="str">
        <f>IFERROR(VLOOKUP(C540,TD!$B$33:$F$37,3,0)," ")</f>
        <v>4599</v>
      </c>
      <c r="R540" s="221">
        <f>IFERROR(VLOOKUP(C540,TD!$B$33:$F$37,4,0)," ")</f>
        <v>20240207</v>
      </c>
      <c r="S540" s="219" t="s">
        <v>185</v>
      </c>
      <c r="T540" s="221" t="str">
        <f>IFERROR(VLOOKUP(S540,TD!$J$34:$K$44,2,0)," ")</f>
        <v>Infraestructura física, mantenimiento y dotación (Sedes construidas, mantenidas reforzadas)</v>
      </c>
      <c r="U540" s="222" t="str">
        <f t="shared" si="34"/>
        <v>08-Infraestructura física, mantenimiento y dotación (Sedes construidas, mantenidas reforzadas)</v>
      </c>
      <c r="V540" s="219" t="s">
        <v>238</v>
      </c>
      <c r="W540" s="221" t="str">
        <f>IFERROR(VLOOKUP(V540,TD!$N$34:$O$46,2,0)," ")</f>
        <v>Sedes mantenidas</v>
      </c>
      <c r="X540" s="222" t="str">
        <f t="shared" si="35"/>
        <v>016_Sedes mantenidas</v>
      </c>
      <c r="Y540" s="222" t="str">
        <f t="shared" si="36"/>
        <v>08-Infraestructura física, mantenimiento y dotación (Sedes construidas, mantenidas reforzadas) 016_Sedes mantenidas</v>
      </c>
      <c r="Z540" s="221" t="str">
        <f t="shared" si="37"/>
        <v>O23011745992024020708016</v>
      </c>
      <c r="AA540" s="221" t="str">
        <f>IFERROR(VLOOKUP(Y540,TD!$K$47:$L$65,2,0)," ")</f>
        <v>PM/0131/0108/45990160207</v>
      </c>
      <c r="AB540" s="53" t="s">
        <v>138</v>
      </c>
      <c r="AC540" s="223" t="s">
        <v>204</v>
      </c>
    </row>
    <row r="541" spans="2:29" s="28" customFormat="1" ht="99" customHeight="1" x14ac:dyDescent="0.35">
      <c r="B541" s="77">
        <v>20250544</v>
      </c>
      <c r="C541" s="50" t="s">
        <v>208</v>
      </c>
      <c r="D541" s="218" t="s">
        <v>166</v>
      </c>
      <c r="E541" s="219" t="s">
        <v>565</v>
      </c>
      <c r="F541" s="218" t="s">
        <v>664</v>
      </c>
      <c r="G541" s="218" t="s">
        <v>155</v>
      </c>
      <c r="H541" s="93" t="s">
        <v>617</v>
      </c>
      <c r="I541" s="220">
        <v>2</v>
      </c>
      <c r="J541" s="220">
        <v>11</v>
      </c>
      <c r="K541" s="52">
        <v>0</v>
      </c>
      <c r="L541" s="53">
        <v>67386352</v>
      </c>
      <c r="M541" s="218" t="s">
        <v>465</v>
      </c>
      <c r="N541" s="53" t="s">
        <v>618</v>
      </c>
      <c r="O541" s="219" t="s">
        <v>219</v>
      </c>
      <c r="P541" s="221" t="str">
        <f>IFERROR(VLOOKUP(C541,TD!$B$33:$F$37,2,0)," ")</f>
        <v>O230117</v>
      </c>
      <c r="Q541" s="221" t="str">
        <f>IFERROR(VLOOKUP(C541,TD!$B$33:$F$37,3,0)," ")</f>
        <v>4599</v>
      </c>
      <c r="R541" s="221">
        <f>IFERROR(VLOOKUP(C541,TD!$B$33:$F$37,4,0)," ")</f>
        <v>20240207</v>
      </c>
      <c r="S541" s="219" t="s">
        <v>185</v>
      </c>
      <c r="T541" s="221" t="str">
        <f>IFERROR(VLOOKUP(S541,TD!$J$34:$K$44,2,0)," ")</f>
        <v>Infraestructura física, mantenimiento y dotación (Sedes construidas, mantenidas reforzadas)</v>
      </c>
      <c r="U541" s="222" t="str">
        <f t="shared" si="34"/>
        <v>08-Infraestructura física, mantenimiento y dotación (Sedes construidas, mantenidas reforzadas)</v>
      </c>
      <c r="V541" s="219" t="s">
        <v>238</v>
      </c>
      <c r="W541" s="221" t="str">
        <f>IFERROR(VLOOKUP(V541,TD!$N$34:$O$46,2,0)," ")</f>
        <v>Sedes mantenidas</v>
      </c>
      <c r="X541" s="222" t="str">
        <f t="shared" si="35"/>
        <v>016_Sedes mantenidas</v>
      </c>
      <c r="Y541" s="222" t="str">
        <f t="shared" si="36"/>
        <v>08-Infraestructura física, mantenimiento y dotación (Sedes construidas, mantenidas reforzadas) 016_Sedes mantenidas</v>
      </c>
      <c r="Z541" s="221" t="str">
        <f t="shared" si="37"/>
        <v>O23011745992024020708016</v>
      </c>
      <c r="AA541" s="221" t="str">
        <f>IFERROR(VLOOKUP(Y541,TD!$K$47:$L$65,2,0)," ")</f>
        <v>PM/0131/0108/45990160207</v>
      </c>
      <c r="AB541" s="53" t="s">
        <v>138</v>
      </c>
      <c r="AC541" s="223" t="s">
        <v>204</v>
      </c>
    </row>
    <row r="542" spans="2:29" s="28" customFormat="1" ht="99" customHeight="1" x14ac:dyDescent="0.35">
      <c r="B542" s="77">
        <v>20250545</v>
      </c>
      <c r="C542" s="50" t="s">
        <v>208</v>
      </c>
      <c r="D542" s="218" t="s">
        <v>166</v>
      </c>
      <c r="E542" s="219" t="s">
        <v>565</v>
      </c>
      <c r="F542" s="218" t="s">
        <v>665</v>
      </c>
      <c r="G542" s="218" t="s">
        <v>155</v>
      </c>
      <c r="H542" s="93" t="s">
        <v>617</v>
      </c>
      <c r="I542" s="220">
        <v>2</v>
      </c>
      <c r="J542" s="220">
        <v>11</v>
      </c>
      <c r="K542" s="52">
        <v>0</v>
      </c>
      <c r="L542" s="53">
        <v>49066952</v>
      </c>
      <c r="M542" s="218" t="s">
        <v>465</v>
      </c>
      <c r="N542" s="53" t="s">
        <v>618</v>
      </c>
      <c r="O542" s="219" t="s">
        <v>219</v>
      </c>
      <c r="P542" s="221" t="str">
        <f>IFERROR(VLOOKUP(C542,TD!$B$33:$F$37,2,0)," ")</f>
        <v>O230117</v>
      </c>
      <c r="Q542" s="221" t="str">
        <f>IFERROR(VLOOKUP(C542,TD!$B$33:$F$37,3,0)," ")</f>
        <v>4599</v>
      </c>
      <c r="R542" s="221">
        <f>IFERROR(VLOOKUP(C542,TD!$B$33:$F$37,4,0)," ")</f>
        <v>20240207</v>
      </c>
      <c r="S542" s="219" t="s">
        <v>185</v>
      </c>
      <c r="T542" s="221" t="str">
        <f>IFERROR(VLOOKUP(S542,TD!$J$34:$K$44,2,0)," ")</f>
        <v>Infraestructura física, mantenimiento y dotación (Sedes construidas, mantenidas reforzadas)</v>
      </c>
      <c r="U542" s="222" t="str">
        <f t="shared" si="34"/>
        <v>08-Infraestructura física, mantenimiento y dotación (Sedes construidas, mantenidas reforzadas)</v>
      </c>
      <c r="V542" s="219" t="s">
        <v>238</v>
      </c>
      <c r="W542" s="221" t="str">
        <f>IFERROR(VLOOKUP(V542,TD!$N$34:$O$46,2,0)," ")</f>
        <v>Sedes mantenidas</v>
      </c>
      <c r="X542" s="222" t="str">
        <f t="shared" si="35"/>
        <v>016_Sedes mantenidas</v>
      </c>
      <c r="Y542" s="222" t="str">
        <f t="shared" si="36"/>
        <v>08-Infraestructura física, mantenimiento y dotación (Sedes construidas, mantenidas reforzadas) 016_Sedes mantenidas</v>
      </c>
      <c r="Z542" s="221" t="str">
        <f t="shared" si="37"/>
        <v>O23011745992024020708016</v>
      </c>
      <c r="AA542" s="221" t="str">
        <f>IFERROR(VLOOKUP(Y542,TD!$K$47:$L$65,2,0)," ")</f>
        <v>PM/0131/0108/45990160207</v>
      </c>
      <c r="AB542" s="53" t="s">
        <v>138</v>
      </c>
      <c r="AC542" s="223" t="s">
        <v>204</v>
      </c>
    </row>
    <row r="543" spans="2:29" s="28" customFormat="1" ht="99" customHeight="1" x14ac:dyDescent="0.35">
      <c r="B543" s="77">
        <v>20250546</v>
      </c>
      <c r="C543" s="50" t="s">
        <v>209</v>
      </c>
      <c r="D543" s="218" t="s">
        <v>166</v>
      </c>
      <c r="E543" s="219" t="s">
        <v>565</v>
      </c>
      <c r="F543" s="218" t="s">
        <v>666</v>
      </c>
      <c r="G543" s="218" t="s">
        <v>155</v>
      </c>
      <c r="H543" s="93" t="s">
        <v>617</v>
      </c>
      <c r="I543" s="220">
        <v>2</v>
      </c>
      <c r="J543" s="220">
        <v>11</v>
      </c>
      <c r="K543" s="52">
        <v>0</v>
      </c>
      <c r="L543" s="53">
        <v>60500000</v>
      </c>
      <c r="M543" s="218" t="s">
        <v>465</v>
      </c>
      <c r="N543" s="53" t="s">
        <v>618</v>
      </c>
      <c r="O543" s="219" t="s">
        <v>227</v>
      </c>
      <c r="P543" s="221" t="str">
        <f>IFERROR(VLOOKUP(C543,TD!$B$33:$F$37,2,0)," ")</f>
        <v>O230117</v>
      </c>
      <c r="Q543" s="221" t="str">
        <f>IFERROR(VLOOKUP(C543,TD!$B$33:$F$37,3,0)," ")</f>
        <v>4503</v>
      </c>
      <c r="R543" s="221">
        <f>IFERROR(VLOOKUP(C543,TD!$B$33:$F$37,4,0)," ")</f>
        <v>20240255</v>
      </c>
      <c r="S543" s="219" t="s">
        <v>185</v>
      </c>
      <c r="T543" s="221" t="str">
        <f>IFERROR(VLOOKUP(S543,TD!$J$34:$K$44,2,0)," ")</f>
        <v>Infraestructura física, mantenimiento y dotación (Sedes construidas, mantenidas reforzadas)</v>
      </c>
      <c r="U543" s="222" t="str">
        <f t="shared" si="34"/>
        <v>08-Infraestructura física, mantenimiento y dotación (Sedes construidas, mantenidas reforzadas)</v>
      </c>
      <c r="V543" s="219" t="s">
        <v>236</v>
      </c>
      <c r="W543" s="221" t="str">
        <f>IFERROR(VLOOKUP(V543,TD!$N$34:$O$46,2,0)," ")</f>
        <v>Estaciones de bomberos adecuadas</v>
      </c>
      <c r="X543" s="222" t="str">
        <f t="shared" si="35"/>
        <v>014_Estaciones de bomberos adecuadas</v>
      </c>
      <c r="Y543" s="222" t="str">
        <f t="shared" si="36"/>
        <v>08-Infraestructura física, mantenimiento y dotación (Sedes construidas, mantenidas reforzadas) 014_Estaciones de bomberos adecuadas</v>
      </c>
      <c r="Z543" s="221" t="str">
        <f t="shared" si="37"/>
        <v>O23011745032024025508014</v>
      </c>
      <c r="AA543" s="221" t="str">
        <f>IFERROR(VLOOKUP(Y543,TD!$K$47:$L$65,2,0)," ")</f>
        <v>PM/0131/0108/45030140255</v>
      </c>
      <c r="AB543" s="53" t="s">
        <v>674</v>
      </c>
      <c r="AC543" s="223" t="s">
        <v>204</v>
      </c>
    </row>
    <row r="544" spans="2:29" s="28" customFormat="1" ht="99" customHeight="1" x14ac:dyDescent="0.35">
      <c r="B544" s="77">
        <v>20250547</v>
      </c>
      <c r="C544" s="50" t="s">
        <v>209</v>
      </c>
      <c r="D544" s="218" t="s">
        <v>166</v>
      </c>
      <c r="E544" s="219" t="s">
        <v>565</v>
      </c>
      <c r="F544" s="218" t="s">
        <v>667</v>
      </c>
      <c r="G544" s="218" t="s">
        <v>155</v>
      </c>
      <c r="H544" s="93" t="s">
        <v>617</v>
      </c>
      <c r="I544" s="220">
        <v>2</v>
      </c>
      <c r="J544" s="220">
        <v>11</v>
      </c>
      <c r="K544" s="52">
        <v>0</v>
      </c>
      <c r="L544" s="53">
        <v>72600000</v>
      </c>
      <c r="M544" s="218" t="s">
        <v>465</v>
      </c>
      <c r="N544" s="53" t="s">
        <v>618</v>
      </c>
      <c r="O544" s="219" t="s">
        <v>228</v>
      </c>
      <c r="P544" s="221" t="str">
        <f>IFERROR(VLOOKUP(C544,TD!$B$33:$F$37,2,0)," ")</f>
        <v>O230117</v>
      </c>
      <c r="Q544" s="221" t="str">
        <f>IFERROR(VLOOKUP(C544,TD!$B$33:$F$37,3,0)," ")</f>
        <v>4503</v>
      </c>
      <c r="R544" s="221">
        <f>IFERROR(VLOOKUP(C544,TD!$B$33:$F$37,4,0)," ")</f>
        <v>20240255</v>
      </c>
      <c r="S544" s="219" t="s">
        <v>185</v>
      </c>
      <c r="T544" s="221" t="str">
        <f>IFERROR(VLOOKUP(S544,TD!$J$34:$K$44,2,0)," ")</f>
        <v>Infraestructura física, mantenimiento y dotación (Sedes construidas, mantenidas reforzadas)</v>
      </c>
      <c r="U544" s="222" t="str">
        <f t="shared" si="34"/>
        <v>08-Infraestructura física, mantenimiento y dotación (Sedes construidas, mantenidas reforzadas)</v>
      </c>
      <c r="V544" s="219" t="s">
        <v>237</v>
      </c>
      <c r="W544" s="221" t="str">
        <f>IFERROR(VLOOKUP(V544,TD!$N$34:$O$46,2,0)," ")</f>
        <v>Estaciones de bomberos construidas</v>
      </c>
      <c r="X544" s="222" t="str">
        <f t="shared" si="35"/>
        <v>015_Estaciones de bomberos construidas</v>
      </c>
      <c r="Y544" s="222" t="str">
        <f t="shared" si="36"/>
        <v>08-Infraestructura física, mantenimiento y dotación (Sedes construidas, mantenidas reforzadas) 015_Estaciones de bomberos construidas</v>
      </c>
      <c r="Z544" s="221" t="str">
        <f t="shared" si="37"/>
        <v>O23011745032024025508015</v>
      </c>
      <c r="AA544" s="221" t="str">
        <f>IFERROR(VLOOKUP(Y544,TD!$K$47:$L$65,2,0)," ")</f>
        <v>PM/0131/0108/45030150255</v>
      </c>
      <c r="AB544" s="53" t="s">
        <v>120</v>
      </c>
      <c r="AC544" s="223" t="s">
        <v>204</v>
      </c>
    </row>
    <row r="545" spans="2:29" s="28" customFormat="1" ht="99" customHeight="1" x14ac:dyDescent="0.35">
      <c r="B545" s="77">
        <v>20250548</v>
      </c>
      <c r="C545" s="50" t="s">
        <v>209</v>
      </c>
      <c r="D545" s="218" t="s">
        <v>166</v>
      </c>
      <c r="E545" s="219" t="s">
        <v>565</v>
      </c>
      <c r="F545" s="218" t="s">
        <v>668</v>
      </c>
      <c r="G545" s="218" t="s">
        <v>155</v>
      </c>
      <c r="H545" s="93" t="s">
        <v>617</v>
      </c>
      <c r="I545" s="220">
        <v>2</v>
      </c>
      <c r="J545" s="220">
        <v>11</v>
      </c>
      <c r="K545" s="52">
        <v>0</v>
      </c>
      <c r="L545" s="53">
        <v>72600000</v>
      </c>
      <c r="M545" s="218" t="s">
        <v>465</v>
      </c>
      <c r="N545" s="53" t="s">
        <v>618</v>
      </c>
      <c r="O545" s="219" t="s">
        <v>230</v>
      </c>
      <c r="P545" s="221" t="str">
        <f>IFERROR(VLOOKUP(C545,TD!$B$33:$F$37,2,0)," ")</f>
        <v>O230117</v>
      </c>
      <c r="Q545" s="221" t="str">
        <f>IFERROR(VLOOKUP(C545,TD!$B$33:$F$37,3,0)," ")</f>
        <v>4503</v>
      </c>
      <c r="R545" s="221">
        <f>IFERROR(VLOOKUP(C545,TD!$B$33:$F$37,4,0)," ")</f>
        <v>20240255</v>
      </c>
      <c r="S545" s="219" t="s">
        <v>185</v>
      </c>
      <c r="T545" s="221" t="str">
        <f>IFERROR(VLOOKUP(S545,TD!$J$34:$K$44,2,0)," ")</f>
        <v>Infraestructura física, mantenimiento y dotación (Sedes construidas, mantenidas reforzadas)</v>
      </c>
      <c r="U545" s="222" t="str">
        <f t="shared" si="34"/>
        <v>08-Infraestructura física, mantenimiento y dotación (Sedes construidas, mantenidas reforzadas)</v>
      </c>
      <c r="V545" s="219" t="s">
        <v>294</v>
      </c>
      <c r="W545" s="221" t="str">
        <f>IFERROR(VLOOKUP(V545,TD!$N$34:$O$46,2,0)," ")</f>
        <v>Documentos de lineamientos técnicos</v>
      </c>
      <c r="X545" s="222" t="str">
        <f t="shared" si="35"/>
        <v>031__Documentos de lineamientos técnicos</v>
      </c>
      <c r="Y545" s="222" t="str">
        <f t="shared" si="36"/>
        <v>08-Infraestructura física, mantenimiento y dotación (Sedes construidas, mantenidas reforzadas) 031__Documentos de lineamientos técnicos</v>
      </c>
      <c r="Z545" s="221" t="str">
        <f t="shared" si="37"/>
        <v>O23011745032024025508031_</v>
      </c>
      <c r="AA545" s="221" t="str">
        <f>IFERROR(VLOOKUP(Y545,TD!$K$47:$L$65,2,0)," ")</f>
        <v>PM/0131/0108/45030310255</v>
      </c>
      <c r="AB545" s="53" t="s">
        <v>674</v>
      </c>
      <c r="AC545" s="223" t="s">
        <v>204</v>
      </c>
    </row>
    <row r="546" spans="2:29" s="28" customFormat="1" ht="99" customHeight="1" x14ac:dyDescent="0.35">
      <c r="B546" s="77">
        <v>20250549</v>
      </c>
      <c r="C546" s="50" t="s">
        <v>209</v>
      </c>
      <c r="D546" s="218" t="s">
        <v>166</v>
      </c>
      <c r="E546" s="219" t="s">
        <v>565</v>
      </c>
      <c r="F546" s="218" t="s">
        <v>669</v>
      </c>
      <c r="G546" s="218" t="s">
        <v>155</v>
      </c>
      <c r="H546" s="93" t="s">
        <v>617</v>
      </c>
      <c r="I546" s="220">
        <v>2</v>
      </c>
      <c r="J546" s="220">
        <v>11</v>
      </c>
      <c r="K546" s="52">
        <v>0</v>
      </c>
      <c r="L546" s="53">
        <v>67386352</v>
      </c>
      <c r="M546" s="218" t="s">
        <v>465</v>
      </c>
      <c r="N546" s="53" t="s">
        <v>618</v>
      </c>
      <c r="O546" s="219" t="s">
        <v>227</v>
      </c>
      <c r="P546" s="221" t="str">
        <f>IFERROR(VLOOKUP(C546,TD!$B$33:$F$37,2,0)," ")</f>
        <v>O230117</v>
      </c>
      <c r="Q546" s="221" t="str">
        <f>IFERROR(VLOOKUP(C546,TD!$B$33:$F$37,3,0)," ")</f>
        <v>4503</v>
      </c>
      <c r="R546" s="221">
        <f>IFERROR(VLOOKUP(C546,TD!$B$33:$F$37,4,0)," ")</f>
        <v>20240255</v>
      </c>
      <c r="S546" s="219" t="s">
        <v>185</v>
      </c>
      <c r="T546" s="221" t="str">
        <f>IFERROR(VLOOKUP(S546,TD!$J$34:$K$44,2,0)," ")</f>
        <v>Infraestructura física, mantenimiento y dotación (Sedes construidas, mantenidas reforzadas)</v>
      </c>
      <c r="U546" s="222" t="str">
        <f t="shared" si="34"/>
        <v>08-Infraestructura física, mantenimiento y dotación (Sedes construidas, mantenidas reforzadas)</v>
      </c>
      <c r="V546" s="219" t="s">
        <v>236</v>
      </c>
      <c r="W546" s="221" t="str">
        <f>IFERROR(VLOOKUP(V546,TD!$N$34:$O$46,2,0)," ")</f>
        <v>Estaciones de bomberos adecuadas</v>
      </c>
      <c r="X546" s="222" t="str">
        <f t="shared" si="35"/>
        <v>014_Estaciones de bomberos adecuadas</v>
      </c>
      <c r="Y546" s="222" t="str">
        <f t="shared" si="36"/>
        <v>08-Infraestructura física, mantenimiento y dotación (Sedes construidas, mantenidas reforzadas) 014_Estaciones de bomberos adecuadas</v>
      </c>
      <c r="Z546" s="221" t="str">
        <f t="shared" si="37"/>
        <v>O23011745032024025508014</v>
      </c>
      <c r="AA546" s="221" t="str">
        <f>IFERROR(VLOOKUP(Y546,TD!$K$47:$L$65,2,0)," ")</f>
        <v>PM/0131/0108/45030140255</v>
      </c>
      <c r="AB546" s="53" t="s">
        <v>674</v>
      </c>
      <c r="AC546" s="223" t="s">
        <v>204</v>
      </c>
    </row>
    <row r="547" spans="2:29" s="28" customFormat="1" ht="99" customHeight="1" x14ac:dyDescent="0.35">
      <c r="B547" s="77">
        <v>20250550</v>
      </c>
      <c r="C547" s="50" t="s">
        <v>209</v>
      </c>
      <c r="D547" s="218" t="s">
        <v>166</v>
      </c>
      <c r="E547" s="219" t="s">
        <v>565</v>
      </c>
      <c r="F547" s="218" t="s">
        <v>670</v>
      </c>
      <c r="G547" s="218" t="s">
        <v>155</v>
      </c>
      <c r="H547" s="93" t="s">
        <v>617</v>
      </c>
      <c r="I547" s="220">
        <v>2</v>
      </c>
      <c r="J547" s="220">
        <v>11</v>
      </c>
      <c r="K547" s="52">
        <v>0</v>
      </c>
      <c r="L547" s="53">
        <v>90750000</v>
      </c>
      <c r="M547" s="218" t="s">
        <v>465</v>
      </c>
      <c r="N547" s="53" t="s">
        <v>618</v>
      </c>
      <c r="O547" s="219" t="s">
        <v>227</v>
      </c>
      <c r="P547" s="221" t="str">
        <f>IFERROR(VLOOKUP(C547,TD!$B$33:$F$37,2,0)," ")</f>
        <v>O230117</v>
      </c>
      <c r="Q547" s="221" t="str">
        <f>IFERROR(VLOOKUP(C547,TD!$B$33:$F$37,3,0)," ")</f>
        <v>4503</v>
      </c>
      <c r="R547" s="221">
        <f>IFERROR(VLOOKUP(C547,TD!$B$33:$F$37,4,0)," ")</f>
        <v>20240255</v>
      </c>
      <c r="S547" s="219" t="s">
        <v>185</v>
      </c>
      <c r="T547" s="221" t="str">
        <f>IFERROR(VLOOKUP(S547,TD!$J$34:$K$44,2,0)," ")</f>
        <v>Infraestructura física, mantenimiento y dotación (Sedes construidas, mantenidas reforzadas)</v>
      </c>
      <c r="U547" s="222" t="str">
        <f t="shared" si="34"/>
        <v>08-Infraestructura física, mantenimiento y dotación (Sedes construidas, mantenidas reforzadas)</v>
      </c>
      <c r="V547" s="219" t="s">
        <v>236</v>
      </c>
      <c r="W547" s="221" t="str">
        <f>IFERROR(VLOOKUP(V547,TD!$N$34:$O$46,2,0)," ")</f>
        <v>Estaciones de bomberos adecuadas</v>
      </c>
      <c r="X547" s="222" t="str">
        <f t="shared" si="35"/>
        <v>014_Estaciones de bomberos adecuadas</v>
      </c>
      <c r="Y547" s="222" t="str">
        <f t="shared" si="36"/>
        <v>08-Infraestructura física, mantenimiento y dotación (Sedes construidas, mantenidas reforzadas) 014_Estaciones de bomberos adecuadas</v>
      </c>
      <c r="Z547" s="221" t="str">
        <f t="shared" si="37"/>
        <v>O23011745032024025508014</v>
      </c>
      <c r="AA547" s="221" t="str">
        <f>IFERROR(VLOOKUP(Y547,TD!$K$47:$L$65,2,0)," ")</f>
        <v>PM/0131/0108/45030140255</v>
      </c>
      <c r="AB547" s="53" t="s">
        <v>674</v>
      </c>
      <c r="AC547" s="223" t="s">
        <v>204</v>
      </c>
    </row>
    <row r="548" spans="2:29" s="28" customFormat="1" ht="99" customHeight="1" x14ac:dyDescent="0.35">
      <c r="B548" s="77">
        <v>20250551</v>
      </c>
      <c r="C548" s="50" t="s">
        <v>208</v>
      </c>
      <c r="D548" s="218" t="s">
        <v>166</v>
      </c>
      <c r="E548" s="219" t="s">
        <v>565</v>
      </c>
      <c r="F548" s="218" t="s">
        <v>575</v>
      </c>
      <c r="G548" s="218" t="s">
        <v>156</v>
      </c>
      <c r="H548" s="93" t="s">
        <v>617</v>
      </c>
      <c r="I548" s="220">
        <v>2</v>
      </c>
      <c r="J548" s="220">
        <v>11</v>
      </c>
      <c r="K548" s="52">
        <v>0</v>
      </c>
      <c r="L548" s="53">
        <v>33534424</v>
      </c>
      <c r="M548" s="218" t="s">
        <v>465</v>
      </c>
      <c r="N548" s="53" t="s">
        <v>618</v>
      </c>
      <c r="O548" s="219" t="s">
        <v>219</v>
      </c>
      <c r="P548" s="221" t="str">
        <f>IFERROR(VLOOKUP(C548,TD!$B$33:$F$37,2,0)," ")</f>
        <v>O230117</v>
      </c>
      <c r="Q548" s="221" t="str">
        <f>IFERROR(VLOOKUP(C548,TD!$B$33:$F$37,3,0)," ")</f>
        <v>4599</v>
      </c>
      <c r="R548" s="221">
        <f>IFERROR(VLOOKUP(C548,TD!$B$33:$F$37,4,0)," ")</f>
        <v>20240207</v>
      </c>
      <c r="S548" s="219" t="s">
        <v>185</v>
      </c>
      <c r="T548" s="221" t="str">
        <f>IFERROR(VLOOKUP(S548,TD!$J$34:$K$44,2,0)," ")</f>
        <v>Infraestructura física, mantenimiento y dotación (Sedes construidas, mantenidas reforzadas)</v>
      </c>
      <c r="U548" s="222" t="str">
        <f t="shared" si="34"/>
        <v>08-Infraestructura física, mantenimiento y dotación (Sedes construidas, mantenidas reforzadas)</v>
      </c>
      <c r="V548" s="219" t="s">
        <v>238</v>
      </c>
      <c r="W548" s="221" t="str">
        <f>IFERROR(VLOOKUP(V548,TD!$N$34:$O$46,2,0)," ")</f>
        <v>Sedes mantenidas</v>
      </c>
      <c r="X548" s="222" t="str">
        <f t="shared" si="35"/>
        <v>016_Sedes mantenidas</v>
      </c>
      <c r="Y548" s="222" t="str">
        <f t="shared" si="36"/>
        <v>08-Infraestructura física, mantenimiento y dotación (Sedes construidas, mantenidas reforzadas) 016_Sedes mantenidas</v>
      </c>
      <c r="Z548" s="221" t="str">
        <f t="shared" si="37"/>
        <v>O23011745992024020708016</v>
      </c>
      <c r="AA548" s="221" t="str">
        <f>IFERROR(VLOOKUP(Y548,TD!$K$47:$L$65,2,0)," ")</f>
        <v>PM/0131/0108/45990160207</v>
      </c>
      <c r="AB548" s="53" t="s">
        <v>138</v>
      </c>
      <c r="AC548" s="223" t="s">
        <v>204</v>
      </c>
    </row>
    <row r="549" spans="2:29" s="28" customFormat="1" ht="99" customHeight="1" x14ac:dyDescent="0.35">
      <c r="B549" s="77">
        <v>20250552</v>
      </c>
      <c r="C549" s="50" t="s">
        <v>208</v>
      </c>
      <c r="D549" s="218" t="s">
        <v>166</v>
      </c>
      <c r="E549" s="219" t="s">
        <v>565</v>
      </c>
      <c r="F549" s="218" t="s">
        <v>575</v>
      </c>
      <c r="G549" s="218" t="s">
        <v>156</v>
      </c>
      <c r="H549" s="93" t="s">
        <v>617</v>
      </c>
      <c r="I549" s="220">
        <v>2</v>
      </c>
      <c r="J549" s="220">
        <v>11</v>
      </c>
      <c r="K549" s="52">
        <v>0</v>
      </c>
      <c r="L549" s="53">
        <v>33534424</v>
      </c>
      <c r="M549" s="218" t="s">
        <v>465</v>
      </c>
      <c r="N549" s="53" t="s">
        <v>618</v>
      </c>
      <c r="O549" s="219" t="s">
        <v>219</v>
      </c>
      <c r="P549" s="221" t="str">
        <f>IFERROR(VLOOKUP(C549,TD!$B$33:$F$37,2,0)," ")</f>
        <v>O230117</v>
      </c>
      <c r="Q549" s="221" t="str">
        <f>IFERROR(VLOOKUP(C549,TD!$B$33:$F$37,3,0)," ")</f>
        <v>4599</v>
      </c>
      <c r="R549" s="221">
        <f>IFERROR(VLOOKUP(C549,TD!$B$33:$F$37,4,0)," ")</f>
        <v>20240207</v>
      </c>
      <c r="S549" s="219" t="s">
        <v>185</v>
      </c>
      <c r="T549" s="221" t="str">
        <f>IFERROR(VLOOKUP(S549,TD!$J$34:$K$44,2,0)," ")</f>
        <v>Infraestructura física, mantenimiento y dotación (Sedes construidas, mantenidas reforzadas)</v>
      </c>
      <c r="U549" s="222" t="str">
        <f t="shared" si="34"/>
        <v>08-Infraestructura física, mantenimiento y dotación (Sedes construidas, mantenidas reforzadas)</v>
      </c>
      <c r="V549" s="219" t="s">
        <v>238</v>
      </c>
      <c r="W549" s="221" t="str">
        <f>IFERROR(VLOOKUP(V549,TD!$N$34:$O$46,2,0)," ")</f>
        <v>Sedes mantenidas</v>
      </c>
      <c r="X549" s="222" t="str">
        <f t="shared" si="35"/>
        <v>016_Sedes mantenidas</v>
      </c>
      <c r="Y549" s="222" t="str">
        <f t="shared" si="36"/>
        <v>08-Infraestructura física, mantenimiento y dotación (Sedes construidas, mantenidas reforzadas) 016_Sedes mantenidas</v>
      </c>
      <c r="Z549" s="221" t="str">
        <f t="shared" si="37"/>
        <v>O23011745992024020708016</v>
      </c>
      <c r="AA549" s="221" t="str">
        <f>IFERROR(VLOOKUP(Y549,TD!$K$47:$L$65,2,0)," ")</f>
        <v>PM/0131/0108/45990160207</v>
      </c>
      <c r="AB549" s="53" t="s">
        <v>138</v>
      </c>
      <c r="AC549" s="223" t="s">
        <v>204</v>
      </c>
    </row>
    <row r="550" spans="2:29" s="28" customFormat="1" ht="99" customHeight="1" x14ac:dyDescent="0.35">
      <c r="B550" s="77">
        <v>20250553</v>
      </c>
      <c r="C550" s="50" t="s">
        <v>208</v>
      </c>
      <c r="D550" s="218" t="s">
        <v>166</v>
      </c>
      <c r="E550" s="219" t="s">
        <v>565</v>
      </c>
      <c r="F550" s="218" t="s">
        <v>987</v>
      </c>
      <c r="G550" s="218" t="s">
        <v>155</v>
      </c>
      <c r="H550" s="93" t="s">
        <v>617</v>
      </c>
      <c r="I550" s="220">
        <v>2</v>
      </c>
      <c r="J550" s="220">
        <v>6</v>
      </c>
      <c r="K550" s="52">
        <v>0</v>
      </c>
      <c r="L550" s="53">
        <v>46585000</v>
      </c>
      <c r="M550" s="218" t="s">
        <v>465</v>
      </c>
      <c r="N550" s="53" t="s">
        <v>618</v>
      </c>
      <c r="O550" s="219" t="s">
        <v>218</v>
      </c>
      <c r="P550" s="221" t="str">
        <f>IFERROR(VLOOKUP(C550,TD!$B$33:$F$37,2,0)," ")</f>
        <v>O230117</v>
      </c>
      <c r="Q550" s="221" t="str">
        <f>IFERROR(VLOOKUP(C550,TD!$B$33:$F$37,3,0)," ")</f>
        <v>4599</v>
      </c>
      <c r="R550" s="221">
        <f>IFERROR(VLOOKUP(C550,TD!$B$33:$F$37,4,0)," ")</f>
        <v>20240207</v>
      </c>
      <c r="S550" s="219" t="s">
        <v>185</v>
      </c>
      <c r="T550" s="221" t="str">
        <f>IFERROR(VLOOKUP(S550,TD!$J$34:$K$44,2,0)," ")</f>
        <v>Infraestructura física, mantenimiento y dotación (Sedes construidas, mantenidas reforzadas)</v>
      </c>
      <c r="U550" s="222" t="str">
        <f t="shared" si="34"/>
        <v>08-Infraestructura física, mantenimiento y dotación (Sedes construidas, mantenidas reforzadas)</v>
      </c>
      <c r="V550" s="219" t="s">
        <v>238</v>
      </c>
      <c r="W550" s="221" t="str">
        <f>IFERROR(VLOOKUP(V550,TD!$N$34:$O$46,2,0)," ")</f>
        <v>Sedes mantenidas</v>
      </c>
      <c r="X550" s="222" t="str">
        <f t="shared" si="35"/>
        <v>016_Sedes mantenidas</v>
      </c>
      <c r="Y550" s="222" t="str">
        <f t="shared" si="36"/>
        <v>08-Infraestructura física, mantenimiento y dotación (Sedes construidas, mantenidas reforzadas) 016_Sedes mantenidas</v>
      </c>
      <c r="Z550" s="221" t="str">
        <f t="shared" si="37"/>
        <v>O23011745992024020708016</v>
      </c>
      <c r="AA550" s="221" t="str">
        <f>IFERROR(VLOOKUP(Y550,TD!$K$47:$L$65,2,0)," ")</f>
        <v>PM/0131/0108/45990160207</v>
      </c>
      <c r="AB550" s="53" t="s">
        <v>138</v>
      </c>
      <c r="AC550" s="223" t="s">
        <v>204</v>
      </c>
    </row>
    <row r="551" spans="2:29" s="28" customFormat="1" ht="99" customHeight="1" x14ac:dyDescent="0.35">
      <c r="B551" s="77">
        <v>20250554</v>
      </c>
      <c r="C551" s="50" t="s">
        <v>208</v>
      </c>
      <c r="D551" s="218" t="s">
        <v>166</v>
      </c>
      <c r="E551" s="219" t="s">
        <v>565</v>
      </c>
      <c r="F551" s="218" t="s">
        <v>594</v>
      </c>
      <c r="G551" s="218" t="s">
        <v>156</v>
      </c>
      <c r="H551" s="93" t="s">
        <v>617</v>
      </c>
      <c r="I551" s="220">
        <v>2</v>
      </c>
      <c r="J551" s="220">
        <v>11</v>
      </c>
      <c r="K551" s="52">
        <v>0</v>
      </c>
      <c r="L551" s="53">
        <v>33534424</v>
      </c>
      <c r="M551" s="218" t="s">
        <v>465</v>
      </c>
      <c r="N551" s="53" t="s">
        <v>618</v>
      </c>
      <c r="O551" s="219" t="s">
        <v>219</v>
      </c>
      <c r="P551" s="221" t="str">
        <f>IFERROR(VLOOKUP(C551,TD!$B$33:$F$37,2,0)," ")</f>
        <v>O230117</v>
      </c>
      <c r="Q551" s="221" t="str">
        <f>IFERROR(VLOOKUP(C551,TD!$B$33:$F$37,3,0)," ")</f>
        <v>4599</v>
      </c>
      <c r="R551" s="221">
        <f>IFERROR(VLOOKUP(C551,TD!$B$33:$F$37,4,0)," ")</f>
        <v>20240207</v>
      </c>
      <c r="S551" s="219" t="s">
        <v>185</v>
      </c>
      <c r="T551" s="221" t="str">
        <f>IFERROR(VLOOKUP(S551,TD!$J$34:$K$44,2,0)," ")</f>
        <v>Infraestructura física, mantenimiento y dotación (Sedes construidas, mantenidas reforzadas)</v>
      </c>
      <c r="U551" s="222" t="str">
        <f t="shared" si="34"/>
        <v>08-Infraestructura física, mantenimiento y dotación (Sedes construidas, mantenidas reforzadas)</v>
      </c>
      <c r="V551" s="219" t="s">
        <v>238</v>
      </c>
      <c r="W551" s="221" t="str">
        <f>IFERROR(VLOOKUP(V551,TD!$N$34:$O$46,2,0)," ")</f>
        <v>Sedes mantenidas</v>
      </c>
      <c r="X551" s="222" t="str">
        <f t="shared" si="35"/>
        <v>016_Sedes mantenidas</v>
      </c>
      <c r="Y551" s="222" t="str">
        <f t="shared" si="36"/>
        <v>08-Infraestructura física, mantenimiento y dotación (Sedes construidas, mantenidas reforzadas) 016_Sedes mantenidas</v>
      </c>
      <c r="Z551" s="221" t="str">
        <f t="shared" si="37"/>
        <v>O23011745992024020708016</v>
      </c>
      <c r="AA551" s="221" t="str">
        <f>IFERROR(VLOOKUP(Y551,TD!$K$47:$L$65,2,0)," ")</f>
        <v>PM/0131/0108/45990160207</v>
      </c>
      <c r="AB551" s="53" t="s">
        <v>138</v>
      </c>
      <c r="AC551" s="223" t="s">
        <v>204</v>
      </c>
    </row>
    <row r="552" spans="2:29" s="28" customFormat="1" ht="99" customHeight="1" x14ac:dyDescent="0.35">
      <c r="B552" s="77">
        <v>20250555</v>
      </c>
      <c r="C552" s="50" t="s">
        <v>208</v>
      </c>
      <c r="D552" s="218" t="s">
        <v>166</v>
      </c>
      <c r="E552" s="219" t="s">
        <v>565</v>
      </c>
      <c r="F552" s="218" t="s">
        <v>594</v>
      </c>
      <c r="G552" s="218" t="s">
        <v>156</v>
      </c>
      <c r="H552" s="93" t="s">
        <v>617</v>
      </c>
      <c r="I552" s="220">
        <v>2</v>
      </c>
      <c r="J552" s="220">
        <v>11</v>
      </c>
      <c r="K552" s="52">
        <v>0</v>
      </c>
      <c r="L552" s="53">
        <v>33534424</v>
      </c>
      <c r="M552" s="218" t="s">
        <v>465</v>
      </c>
      <c r="N552" s="53" t="s">
        <v>618</v>
      </c>
      <c r="O552" s="219" t="s">
        <v>219</v>
      </c>
      <c r="P552" s="221" t="str">
        <f>IFERROR(VLOOKUP(C552,TD!$B$33:$F$37,2,0)," ")</f>
        <v>O230117</v>
      </c>
      <c r="Q552" s="221" t="str">
        <f>IFERROR(VLOOKUP(C552,TD!$B$33:$F$37,3,0)," ")</f>
        <v>4599</v>
      </c>
      <c r="R552" s="221">
        <f>IFERROR(VLOOKUP(C552,TD!$B$33:$F$37,4,0)," ")</f>
        <v>20240207</v>
      </c>
      <c r="S552" s="219" t="s">
        <v>185</v>
      </c>
      <c r="T552" s="221" t="str">
        <f>IFERROR(VLOOKUP(S552,TD!$J$34:$K$44,2,0)," ")</f>
        <v>Infraestructura física, mantenimiento y dotación (Sedes construidas, mantenidas reforzadas)</v>
      </c>
      <c r="U552" s="222" t="str">
        <f t="shared" si="34"/>
        <v>08-Infraestructura física, mantenimiento y dotación (Sedes construidas, mantenidas reforzadas)</v>
      </c>
      <c r="V552" s="219" t="s">
        <v>238</v>
      </c>
      <c r="W552" s="221" t="str">
        <f>IFERROR(VLOOKUP(V552,TD!$N$34:$O$46,2,0)," ")</f>
        <v>Sedes mantenidas</v>
      </c>
      <c r="X552" s="222" t="str">
        <f t="shared" si="35"/>
        <v>016_Sedes mantenidas</v>
      </c>
      <c r="Y552" s="222" t="str">
        <f t="shared" si="36"/>
        <v>08-Infraestructura física, mantenimiento y dotación (Sedes construidas, mantenidas reforzadas) 016_Sedes mantenidas</v>
      </c>
      <c r="Z552" s="221" t="str">
        <f t="shared" si="37"/>
        <v>O23011745992024020708016</v>
      </c>
      <c r="AA552" s="221" t="str">
        <f>IFERROR(VLOOKUP(Y552,TD!$K$47:$L$65,2,0)," ")</f>
        <v>PM/0131/0108/45990160207</v>
      </c>
      <c r="AB552" s="53" t="s">
        <v>138</v>
      </c>
      <c r="AC552" s="223" t="s">
        <v>204</v>
      </c>
    </row>
    <row r="553" spans="2:29" s="28" customFormat="1" ht="99" customHeight="1" x14ac:dyDescent="0.35">
      <c r="B553" s="77">
        <v>20250556</v>
      </c>
      <c r="C553" s="50" t="s">
        <v>208</v>
      </c>
      <c r="D553" s="218" t="s">
        <v>166</v>
      </c>
      <c r="E553" s="219" t="s">
        <v>565</v>
      </c>
      <c r="F553" s="218" t="s">
        <v>671</v>
      </c>
      <c r="G553" s="218" t="s">
        <v>156</v>
      </c>
      <c r="H553" s="93" t="s">
        <v>617</v>
      </c>
      <c r="I553" s="220">
        <v>2</v>
      </c>
      <c r="J553" s="220">
        <v>11</v>
      </c>
      <c r="K553" s="52">
        <v>0</v>
      </c>
      <c r="L553" s="53">
        <v>33534424</v>
      </c>
      <c r="M553" s="218" t="s">
        <v>465</v>
      </c>
      <c r="N553" s="53" t="s">
        <v>618</v>
      </c>
      <c r="O553" s="219" t="s">
        <v>219</v>
      </c>
      <c r="P553" s="221" t="str">
        <f>IFERROR(VLOOKUP(C553,TD!$B$33:$F$37,2,0)," ")</f>
        <v>O230117</v>
      </c>
      <c r="Q553" s="221" t="str">
        <f>IFERROR(VLOOKUP(C553,TD!$B$33:$F$37,3,0)," ")</f>
        <v>4599</v>
      </c>
      <c r="R553" s="221">
        <f>IFERROR(VLOOKUP(C553,TD!$B$33:$F$37,4,0)," ")</f>
        <v>20240207</v>
      </c>
      <c r="S553" s="219" t="s">
        <v>185</v>
      </c>
      <c r="T553" s="221" t="str">
        <f>IFERROR(VLOOKUP(S553,TD!$J$34:$K$44,2,0)," ")</f>
        <v>Infraestructura física, mantenimiento y dotación (Sedes construidas, mantenidas reforzadas)</v>
      </c>
      <c r="U553" s="222" t="str">
        <f t="shared" si="34"/>
        <v>08-Infraestructura física, mantenimiento y dotación (Sedes construidas, mantenidas reforzadas)</v>
      </c>
      <c r="V553" s="219" t="s">
        <v>238</v>
      </c>
      <c r="W553" s="221" t="str">
        <f>IFERROR(VLOOKUP(V553,TD!$N$34:$O$46,2,0)," ")</f>
        <v>Sedes mantenidas</v>
      </c>
      <c r="X553" s="222" t="str">
        <f t="shared" si="35"/>
        <v>016_Sedes mantenidas</v>
      </c>
      <c r="Y553" s="222" t="str">
        <f t="shared" si="36"/>
        <v>08-Infraestructura física, mantenimiento y dotación (Sedes construidas, mantenidas reforzadas) 016_Sedes mantenidas</v>
      </c>
      <c r="Z553" s="221" t="str">
        <f t="shared" si="37"/>
        <v>O23011745992024020708016</v>
      </c>
      <c r="AA553" s="221" t="str">
        <f>IFERROR(VLOOKUP(Y553,TD!$K$47:$L$65,2,0)," ")</f>
        <v>PM/0131/0108/45990160207</v>
      </c>
      <c r="AB553" s="53" t="s">
        <v>138</v>
      </c>
      <c r="AC553" s="223" t="s">
        <v>204</v>
      </c>
    </row>
    <row r="554" spans="2:29" s="28" customFormat="1" ht="99" customHeight="1" x14ac:dyDescent="0.35">
      <c r="B554" s="77">
        <v>20250557</v>
      </c>
      <c r="C554" s="50" t="s">
        <v>208</v>
      </c>
      <c r="D554" s="218" t="s">
        <v>166</v>
      </c>
      <c r="E554" s="219" t="s">
        <v>565</v>
      </c>
      <c r="F554" s="218" t="s">
        <v>672</v>
      </c>
      <c r="G554" s="218" t="s">
        <v>156</v>
      </c>
      <c r="H554" s="93" t="s">
        <v>617</v>
      </c>
      <c r="I554" s="220">
        <v>2</v>
      </c>
      <c r="J554" s="220">
        <v>11</v>
      </c>
      <c r="K554" s="52">
        <v>0</v>
      </c>
      <c r="L554" s="53">
        <v>45853192</v>
      </c>
      <c r="M554" s="218" t="s">
        <v>465</v>
      </c>
      <c r="N554" s="53" t="s">
        <v>618</v>
      </c>
      <c r="O554" s="219" t="s">
        <v>219</v>
      </c>
      <c r="P554" s="221" t="str">
        <f>IFERROR(VLOOKUP(C554,TD!$B$33:$F$37,2,0)," ")</f>
        <v>O230117</v>
      </c>
      <c r="Q554" s="221" t="str">
        <f>IFERROR(VLOOKUP(C554,TD!$B$33:$F$37,3,0)," ")</f>
        <v>4599</v>
      </c>
      <c r="R554" s="221">
        <f>IFERROR(VLOOKUP(C554,TD!$B$33:$F$37,4,0)," ")</f>
        <v>20240207</v>
      </c>
      <c r="S554" s="219" t="s">
        <v>185</v>
      </c>
      <c r="T554" s="221" t="str">
        <f>IFERROR(VLOOKUP(S554,TD!$J$34:$K$44,2,0)," ")</f>
        <v>Infraestructura física, mantenimiento y dotación (Sedes construidas, mantenidas reforzadas)</v>
      </c>
      <c r="U554" s="222" t="str">
        <f t="shared" si="34"/>
        <v>08-Infraestructura física, mantenimiento y dotación (Sedes construidas, mantenidas reforzadas)</v>
      </c>
      <c r="V554" s="219" t="s">
        <v>238</v>
      </c>
      <c r="W554" s="221" t="str">
        <f>IFERROR(VLOOKUP(V554,TD!$N$34:$O$46,2,0)," ")</f>
        <v>Sedes mantenidas</v>
      </c>
      <c r="X554" s="222" t="str">
        <f t="shared" si="35"/>
        <v>016_Sedes mantenidas</v>
      </c>
      <c r="Y554" s="222" t="str">
        <f t="shared" si="36"/>
        <v>08-Infraestructura física, mantenimiento y dotación (Sedes construidas, mantenidas reforzadas) 016_Sedes mantenidas</v>
      </c>
      <c r="Z554" s="221" t="str">
        <f t="shared" si="37"/>
        <v>O23011745992024020708016</v>
      </c>
      <c r="AA554" s="221" t="str">
        <f>IFERROR(VLOOKUP(Y554,TD!$K$47:$L$65,2,0)," ")</f>
        <v>PM/0131/0108/45990160207</v>
      </c>
      <c r="AB554" s="53" t="s">
        <v>138</v>
      </c>
      <c r="AC554" s="223" t="s">
        <v>204</v>
      </c>
    </row>
    <row r="555" spans="2:29" s="28" customFormat="1" ht="99" customHeight="1" x14ac:dyDescent="0.35">
      <c r="B555" s="130">
        <v>20250558</v>
      </c>
      <c r="C555" s="50" t="s">
        <v>346</v>
      </c>
      <c r="D555" s="218" t="s">
        <v>166</v>
      </c>
      <c r="E555" s="219" t="s">
        <v>565</v>
      </c>
      <c r="F555" s="218" t="s">
        <v>656</v>
      </c>
      <c r="G555" s="218" t="s">
        <v>96</v>
      </c>
      <c r="H555" s="93" t="s">
        <v>638</v>
      </c>
      <c r="I555" s="220">
        <v>2</v>
      </c>
      <c r="J555" s="220">
        <v>4</v>
      </c>
      <c r="K555" s="52">
        <v>0</v>
      </c>
      <c r="L555" s="53">
        <f>240000000+200000000</f>
        <v>440000000</v>
      </c>
      <c r="M555" s="218" t="s">
        <v>172</v>
      </c>
      <c r="N555" s="53" t="s">
        <v>85</v>
      </c>
      <c r="O555" s="219" t="s">
        <v>347</v>
      </c>
      <c r="P555" s="221" t="str">
        <f>IFERROR(VLOOKUP(C555,TD!$B$33:$F$37,2,0)," ")</f>
        <v>NA</v>
      </c>
      <c r="Q555" s="221" t="str">
        <f>IFERROR(VLOOKUP(C555,TD!$B$33:$F$37,3,0)," ")</f>
        <v>NA</v>
      </c>
      <c r="R555" s="221" t="str">
        <f>IFERROR(VLOOKUP(C555,TD!$B$33:$F$37,4,0)," ")</f>
        <v>NA</v>
      </c>
      <c r="S555" s="219" t="s">
        <v>406</v>
      </c>
      <c r="T555" s="221" t="str">
        <f>IFERROR(VLOOKUP(S555,TD!$J$34:$K$44,2,0)," ")</f>
        <v>N/A</v>
      </c>
      <c r="U555" s="222" t="str">
        <f t="shared" si="34"/>
        <v>N/A-N/A</v>
      </c>
      <c r="V555" s="219" t="s">
        <v>406</v>
      </c>
      <c r="W555" s="221" t="str">
        <f>IFERROR(VLOOKUP(V555,TD!$N$34:$O$46,2,0)," ")</f>
        <v>N/A</v>
      </c>
      <c r="X555" s="222" t="str">
        <f t="shared" si="35"/>
        <v>N/A_N/A</v>
      </c>
      <c r="Y555" s="222" t="str">
        <f t="shared" si="36"/>
        <v>N/A-N/A N/A_N/A</v>
      </c>
      <c r="Z555" s="221" t="str">
        <f t="shared" si="37"/>
        <v>NANANAN/AN/A</v>
      </c>
      <c r="AA555" s="221" t="str">
        <f>IFERROR(VLOOKUP(Y555,TD!$K$47:$L$65,2,0)," ")</f>
        <v>N/A</v>
      </c>
      <c r="AB555" s="53" t="s">
        <v>675</v>
      </c>
      <c r="AC555" s="223" t="s">
        <v>205</v>
      </c>
    </row>
    <row r="556" spans="2:29" s="28" customFormat="1" ht="99" customHeight="1" x14ac:dyDescent="0.35">
      <c r="B556" s="130">
        <v>20250559</v>
      </c>
      <c r="C556" s="132" t="s">
        <v>346</v>
      </c>
      <c r="D556" s="224" t="s">
        <v>162</v>
      </c>
      <c r="E556" s="225" t="s">
        <v>355</v>
      </c>
      <c r="F556" s="224" t="s">
        <v>961</v>
      </c>
      <c r="G556" s="224" t="s">
        <v>157</v>
      </c>
      <c r="H556" s="133" t="s">
        <v>679</v>
      </c>
      <c r="I556" s="226">
        <v>8</v>
      </c>
      <c r="J556" s="226">
        <v>6</v>
      </c>
      <c r="K556" s="129">
        <v>0</v>
      </c>
      <c r="L556" s="128">
        <v>82808364</v>
      </c>
      <c r="M556" s="224" t="s">
        <v>172</v>
      </c>
      <c r="N556" s="128" t="s">
        <v>95</v>
      </c>
      <c r="O556" s="225" t="s">
        <v>347</v>
      </c>
      <c r="P556" s="227" t="str">
        <f>IFERROR(VLOOKUP(C556,TD!$B$33:$F$37,2,0)," ")</f>
        <v>NA</v>
      </c>
      <c r="Q556" s="227" t="str">
        <f>IFERROR(VLOOKUP(C556,TD!$B$33:$F$37,3,0)," ")</f>
        <v>NA</v>
      </c>
      <c r="R556" s="227" t="str">
        <f>IFERROR(VLOOKUP(C556,TD!$B$33:$F$37,4,0)," ")</f>
        <v>NA</v>
      </c>
      <c r="S556" s="225" t="s">
        <v>406</v>
      </c>
      <c r="T556" s="227" t="str">
        <f>IFERROR(VLOOKUP(S556,TD!$J$34:$K$44,2,0)," ")</f>
        <v>N/A</v>
      </c>
      <c r="U556" s="222" t="str">
        <f t="shared" si="34"/>
        <v>N/A-N/A</v>
      </c>
      <c r="V556" s="225" t="s">
        <v>406</v>
      </c>
      <c r="W556" s="227" t="str">
        <f>IFERROR(VLOOKUP(V556,TD!$N$34:$O$46,2,0)," ")</f>
        <v>N/A</v>
      </c>
      <c r="X556" s="222" t="str">
        <f t="shared" si="35"/>
        <v>N/A_N/A</v>
      </c>
      <c r="Y556" s="222" t="str">
        <f t="shared" si="36"/>
        <v>N/A-N/A N/A_N/A</v>
      </c>
      <c r="Z556" s="227" t="str">
        <f t="shared" si="37"/>
        <v>NANANAN/AN/A</v>
      </c>
      <c r="AA556" s="227" t="str">
        <f>IFERROR(VLOOKUP(Y556,TD!$K$47:$L$65,2,0)," ")</f>
        <v>N/A</v>
      </c>
      <c r="AB556" s="128" t="s">
        <v>443</v>
      </c>
      <c r="AC556" s="228" t="s">
        <v>204</v>
      </c>
    </row>
    <row r="557" spans="2:29" s="28" customFormat="1" ht="99" customHeight="1" x14ac:dyDescent="0.35">
      <c r="B557" s="130">
        <v>20250560</v>
      </c>
      <c r="C557" s="132" t="s">
        <v>346</v>
      </c>
      <c r="D557" s="224" t="s">
        <v>162</v>
      </c>
      <c r="E557" s="225" t="s">
        <v>355</v>
      </c>
      <c r="F557" s="224" t="s">
        <v>676</v>
      </c>
      <c r="G557" s="224" t="s">
        <v>154</v>
      </c>
      <c r="H557" s="133">
        <v>81112100</v>
      </c>
      <c r="I557" s="226">
        <v>3</v>
      </c>
      <c r="J557" s="226">
        <v>12</v>
      </c>
      <c r="K557" s="129">
        <v>0</v>
      </c>
      <c r="L557" s="128">
        <v>514061636</v>
      </c>
      <c r="M557" s="224" t="s">
        <v>172</v>
      </c>
      <c r="N557" s="128" t="s">
        <v>113</v>
      </c>
      <c r="O557" s="225" t="s">
        <v>347</v>
      </c>
      <c r="P557" s="227" t="str">
        <f>IFERROR(VLOOKUP(C557,TD!$B$33:$F$37,2,0)," ")</f>
        <v>NA</v>
      </c>
      <c r="Q557" s="227" t="str">
        <f>IFERROR(VLOOKUP(C557,TD!$B$33:$F$37,3,0)," ")</f>
        <v>NA</v>
      </c>
      <c r="R557" s="227" t="str">
        <f>IFERROR(VLOOKUP(C557,TD!$B$33:$F$37,4,0)," ")</f>
        <v>NA</v>
      </c>
      <c r="S557" s="225" t="s">
        <v>406</v>
      </c>
      <c r="T557" s="227" t="str">
        <f>IFERROR(VLOOKUP(S557,TD!$J$34:$K$44,2,0)," ")</f>
        <v>N/A</v>
      </c>
      <c r="U557" s="222" t="str">
        <f t="shared" si="34"/>
        <v>N/A-N/A</v>
      </c>
      <c r="V557" s="225" t="s">
        <v>406</v>
      </c>
      <c r="W557" s="227" t="str">
        <f>IFERROR(VLOOKUP(V557,TD!$N$34:$O$46,2,0)," ")</f>
        <v>N/A</v>
      </c>
      <c r="X557" s="222" t="str">
        <f t="shared" si="35"/>
        <v>N/A_N/A</v>
      </c>
      <c r="Y557" s="222" t="str">
        <f t="shared" si="36"/>
        <v>N/A-N/A N/A_N/A</v>
      </c>
      <c r="Z557" s="227" t="str">
        <f t="shared" si="37"/>
        <v>NANANAN/AN/A</v>
      </c>
      <c r="AA557" s="227" t="str">
        <f>IFERROR(VLOOKUP(Y557,TD!$K$47:$L$65,2,0)," ")</f>
        <v>N/A</v>
      </c>
      <c r="AB557" s="128" t="s">
        <v>444</v>
      </c>
      <c r="AC557" s="228" t="s">
        <v>204</v>
      </c>
    </row>
    <row r="558" spans="2:29" s="28" customFormat="1" ht="99" customHeight="1" x14ac:dyDescent="0.35">
      <c r="B558" s="130">
        <v>20250561</v>
      </c>
      <c r="C558" s="132" t="s">
        <v>346</v>
      </c>
      <c r="D558" s="224" t="s">
        <v>162</v>
      </c>
      <c r="E558" s="225" t="s">
        <v>355</v>
      </c>
      <c r="F558" s="224" t="s">
        <v>677</v>
      </c>
      <c r="G558" s="224" t="s">
        <v>149</v>
      </c>
      <c r="H558" s="133" t="s">
        <v>680</v>
      </c>
      <c r="I558" s="226">
        <v>11</v>
      </c>
      <c r="J558" s="226">
        <v>12</v>
      </c>
      <c r="K558" s="129">
        <v>0</v>
      </c>
      <c r="L558" s="128">
        <v>43000000</v>
      </c>
      <c r="M558" s="224" t="s">
        <v>172</v>
      </c>
      <c r="N558" s="128" t="s">
        <v>100</v>
      </c>
      <c r="O558" s="225" t="s">
        <v>347</v>
      </c>
      <c r="P558" s="227" t="str">
        <f>IFERROR(VLOOKUP(C558,TD!$B$33:$F$37,2,0)," ")</f>
        <v>NA</v>
      </c>
      <c r="Q558" s="227" t="str">
        <f>IFERROR(VLOOKUP(C558,TD!$B$33:$F$37,3,0)," ")</f>
        <v>NA</v>
      </c>
      <c r="R558" s="227" t="str">
        <f>IFERROR(VLOOKUP(C558,TD!$B$33:$F$37,4,0)," ")</f>
        <v>NA</v>
      </c>
      <c r="S558" s="225" t="s">
        <v>406</v>
      </c>
      <c r="T558" s="227" t="str">
        <f>IFERROR(VLOOKUP(S558,TD!$J$34:$K$44,2,0)," ")</f>
        <v>N/A</v>
      </c>
      <c r="U558" s="222" t="str">
        <f t="shared" si="34"/>
        <v>N/A-N/A</v>
      </c>
      <c r="V558" s="225" t="s">
        <v>406</v>
      </c>
      <c r="W558" s="227" t="str">
        <f>IFERROR(VLOOKUP(V558,TD!$N$34:$O$46,2,0)," ")</f>
        <v>N/A</v>
      </c>
      <c r="X558" s="222" t="str">
        <f t="shared" si="35"/>
        <v>N/A_N/A</v>
      </c>
      <c r="Y558" s="222" t="str">
        <f t="shared" si="36"/>
        <v>N/A-N/A N/A_N/A</v>
      </c>
      <c r="Z558" s="227" t="str">
        <f t="shared" si="37"/>
        <v>NANANAN/AN/A</v>
      </c>
      <c r="AA558" s="227" t="str">
        <f>IFERROR(VLOOKUP(Y558,TD!$K$47:$L$65,2,0)," ")</f>
        <v>N/A</v>
      </c>
      <c r="AB558" s="128" t="s">
        <v>445</v>
      </c>
      <c r="AC558" s="228" t="s">
        <v>204</v>
      </c>
    </row>
    <row r="559" spans="2:29" s="28" customFormat="1" ht="99" customHeight="1" x14ac:dyDescent="0.35">
      <c r="B559" s="77">
        <v>20250562</v>
      </c>
      <c r="C559" s="50" t="s">
        <v>346</v>
      </c>
      <c r="D559" s="218" t="s">
        <v>162</v>
      </c>
      <c r="E559" s="219" t="s">
        <v>355</v>
      </c>
      <c r="F559" s="218" t="s">
        <v>678</v>
      </c>
      <c r="G559" s="218" t="s">
        <v>158</v>
      </c>
      <c r="H559" s="93" t="s">
        <v>681</v>
      </c>
      <c r="I559" s="220">
        <v>11</v>
      </c>
      <c r="J559" s="220">
        <v>12</v>
      </c>
      <c r="K559" s="52">
        <v>0</v>
      </c>
      <c r="L559" s="53">
        <v>13000000</v>
      </c>
      <c r="M559" s="218" t="s">
        <v>172</v>
      </c>
      <c r="N559" s="53" t="s">
        <v>100</v>
      </c>
      <c r="O559" s="219" t="s">
        <v>347</v>
      </c>
      <c r="P559" s="221" t="str">
        <f>IFERROR(VLOOKUP(C559,TD!$B$33:$F$37,2,0)," ")</f>
        <v>NA</v>
      </c>
      <c r="Q559" s="221" t="str">
        <f>IFERROR(VLOOKUP(C559,TD!$B$33:$F$37,3,0)," ")</f>
        <v>NA</v>
      </c>
      <c r="R559" s="221" t="str">
        <f>IFERROR(VLOOKUP(C559,TD!$B$33:$F$37,4,0)," ")</f>
        <v>NA</v>
      </c>
      <c r="S559" s="219" t="s">
        <v>406</v>
      </c>
      <c r="T559" s="221" t="str">
        <f>IFERROR(VLOOKUP(S559,TD!$J$34:$K$44,2,0)," ")</f>
        <v>N/A</v>
      </c>
      <c r="U559" s="222" t="str">
        <f t="shared" si="34"/>
        <v>N/A-N/A</v>
      </c>
      <c r="V559" s="219" t="s">
        <v>406</v>
      </c>
      <c r="W559" s="221" t="str">
        <f>IFERROR(VLOOKUP(V559,TD!$N$34:$O$46,2,0)," ")</f>
        <v>N/A</v>
      </c>
      <c r="X559" s="222" t="str">
        <f t="shared" si="35"/>
        <v>N/A_N/A</v>
      </c>
      <c r="Y559" s="222" t="str">
        <f t="shared" si="36"/>
        <v>N/A-N/A N/A_N/A</v>
      </c>
      <c r="Z559" s="221" t="str">
        <f t="shared" si="37"/>
        <v>NANANAN/AN/A</v>
      </c>
      <c r="AA559" s="221" t="str">
        <f>IFERROR(VLOOKUP(Y559,TD!$K$47:$L$65,2,0)," ")</f>
        <v>N/A</v>
      </c>
      <c r="AB559" s="53" t="s">
        <v>444</v>
      </c>
      <c r="AC559" s="223" t="s">
        <v>204</v>
      </c>
    </row>
    <row r="560" spans="2:29" s="28" customFormat="1" ht="99" customHeight="1" x14ac:dyDescent="0.35">
      <c r="B560" s="77">
        <v>20250563</v>
      </c>
      <c r="C560" s="50" t="s">
        <v>208</v>
      </c>
      <c r="D560" s="218" t="s">
        <v>45</v>
      </c>
      <c r="E560" s="219" t="s">
        <v>355</v>
      </c>
      <c r="F560" s="218" t="s">
        <v>682</v>
      </c>
      <c r="G560" s="218" t="s">
        <v>155</v>
      </c>
      <c r="H560" s="93">
        <v>80111600</v>
      </c>
      <c r="I560" s="220">
        <v>2</v>
      </c>
      <c r="J560" s="220">
        <v>8</v>
      </c>
      <c r="K560" s="52">
        <v>0</v>
      </c>
      <c r="L560" s="53">
        <v>64000000</v>
      </c>
      <c r="M560" s="218" t="s">
        <v>465</v>
      </c>
      <c r="N560" s="53" t="s">
        <v>113</v>
      </c>
      <c r="O560" s="219" t="s">
        <v>219</v>
      </c>
      <c r="P560" s="221" t="str">
        <f>IFERROR(VLOOKUP(C560,TD!$B$33:$F$37,2,0)," ")</f>
        <v>O230117</v>
      </c>
      <c r="Q560" s="221" t="str">
        <f>IFERROR(VLOOKUP(C560,TD!$B$33:$F$37,3,0)," ")</f>
        <v>4599</v>
      </c>
      <c r="R560" s="221">
        <f>IFERROR(VLOOKUP(C560,TD!$B$33:$F$37,4,0)," ")</f>
        <v>20240207</v>
      </c>
      <c r="S560" s="219" t="s">
        <v>185</v>
      </c>
      <c r="T560" s="221" t="str">
        <f>IFERROR(VLOOKUP(S560,TD!$J$34:$K$44,2,0)," ")</f>
        <v>Infraestructura física, mantenimiento y dotación (Sedes construidas, mantenidas reforzadas)</v>
      </c>
      <c r="U560" s="222" t="str">
        <f t="shared" si="34"/>
        <v>08-Infraestructura física, mantenimiento y dotación (Sedes construidas, mantenidas reforzadas)</v>
      </c>
      <c r="V560" s="219" t="s">
        <v>238</v>
      </c>
      <c r="W560" s="221" t="str">
        <f>IFERROR(VLOOKUP(V560,TD!$N$34:$O$46,2,0)," ")</f>
        <v>Sedes mantenidas</v>
      </c>
      <c r="X560" s="222" t="str">
        <f t="shared" si="35"/>
        <v>016_Sedes mantenidas</v>
      </c>
      <c r="Y560" s="222" t="str">
        <f t="shared" si="36"/>
        <v>08-Infraestructura física, mantenimiento y dotación (Sedes construidas, mantenidas reforzadas) 016_Sedes mantenidas</v>
      </c>
      <c r="Z560" s="221" t="str">
        <f t="shared" si="37"/>
        <v>O23011745992024020708016</v>
      </c>
      <c r="AA560" s="221" t="str">
        <f>IFERROR(VLOOKUP(Y560,TD!$K$47:$L$65,2,0)," ")</f>
        <v>PM/0131/0108/45990160207</v>
      </c>
      <c r="AB560" s="53" t="s">
        <v>138</v>
      </c>
      <c r="AC560" s="223" t="s">
        <v>204</v>
      </c>
    </row>
    <row r="561" spans="2:29" s="28" customFormat="1" ht="99" customHeight="1" x14ac:dyDescent="0.35">
      <c r="B561" s="77">
        <v>20250564</v>
      </c>
      <c r="C561" s="50" t="s">
        <v>208</v>
      </c>
      <c r="D561" s="218" t="s">
        <v>45</v>
      </c>
      <c r="E561" s="219" t="s">
        <v>355</v>
      </c>
      <c r="F561" s="218" t="s">
        <v>683</v>
      </c>
      <c r="G561" s="218" t="s">
        <v>155</v>
      </c>
      <c r="H561" s="93">
        <v>80111600</v>
      </c>
      <c r="I561" s="220">
        <v>2</v>
      </c>
      <c r="J561" s="220">
        <v>8</v>
      </c>
      <c r="K561" s="52">
        <v>0</v>
      </c>
      <c r="L561" s="53">
        <v>72000000</v>
      </c>
      <c r="M561" s="218" t="s">
        <v>465</v>
      </c>
      <c r="N561" s="53" t="s">
        <v>113</v>
      </c>
      <c r="O561" s="219" t="s">
        <v>219</v>
      </c>
      <c r="P561" s="221" t="str">
        <f>IFERROR(VLOOKUP(C561,TD!$B$33:$F$37,2,0)," ")</f>
        <v>O230117</v>
      </c>
      <c r="Q561" s="221" t="str">
        <f>IFERROR(VLOOKUP(C561,TD!$B$33:$F$37,3,0)," ")</f>
        <v>4599</v>
      </c>
      <c r="R561" s="221">
        <f>IFERROR(VLOOKUP(C561,TD!$B$33:$F$37,4,0)," ")</f>
        <v>20240207</v>
      </c>
      <c r="S561" s="219" t="s">
        <v>185</v>
      </c>
      <c r="T561" s="221" t="str">
        <f>IFERROR(VLOOKUP(S561,TD!$J$34:$K$44,2,0)," ")</f>
        <v>Infraestructura física, mantenimiento y dotación (Sedes construidas, mantenidas reforzadas)</v>
      </c>
      <c r="U561" s="222" t="str">
        <f t="shared" si="34"/>
        <v>08-Infraestructura física, mantenimiento y dotación (Sedes construidas, mantenidas reforzadas)</v>
      </c>
      <c r="V561" s="219" t="s">
        <v>238</v>
      </c>
      <c r="W561" s="221" t="str">
        <f>IFERROR(VLOOKUP(V561,TD!$N$34:$O$46,2,0)," ")</f>
        <v>Sedes mantenidas</v>
      </c>
      <c r="X561" s="222" t="str">
        <f t="shared" si="35"/>
        <v>016_Sedes mantenidas</v>
      </c>
      <c r="Y561" s="222" t="str">
        <f t="shared" si="36"/>
        <v>08-Infraestructura física, mantenimiento y dotación (Sedes construidas, mantenidas reforzadas) 016_Sedes mantenidas</v>
      </c>
      <c r="Z561" s="221" t="str">
        <f t="shared" si="37"/>
        <v>O23011745992024020708016</v>
      </c>
      <c r="AA561" s="221" t="str">
        <f>IFERROR(VLOOKUP(Y561,TD!$K$47:$L$65,2,0)," ")</f>
        <v>PM/0131/0108/45990160207</v>
      </c>
      <c r="AB561" s="53" t="s">
        <v>138</v>
      </c>
      <c r="AC561" s="223" t="s">
        <v>204</v>
      </c>
    </row>
    <row r="562" spans="2:29" s="28" customFormat="1" ht="99" customHeight="1" x14ac:dyDescent="0.35">
      <c r="B562" s="77">
        <v>20250565</v>
      </c>
      <c r="C562" s="50" t="s">
        <v>208</v>
      </c>
      <c r="D562" s="218" t="s">
        <v>161</v>
      </c>
      <c r="E562" s="219" t="s">
        <v>355</v>
      </c>
      <c r="F562" s="218" t="s">
        <v>713</v>
      </c>
      <c r="G562" s="218" t="s">
        <v>156</v>
      </c>
      <c r="H562" s="93">
        <v>80111600</v>
      </c>
      <c r="I562" s="220">
        <v>2</v>
      </c>
      <c r="J562" s="220">
        <v>6</v>
      </c>
      <c r="K562" s="52">
        <v>0</v>
      </c>
      <c r="L562" s="53">
        <v>26400000</v>
      </c>
      <c r="M562" s="218" t="s">
        <v>465</v>
      </c>
      <c r="N562" s="53" t="s">
        <v>113</v>
      </c>
      <c r="O562" s="219" t="s">
        <v>220</v>
      </c>
      <c r="P562" s="221" t="str">
        <f>IFERROR(VLOOKUP(C562,TD!$B$33:$F$37,2,0)," ")</f>
        <v>O230117</v>
      </c>
      <c r="Q562" s="221" t="str">
        <f>IFERROR(VLOOKUP(C562,TD!$B$33:$F$37,3,0)," ")</f>
        <v>4599</v>
      </c>
      <c r="R562" s="221">
        <f>IFERROR(VLOOKUP(C562,TD!$B$33:$F$37,4,0)," ")</f>
        <v>20240207</v>
      </c>
      <c r="S562" s="219" t="s">
        <v>193</v>
      </c>
      <c r="T562" s="221" t="str">
        <f>IFERROR(VLOOKUP(S562,TD!$J$34:$K$44,2,0)," ")</f>
        <v>Servicios para la planeación y sistemas de gestión y comunicación estratégica</v>
      </c>
      <c r="U562" s="222" t="str">
        <f t="shared" si="34"/>
        <v>13-Servicios para la planeación y sistemas de gestión y comunicación estratégica</v>
      </c>
      <c r="V562" s="219" t="s">
        <v>242</v>
      </c>
      <c r="W562" s="221" t="str">
        <f>IFERROR(VLOOKUP(V562,TD!$N$34:$O$46,2,0)," ")</f>
        <v>Documentos de planeación</v>
      </c>
      <c r="X562" s="222" t="str">
        <f t="shared" si="35"/>
        <v>019_Documentos de planeación</v>
      </c>
      <c r="Y562" s="222" t="str">
        <f t="shared" si="36"/>
        <v>13-Servicios para la planeación y sistemas de gestión y comunicación estratégica 019_Documentos de planeación</v>
      </c>
      <c r="Z562" s="221" t="str">
        <f t="shared" si="37"/>
        <v>O23011745992024020713019</v>
      </c>
      <c r="AA562" s="221" t="str">
        <f>IFERROR(VLOOKUP(Y562,TD!$K$47:$L$65,2,0)," ")</f>
        <v>PM/0131/0113/45990190207</v>
      </c>
      <c r="AB562" s="53" t="s">
        <v>138</v>
      </c>
      <c r="AC562" s="223" t="s">
        <v>204</v>
      </c>
    </row>
    <row r="563" spans="2:29" s="28" customFormat="1" ht="99" customHeight="1" x14ac:dyDescent="0.35">
      <c r="B563" s="77">
        <v>20250566</v>
      </c>
      <c r="C563" s="50" t="s">
        <v>208</v>
      </c>
      <c r="D563" s="218" t="s">
        <v>161</v>
      </c>
      <c r="E563" s="219" t="s">
        <v>355</v>
      </c>
      <c r="F563" s="218" t="s">
        <v>684</v>
      </c>
      <c r="G563" s="218" t="s">
        <v>155</v>
      </c>
      <c r="H563" s="93">
        <v>80111600</v>
      </c>
      <c r="I563" s="220">
        <v>2</v>
      </c>
      <c r="J563" s="220">
        <v>3</v>
      </c>
      <c r="K563" s="52">
        <v>0</v>
      </c>
      <c r="L563" s="53">
        <f>27000000-9000000</f>
        <v>18000000</v>
      </c>
      <c r="M563" s="218" t="s">
        <v>465</v>
      </c>
      <c r="N563" s="53" t="s">
        <v>113</v>
      </c>
      <c r="O563" s="219" t="s">
        <v>220</v>
      </c>
      <c r="P563" s="221" t="str">
        <f>IFERROR(VLOOKUP(C563,TD!$B$33:$F$37,2,0)," ")</f>
        <v>O230117</v>
      </c>
      <c r="Q563" s="221" t="str">
        <f>IFERROR(VLOOKUP(C563,TD!$B$33:$F$37,3,0)," ")</f>
        <v>4599</v>
      </c>
      <c r="R563" s="221">
        <f>IFERROR(VLOOKUP(C563,TD!$B$33:$F$37,4,0)," ")</f>
        <v>20240207</v>
      </c>
      <c r="S563" s="219" t="s">
        <v>193</v>
      </c>
      <c r="T563" s="221" t="str">
        <f>IFERROR(VLOOKUP(S563,TD!$J$34:$K$44,2,0)," ")</f>
        <v>Servicios para la planeación y sistemas de gestión y comunicación estratégica</v>
      </c>
      <c r="U563" s="222" t="str">
        <f t="shared" si="34"/>
        <v>13-Servicios para la planeación y sistemas de gestión y comunicación estratégica</v>
      </c>
      <c r="V563" s="219" t="s">
        <v>242</v>
      </c>
      <c r="W563" s="221" t="str">
        <f>IFERROR(VLOOKUP(V563,TD!$N$34:$O$46,2,0)," ")</f>
        <v>Documentos de planeación</v>
      </c>
      <c r="X563" s="222" t="str">
        <f t="shared" si="35"/>
        <v>019_Documentos de planeación</v>
      </c>
      <c r="Y563" s="222" t="str">
        <f t="shared" si="36"/>
        <v>13-Servicios para la planeación y sistemas de gestión y comunicación estratégica 019_Documentos de planeación</v>
      </c>
      <c r="Z563" s="221" t="str">
        <f t="shared" si="37"/>
        <v>O23011745992024020713019</v>
      </c>
      <c r="AA563" s="221" t="str">
        <f>IFERROR(VLOOKUP(Y563,TD!$K$47:$L$65,2,0)," ")</f>
        <v>PM/0131/0113/45990190207</v>
      </c>
      <c r="AB563" s="53" t="s">
        <v>138</v>
      </c>
      <c r="AC563" s="223" t="s">
        <v>204</v>
      </c>
    </row>
    <row r="564" spans="2:29" s="28" customFormat="1" ht="99" customHeight="1" x14ac:dyDescent="0.35">
      <c r="B564" s="77">
        <v>20250567</v>
      </c>
      <c r="C564" s="50" t="s">
        <v>208</v>
      </c>
      <c r="D564" s="218" t="s">
        <v>45</v>
      </c>
      <c r="E564" s="219" t="s">
        <v>355</v>
      </c>
      <c r="F564" s="218" t="s">
        <v>685</v>
      </c>
      <c r="G564" s="218" t="s">
        <v>155</v>
      </c>
      <c r="H564" s="93">
        <v>80111600</v>
      </c>
      <c r="I564" s="220">
        <v>2</v>
      </c>
      <c r="J564" s="220">
        <v>8</v>
      </c>
      <c r="K564" s="52">
        <v>0</v>
      </c>
      <c r="L564" s="53">
        <v>64000000</v>
      </c>
      <c r="M564" s="218" t="s">
        <v>465</v>
      </c>
      <c r="N564" s="53" t="s">
        <v>113</v>
      </c>
      <c r="O564" s="219" t="s">
        <v>219</v>
      </c>
      <c r="P564" s="221" t="str">
        <f>IFERROR(VLOOKUP(C564,TD!$B$33:$F$37,2,0)," ")</f>
        <v>O230117</v>
      </c>
      <c r="Q564" s="221" t="str">
        <f>IFERROR(VLOOKUP(C564,TD!$B$33:$F$37,3,0)," ")</f>
        <v>4599</v>
      </c>
      <c r="R564" s="221">
        <f>IFERROR(VLOOKUP(C564,TD!$B$33:$F$37,4,0)," ")</f>
        <v>20240207</v>
      </c>
      <c r="S564" s="219" t="s">
        <v>185</v>
      </c>
      <c r="T564" s="221" t="str">
        <f>IFERROR(VLOOKUP(S564,TD!$J$34:$K$44,2,0)," ")</f>
        <v>Infraestructura física, mantenimiento y dotación (Sedes construidas, mantenidas reforzadas)</v>
      </c>
      <c r="U564" s="222" t="str">
        <f t="shared" si="34"/>
        <v>08-Infraestructura física, mantenimiento y dotación (Sedes construidas, mantenidas reforzadas)</v>
      </c>
      <c r="V564" s="219" t="s">
        <v>238</v>
      </c>
      <c r="W564" s="221" t="str">
        <f>IFERROR(VLOOKUP(V564,TD!$N$34:$O$46,2,0)," ")</f>
        <v>Sedes mantenidas</v>
      </c>
      <c r="X564" s="222" t="str">
        <f t="shared" si="35"/>
        <v>016_Sedes mantenidas</v>
      </c>
      <c r="Y564" s="222" t="str">
        <f t="shared" si="36"/>
        <v>08-Infraestructura física, mantenimiento y dotación (Sedes construidas, mantenidas reforzadas) 016_Sedes mantenidas</v>
      </c>
      <c r="Z564" s="221" t="str">
        <f t="shared" si="37"/>
        <v>O23011745992024020708016</v>
      </c>
      <c r="AA564" s="221" t="str">
        <f>IFERROR(VLOOKUP(Y564,TD!$K$47:$L$65,2,0)," ")</f>
        <v>PM/0131/0108/45990160207</v>
      </c>
      <c r="AB564" s="53" t="s">
        <v>138</v>
      </c>
      <c r="AC564" s="223" t="s">
        <v>204</v>
      </c>
    </row>
    <row r="565" spans="2:29" s="28" customFormat="1" ht="99" customHeight="1" x14ac:dyDescent="0.35">
      <c r="B565" s="77">
        <v>20250569</v>
      </c>
      <c r="C565" s="50" t="s">
        <v>209</v>
      </c>
      <c r="D565" s="218" t="s">
        <v>165</v>
      </c>
      <c r="E565" s="219" t="s">
        <v>486</v>
      </c>
      <c r="F565" s="218" t="s">
        <v>694</v>
      </c>
      <c r="G565" s="218" t="s">
        <v>155</v>
      </c>
      <c r="H565" s="93">
        <v>80111600</v>
      </c>
      <c r="I565" s="220">
        <v>2</v>
      </c>
      <c r="J565" s="220">
        <v>8</v>
      </c>
      <c r="K565" s="52">
        <v>15</v>
      </c>
      <c r="L565" s="53">
        <f>51272000-3016000</f>
        <v>48256000</v>
      </c>
      <c r="M565" s="218" t="s">
        <v>465</v>
      </c>
      <c r="N565" s="53" t="s">
        <v>113</v>
      </c>
      <c r="O565" s="219" t="s">
        <v>229</v>
      </c>
      <c r="P565" s="221" t="str">
        <f>IFERROR(VLOOKUP(C565,TD!$B$33:$F$37,2,0)," ")</f>
        <v>O230117</v>
      </c>
      <c r="Q565" s="221" t="str">
        <f>IFERROR(VLOOKUP(C565,TD!$B$33:$F$37,3,0)," ")</f>
        <v>4503</v>
      </c>
      <c r="R565" s="221">
        <f>IFERROR(VLOOKUP(C565,TD!$B$33:$F$37,4,0)," ")</f>
        <v>20240255</v>
      </c>
      <c r="S565" s="219" t="s">
        <v>183</v>
      </c>
      <c r="T565" s="221" t="str">
        <f>IFERROR(VLOOKUP(S565,TD!$J$34:$K$44,2,0)," ")</f>
        <v>Servicio de formación en gestión del riesgo de incendios para el personal UAECOB</v>
      </c>
      <c r="U565" s="222" t="str">
        <f t="shared" si="34"/>
        <v>07-Servicio de formación en gestión del riesgo de incendios para el personal UAECOB</v>
      </c>
      <c r="V565" s="219" t="s">
        <v>233</v>
      </c>
      <c r="W565" s="221" t="str">
        <f>IFERROR(VLOOKUP(V565,TD!$N$34:$O$46,2,0)," ")</f>
        <v>Servicio de educación informal</v>
      </c>
      <c r="X565" s="222" t="str">
        <f t="shared" si="35"/>
        <v>002_Servicio de educación informal</v>
      </c>
      <c r="Y565" s="222" t="str">
        <f t="shared" si="36"/>
        <v>07-Servicio de formación en gestión del riesgo de incendios para el personal UAECOB 002_Servicio de educación informal</v>
      </c>
      <c r="Z565" s="221" t="str">
        <f t="shared" si="37"/>
        <v>O23011745032024025507002</v>
      </c>
      <c r="AA565" s="221" t="str">
        <f>IFERROR(VLOOKUP(Y565,TD!$K$47:$L$65,2,0)," ")</f>
        <v>PM/0131/0107/45030020255</v>
      </c>
      <c r="AB565" s="128" t="s">
        <v>138</v>
      </c>
      <c r="AC565" s="223" t="s">
        <v>204</v>
      </c>
    </row>
    <row r="566" spans="2:29" s="28" customFormat="1" ht="99" customHeight="1" x14ac:dyDescent="0.35">
      <c r="B566" s="77">
        <v>20250570</v>
      </c>
      <c r="C566" s="50" t="s">
        <v>209</v>
      </c>
      <c r="D566" s="218" t="s">
        <v>165</v>
      </c>
      <c r="E566" s="219" t="s">
        <v>486</v>
      </c>
      <c r="F566" s="218" t="s">
        <v>1014</v>
      </c>
      <c r="G566" s="218" t="s">
        <v>156</v>
      </c>
      <c r="H566" s="93">
        <v>80111600</v>
      </c>
      <c r="I566" s="220">
        <v>2</v>
      </c>
      <c r="J566" s="220">
        <v>10</v>
      </c>
      <c r="K566" s="52">
        <v>0</v>
      </c>
      <c r="L566" s="53">
        <v>22118946</v>
      </c>
      <c r="M566" s="218" t="s">
        <v>465</v>
      </c>
      <c r="N566" s="53" t="s">
        <v>113</v>
      </c>
      <c r="O566" s="219" t="s">
        <v>229</v>
      </c>
      <c r="P566" s="221" t="str">
        <f>IFERROR(VLOOKUP(C566,TD!$B$33:$F$37,2,0)," ")</f>
        <v>O230117</v>
      </c>
      <c r="Q566" s="221" t="str">
        <f>IFERROR(VLOOKUP(C566,TD!$B$33:$F$37,3,0)," ")</f>
        <v>4503</v>
      </c>
      <c r="R566" s="221">
        <f>IFERROR(VLOOKUP(C566,TD!$B$33:$F$37,4,0)," ")</f>
        <v>20240255</v>
      </c>
      <c r="S566" s="219" t="s">
        <v>183</v>
      </c>
      <c r="T566" s="221" t="str">
        <f>IFERROR(VLOOKUP(S566,TD!$J$34:$K$44,2,0)," ")</f>
        <v>Servicio de formación en gestión del riesgo de incendios para el personal UAECOB</v>
      </c>
      <c r="U566" s="222" t="str">
        <f t="shared" si="34"/>
        <v>07-Servicio de formación en gestión del riesgo de incendios para el personal UAECOB</v>
      </c>
      <c r="V566" s="219" t="s">
        <v>233</v>
      </c>
      <c r="W566" s="221" t="str">
        <f>IFERROR(VLOOKUP(V566,TD!$N$34:$O$46,2,0)," ")</f>
        <v>Servicio de educación informal</v>
      </c>
      <c r="X566" s="222" t="str">
        <f t="shared" si="35"/>
        <v>002_Servicio de educación informal</v>
      </c>
      <c r="Y566" s="222" t="str">
        <f t="shared" si="36"/>
        <v>07-Servicio de formación en gestión del riesgo de incendios para el personal UAECOB 002_Servicio de educación informal</v>
      </c>
      <c r="Z566" s="221" t="str">
        <f t="shared" si="37"/>
        <v>O23011745032024025507002</v>
      </c>
      <c r="AA566" s="221" t="str">
        <f>IFERROR(VLOOKUP(Y566,TD!$K$47:$L$65,2,0)," ")</f>
        <v>PM/0131/0107/45030020255</v>
      </c>
      <c r="AB566" s="128" t="s">
        <v>138</v>
      </c>
      <c r="AC566" s="223" t="s">
        <v>204</v>
      </c>
    </row>
    <row r="567" spans="2:29" s="28" customFormat="1" ht="99" customHeight="1" x14ac:dyDescent="0.35">
      <c r="B567" s="77">
        <v>20250571</v>
      </c>
      <c r="C567" s="50" t="s">
        <v>209</v>
      </c>
      <c r="D567" s="218" t="s">
        <v>165</v>
      </c>
      <c r="E567" s="219" t="s">
        <v>486</v>
      </c>
      <c r="F567" s="218" t="s">
        <v>695</v>
      </c>
      <c r="G567" s="218" t="s">
        <v>155</v>
      </c>
      <c r="H567" s="93">
        <v>80111600</v>
      </c>
      <c r="I567" s="220">
        <v>2</v>
      </c>
      <c r="J567" s="220">
        <v>11</v>
      </c>
      <c r="K567" s="52">
        <v>0</v>
      </c>
      <c r="L567" s="53">
        <v>49500000</v>
      </c>
      <c r="M567" s="218" t="s">
        <v>465</v>
      </c>
      <c r="N567" s="53" t="s">
        <v>113</v>
      </c>
      <c r="O567" s="219" t="s">
        <v>229</v>
      </c>
      <c r="P567" s="221" t="str">
        <f>IFERROR(VLOOKUP(C567,TD!$B$33:$F$37,2,0)," ")</f>
        <v>O230117</v>
      </c>
      <c r="Q567" s="221" t="str">
        <f>IFERROR(VLOOKUP(C567,TD!$B$33:$F$37,3,0)," ")</f>
        <v>4503</v>
      </c>
      <c r="R567" s="221">
        <f>IFERROR(VLOOKUP(C567,TD!$B$33:$F$37,4,0)," ")</f>
        <v>20240255</v>
      </c>
      <c r="S567" s="219" t="s">
        <v>183</v>
      </c>
      <c r="T567" s="221" t="str">
        <f>IFERROR(VLOOKUP(S567,TD!$J$34:$K$44,2,0)," ")</f>
        <v>Servicio de formación en gestión del riesgo de incendios para el personal UAECOB</v>
      </c>
      <c r="U567" s="222" t="str">
        <f t="shared" si="34"/>
        <v>07-Servicio de formación en gestión del riesgo de incendios para el personal UAECOB</v>
      </c>
      <c r="V567" s="219" t="s">
        <v>233</v>
      </c>
      <c r="W567" s="221" t="str">
        <f>IFERROR(VLOOKUP(V567,TD!$N$34:$O$46,2,0)," ")</f>
        <v>Servicio de educación informal</v>
      </c>
      <c r="X567" s="222" t="str">
        <f t="shared" si="35"/>
        <v>002_Servicio de educación informal</v>
      </c>
      <c r="Y567" s="222" t="str">
        <f t="shared" si="36"/>
        <v>07-Servicio de formación en gestión del riesgo de incendios para el personal UAECOB 002_Servicio de educación informal</v>
      </c>
      <c r="Z567" s="221" t="str">
        <f t="shared" si="37"/>
        <v>O23011745032024025507002</v>
      </c>
      <c r="AA567" s="221" t="str">
        <f>IFERROR(VLOOKUP(Y567,TD!$K$47:$L$65,2,0)," ")</f>
        <v>PM/0131/0107/45030020255</v>
      </c>
      <c r="AB567" s="128" t="s">
        <v>138</v>
      </c>
      <c r="AC567" s="223" t="s">
        <v>204</v>
      </c>
    </row>
    <row r="568" spans="2:29" s="28" customFormat="1" ht="99" customHeight="1" x14ac:dyDescent="0.35">
      <c r="B568" s="77">
        <v>20250572</v>
      </c>
      <c r="C568" s="50" t="s">
        <v>209</v>
      </c>
      <c r="D568" s="218" t="s">
        <v>165</v>
      </c>
      <c r="E568" s="219" t="s">
        <v>486</v>
      </c>
      <c r="F568" s="218" t="s">
        <v>392</v>
      </c>
      <c r="G568" s="218" t="s">
        <v>155</v>
      </c>
      <c r="H568" s="93">
        <v>80111600</v>
      </c>
      <c r="I568" s="220">
        <v>2</v>
      </c>
      <c r="J568" s="220">
        <v>11</v>
      </c>
      <c r="K568" s="52">
        <v>0</v>
      </c>
      <c r="L568" s="53">
        <f>48828675-145342</f>
        <v>48683333</v>
      </c>
      <c r="M568" s="218" t="s">
        <v>465</v>
      </c>
      <c r="N568" s="53" t="s">
        <v>113</v>
      </c>
      <c r="O568" s="219" t="s">
        <v>229</v>
      </c>
      <c r="P568" s="221" t="str">
        <f>IFERROR(VLOOKUP(C568,TD!$B$33:$F$37,2,0)," ")</f>
        <v>O230117</v>
      </c>
      <c r="Q568" s="221" t="str">
        <f>IFERROR(VLOOKUP(C568,TD!$B$33:$F$37,3,0)," ")</f>
        <v>4503</v>
      </c>
      <c r="R568" s="221">
        <f>IFERROR(VLOOKUP(C568,TD!$B$33:$F$37,4,0)," ")</f>
        <v>20240255</v>
      </c>
      <c r="S568" s="219" t="s">
        <v>183</v>
      </c>
      <c r="T568" s="221" t="str">
        <f>IFERROR(VLOOKUP(S568,TD!$J$34:$K$44,2,0)," ")</f>
        <v>Servicio de formación en gestión del riesgo de incendios para el personal UAECOB</v>
      </c>
      <c r="U568" s="222" t="str">
        <f t="shared" si="34"/>
        <v>07-Servicio de formación en gestión del riesgo de incendios para el personal UAECOB</v>
      </c>
      <c r="V568" s="219" t="s">
        <v>233</v>
      </c>
      <c r="W568" s="221" t="str">
        <f>IFERROR(VLOOKUP(V568,TD!$N$34:$O$46,2,0)," ")</f>
        <v>Servicio de educación informal</v>
      </c>
      <c r="X568" s="222" t="str">
        <f t="shared" si="35"/>
        <v>002_Servicio de educación informal</v>
      </c>
      <c r="Y568" s="222" t="str">
        <f t="shared" si="36"/>
        <v>07-Servicio de formación en gestión del riesgo de incendios para el personal UAECOB 002_Servicio de educación informal</v>
      </c>
      <c r="Z568" s="221" t="str">
        <f t="shared" si="37"/>
        <v>O23011745032024025507002</v>
      </c>
      <c r="AA568" s="221" t="str">
        <f>IFERROR(VLOOKUP(Y568,TD!$K$47:$L$65,2,0)," ")</f>
        <v>PM/0131/0107/45030020255</v>
      </c>
      <c r="AB568" s="128" t="s">
        <v>138</v>
      </c>
      <c r="AC568" s="223" t="s">
        <v>204</v>
      </c>
    </row>
    <row r="569" spans="2:29" s="28" customFormat="1" ht="99" customHeight="1" x14ac:dyDescent="0.35">
      <c r="B569" s="77">
        <v>20250573</v>
      </c>
      <c r="C569" s="50" t="s">
        <v>209</v>
      </c>
      <c r="D569" s="218" t="s">
        <v>165</v>
      </c>
      <c r="E569" s="219" t="s">
        <v>486</v>
      </c>
      <c r="F569" s="218" t="s">
        <v>696</v>
      </c>
      <c r="G569" s="218" t="s">
        <v>155</v>
      </c>
      <c r="H569" s="93">
        <v>80111600</v>
      </c>
      <c r="I569" s="220">
        <v>2</v>
      </c>
      <c r="J569" s="220">
        <v>11</v>
      </c>
      <c r="K569" s="52">
        <v>0</v>
      </c>
      <c r="L569" s="53">
        <f>56230900-130900</f>
        <v>56100000</v>
      </c>
      <c r="M569" s="218" t="s">
        <v>465</v>
      </c>
      <c r="N569" s="53" t="s">
        <v>113</v>
      </c>
      <c r="O569" s="219" t="s">
        <v>229</v>
      </c>
      <c r="P569" s="221" t="str">
        <f>IFERROR(VLOOKUP(C569,TD!$B$33:$F$37,2,0)," ")</f>
        <v>O230117</v>
      </c>
      <c r="Q569" s="221" t="str">
        <f>IFERROR(VLOOKUP(C569,TD!$B$33:$F$37,3,0)," ")</f>
        <v>4503</v>
      </c>
      <c r="R569" s="221">
        <f>IFERROR(VLOOKUP(C569,TD!$B$33:$F$37,4,0)," ")</f>
        <v>20240255</v>
      </c>
      <c r="S569" s="219" t="s">
        <v>183</v>
      </c>
      <c r="T569" s="221" t="str">
        <f>IFERROR(VLOOKUP(S569,TD!$J$34:$K$44,2,0)," ")</f>
        <v>Servicio de formación en gestión del riesgo de incendios para el personal UAECOB</v>
      </c>
      <c r="U569" s="222" t="str">
        <f t="shared" si="34"/>
        <v>07-Servicio de formación en gestión del riesgo de incendios para el personal UAECOB</v>
      </c>
      <c r="V569" s="219" t="s">
        <v>233</v>
      </c>
      <c r="W569" s="221" t="str">
        <f>IFERROR(VLOOKUP(V569,TD!$N$34:$O$46,2,0)," ")</f>
        <v>Servicio de educación informal</v>
      </c>
      <c r="X569" s="222" t="str">
        <f t="shared" si="35"/>
        <v>002_Servicio de educación informal</v>
      </c>
      <c r="Y569" s="222" t="str">
        <f t="shared" si="36"/>
        <v>07-Servicio de formación en gestión del riesgo de incendios para el personal UAECOB 002_Servicio de educación informal</v>
      </c>
      <c r="Z569" s="221" t="str">
        <f t="shared" si="37"/>
        <v>O23011745032024025507002</v>
      </c>
      <c r="AA569" s="221" t="str">
        <f>IFERROR(VLOOKUP(Y569,TD!$K$47:$L$65,2,0)," ")</f>
        <v>PM/0131/0107/45030020255</v>
      </c>
      <c r="AB569" s="128" t="s">
        <v>138</v>
      </c>
      <c r="AC569" s="223" t="s">
        <v>204</v>
      </c>
    </row>
    <row r="570" spans="2:29" s="28" customFormat="1" ht="99" customHeight="1" x14ac:dyDescent="0.35">
      <c r="B570" s="77">
        <v>20250574</v>
      </c>
      <c r="C570" s="50" t="s">
        <v>209</v>
      </c>
      <c r="D570" s="218" t="s">
        <v>165</v>
      </c>
      <c r="E570" s="219" t="s">
        <v>486</v>
      </c>
      <c r="F570" s="218" t="s">
        <v>697</v>
      </c>
      <c r="G570" s="218" t="s">
        <v>155</v>
      </c>
      <c r="H570" s="94">
        <v>80111600</v>
      </c>
      <c r="I570" s="94">
        <v>2</v>
      </c>
      <c r="J570" s="94">
        <v>11</v>
      </c>
      <c r="K570" s="52">
        <v>0</v>
      </c>
      <c r="L570" s="53">
        <f>56230900-3430900</f>
        <v>52800000</v>
      </c>
      <c r="M570" s="218" t="s">
        <v>465</v>
      </c>
      <c r="N570" s="53" t="s">
        <v>113</v>
      </c>
      <c r="O570" s="219" t="s">
        <v>229</v>
      </c>
      <c r="P570" s="221" t="str">
        <f>IFERROR(VLOOKUP(C570,TD!$B$33:$F$37,2,0)," ")</f>
        <v>O230117</v>
      </c>
      <c r="Q570" s="221" t="str">
        <f>IFERROR(VLOOKUP(C570,TD!$B$33:$F$37,3,0)," ")</f>
        <v>4503</v>
      </c>
      <c r="R570" s="221">
        <f>IFERROR(VLOOKUP(C570,TD!$B$33:$F$37,4,0)," ")</f>
        <v>20240255</v>
      </c>
      <c r="S570" s="219" t="s">
        <v>183</v>
      </c>
      <c r="T570" s="221" t="str">
        <f>IFERROR(VLOOKUP(S570,TD!$J$34:$K$44,2,0)," ")</f>
        <v>Servicio de formación en gestión del riesgo de incendios para el personal UAECOB</v>
      </c>
      <c r="U570" s="222" t="str">
        <f t="shared" si="34"/>
        <v>07-Servicio de formación en gestión del riesgo de incendios para el personal UAECOB</v>
      </c>
      <c r="V570" s="219" t="s">
        <v>233</v>
      </c>
      <c r="W570" s="221" t="str">
        <f>IFERROR(VLOOKUP(V570,TD!$N$34:$O$46,2,0)," ")</f>
        <v>Servicio de educación informal</v>
      </c>
      <c r="X570" s="222" t="str">
        <f t="shared" si="35"/>
        <v>002_Servicio de educación informal</v>
      </c>
      <c r="Y570" s="222" t="str">
        <f t="shared" si="36"/>
        <v>07-Servicio de formación en gestión del riesgo de incendios para el personal UAECOB 002_Servicio de educación informal</v>
      </c>
      <c r="Z570" s="221" t="str">
        <f t="shared" si="37"/>
        <v>O23011745032024025507002</v>
      </c>
      <c r="AA570" s="221" t="str">
        <f>IFERROR(VLOOKUP(Y570,TD!$K$47:$L$65,2,0)," ")</f>
        <v>PM/0131/0107/45030020255</v>
      </c>
      <c r="AB570" s="128" t="s">
        <v>138</v>
      </c>
      <c r="AC570" s="223" t="s">
        <v>204</v>
      </c>
    </row>
    <row r="571" spans="2:29" s="28" customFormat="1" ht="99" customHeight="1" x14ac:dyDescent="0.35">
      <c r="B571" s="77">
        <v>20250575</v>
      </c>
      <c r="C571" s="50" t="s">
        <v>209</v>
      </c>
      <c r="D571" s="218" t="s">
        <v>165</v>
      </c>
      <c r="E571" s="219" t="s">
        <v>486</v>
      </c>
      <c r="F571" s="218" t="s">
        <v>698</v>
      </c>
      <c r="G571" s="218" t="s">
        <v>155</v>
      </c>
      <c r="H571" s="94">
        <v>80111600</v>
      </c>
      <c r="I571" s="94">
        <v>2</v>
      </c>
      <c r="J571" s="94">
        <v>11</v>
      </c>
      <c r="K571" s="52">
        <v>0</v>
      </c>
      <c r="L571" s="53">
        <v>76500000</v>
      </c>
      <c r="M571" s="218" t="s">
        <v>465</v>
      </c>
      <c r="N571" s="53" t="s">
        <v>113</v>
      </c>
      <c r="O571" s="219" t="s">
        <v>229</v>
      </c>
      <c r="P571" s="221" t="str">
        <f>IFERROR(VLOOKUP(C571,TD!$B$33:$F$37,2,0)," ")</f>
        <v>O230117</v>
      </c>
      <c r="Q571" s="221" t="str">
        <f>IFERROR(VLOOKUP(C571,TD!$B$33:$F$37,3,0)," ")</f>
        <v>4503</v>
      </c>
      <c r="R571" s="221">
        <f>IFERROR(VLOOKUP(C571,TD!$B$33:$F$37,4,0)," ")</f>
        <v>20240255</v>
      </c>
      <c r="S571" s="219" t="s">
        <v>183</v>
      </c>
      <c r="T571" s="221" t="str">
        <f>IFERROR(VLOOKUP(S571,TD!$J$34:$K$44,2,0)," ")</f>
        <v>Servicio de formación en gestión del riesgo de incendios para el personal UAECOB</v>
      </c>
      <c r="U571" s="222" t="str">
        <f t="shared" si="34"/>
        <v>07-Servicio de formación en gestión del riesgo de incendios para el personal UAECOB</v>
      </c>
      <c r="V571" s="219" t="s">
        <v>233</v>
      </c>
      <c r="W571" s="221" t="str">
        <f>IFERROR(VLOOKUP(V571,TD!$N$34:$O$46,2,0)," ")</f>
        <v>Servicio de educación informal</v>
      </c>
      <c r="X571" s="222" t="str">
        <f t="shared" si="35"/>
        <v>002_Servicio de educación informal</v>
      </c>
      <c r="Y571" s="222" t="str">
        <f t="shared" si="36"/>
        <v>07-Servicio de formación en gestión del riesgo de incendios para el personal UAECOB 002_Servicio de educación informal</v>
      </c>
      <c r="Z571" s="221" t="str">
        <f t="shared" si="37"/>
        <v>O23011745032024025507002</v>
      </c>
      <c r="AA571" s="221" t="str">
        <f>IFERROR(VLOOKUP(Y571,TD!$K$47:$L$65,2,0)," ")</f>
        <v>PM/0131/0107/45030020255</v>
      </c>
      <c r="AB571" s="128" t="s">
        <v>138</v>
      </c>
      <c r="AC571" s="223" t="s">
        <v>204</v>
      </c>
    </row>
    <row r="572" spans="2:29" s="28" customFormat="1" ht="99" customHeight="1" x14ac:dyDescent="0.35">
      <c r="B572" s="77">
        <v>20250576</v>
      </c>
      <c r="C572" s="50" t="s">
        <v>209</v>
      </c>
      <c r="D572" s="218" t="s">
        <v>165</v>
      </c>
      <c r="E572" s="219" t="s">
        <v>486</v>
      </c>
      <c r="F572" s="218" t="s">
        <v>699</v>
      </c>
      <c r="G572" s="218" t="s">
        <v>156</v>
      </c>
      <c r="H572" s="93">
        <v>80111600</v>
      </c>
      <c r="I572" s="220">
        <v>2</v>
      </c>
      <c r="J572" s="220">
        <v>8</v>
      </c>
      <c r="K572" s="52">
        <v>0</v>
      </c>
      <c r="L572" s="53">
        <v>29600000</v>
      </c>
      <c r="M572" s="218" t="s">
        <v>465</v>
      </c>
      <c r="N572" s="53" t="s">
        <v>113</v>
      </c>
      <c r="O572" s="219" t="s">
        <v>229</v>
      </c>
      <c r="P572" s="221" t="str">
        <f>IFERROR(VLOOKUP(C572,TD!$B$33:$F$37,2,0)," ")</f>
        <v>O230117</v>
      </c>
      <c r="Q572" s="221" t="str">
        <f>IFERROR(VLOOKUP(C572,TD!$B$33:$F$37,3,0)," ")</f>
        <v>4503</v>
      </c>
      <c r="R572" s="221">
        <f>IFERROR(VLOOKUP(C572,TD!$B$33:$F$37,4,0)," ")</f>
        <v>20240255</v>
      </c>
      <c r="S572" s="219" t="s">
        <v>183</v>
      </c>
      <c r="T572" s="221" t="str">
        <f>IFERROR(VLOOKUP(S572,TD!$J$34:$K$44,2,0)," ")</f>
        <v>Servicio de formación en gestión del riesgo de incendios para el personal UAECOB</v>
      </c>
      <c r="U572" s="222" t="str">
        <f t="shared" si="34"/>
        <v>07-Servicio de formación en gestión del riesgo de incendios para el personal UAECOB</v>
      </c>
      <c r="V572" s="219" t="s">
        <v>233</v>
      </c>
      <c r="W572" s="221" t="str">
        <f>IFERROR(VLOOKUP(V572,TD!$N$34:$O$46,2,0)," ")</f>
        <v>Servicio de educación informal</v>
      </c>
      <c r="X572" s="222" t="str">
        <f t="shared" si="35"/>
        <v>002_Servicio de educación informal</v>
      </c>
      <c r="Y572" s="222" t="str">
        <f t="shared" si="36"/>
        <v>07-Servicio de formación en gestión del riesgo de incendios para el personal UAECOB 002_Servicio de educación informal</v>
      </c>
      <c r="Z572" s="221" t="str">
        <f t="shared" si="37"/>
        <v>O23011745032024025507002</v>
      </c>
      <c r="AA572" s="221" t="str">
        <f>IFERROR(VLOOKUP(Y572,TD!$K$47:$L$65,2,0)," ")</f>
        <v>PM/0131/0107/45030020255</v>
      </c>
      <c r="AB572" s="128" t="s">
        <v>138</v>
      </c>
      <c r="AC572" s="223" t="s">
        <v>204</v>
      </c>
    </row>
    <row r="573" spans="2:29" s="28" customFormat="1" ht="99" customHeight="1" x14ac:dyDescent="0.35">
      <c r="B573" s="77">
        <v>20250577</v>
      </c>
      <c r="C573" s="50" t="s">
        <v>209</v>
      </c>
      <c r="D573" s="218" t="s">
        <v>165</v>
      </c>
      <c r="E573" s="219" t="s">
        <v>486</v>
      </c>
      <c r="F573" s="218" t="s">
        <v>700</v>
      </c>
      <c r="G573" s="218" t="s">
        <v>156</v>
      </c>
      <c r="H573" s="93">
        <v>80111600</v>
      </c>
      <c r="I573" s="220">
        <v>2</v>
      </c>
      <c r="J573" s="220">
        <v>8</v>
      </c>
      <c r="K573" s="52">
        <v>0</v>
      </c>
      <c r="L573" s="53">
        <f>27600000-1328000</f>
        <v>26272000</v>
      </c>
      <c r="M573" s="218" t="s">
        <v>465</v>
      </c>
      <c r="N573" s="53" t="s">
        <v>113</v>
      </c>
      <c r="O573" s="219" t="s">
        <v>229</v>
      </c>
      <c r="P573" s="221" t="str">
        <f>IFERROR(VLOOKUP(C573,TD!$B$33:$F$37,2,0)," ")</f>
        <v>O230117</v>
      </c>
      <c r="Q573" s="221" t="str">
        <f>IFERROR(VLOOKUP(C573,TD!$B$33:$F$37,3,0)," ")</f>
        <v>4503</v>
      </c>
      <c r="R573" s="221">
        <f>IFERROR(VLOOKUP(C573,TD!$B$33:$F$37,4,0)," ")</f>
        <v>20240255</v>
      </c>
      <c r="S573" s="219" t="s">
        <v>183</v>
      </c>
      <c r="T573" s="221" t="str">
        <f>IFERROR(VLOOKUP(S573,TD!$J$34:$K$44,2,0)," ")</f>
        <v>Servicio de formación en gestión del riesgo de incendios para el personal UAECOB</v>
      </c>
      <c r="U573" s="222" t="str">
        <f t="shared" si="34"/>
        <v>07-Servicio de formación en gestión del riesgo de incendios para el personal UAECOB</v>
      </c>
      <c r="V573" s="219" t="s">
        <v>233</v>
      </c>
      <c r="W573" s="221" t="str">
        <f>IFERROR(VLOOKUP(V573,TD!$N$34:$O$46,2,0)," ")</f>
        <v>Servicio de educación informal</v>
      </c>
      <c r="X573" s="222" t="str">
        <f t="shared" si="35"/>
        <v>002_Servicio de educación informal</v>
      </c>
      <c r="Y573" s="222" t="str">
        <f t="shared" si="36"/>
        <v>07-Servicio de formación en gestión del riesgo de incendios para el personal UAECOB 002_Servicio de educación informal</v>
      </c>
      <c r="Z573" s="221" t="str">
        <f t="shared" si="37"/>
        <v>O23011745032024025507002</v>
      </c>
      <c r="AA573" s="221" t="str">
        <f>IFERROR(VLOOKUP(Y573,TD!$K$47:$L$65,2,0)," ")</f>
        <v>PM/0131/0107/45030020255</v>
      </c>
      <c r="AB573" s="128" t="s">
        <v>138</v>
      </c>
      <c r="AC573" s="223" t="s">
        <v>204</v>
      </c>
    </row>
    <row r="574" spans="2:29" s="28" customFormat="1" ht="99" customHeight="1" x14ac:dyDescent="0.35">
      <c r="B574" s="77">
        <v>20250578</v>
      </c>
      <c r="C574" s="50" t="s">
        <v>209</v>
      </c>
      <c r="D574" s="218" t="s">
        <v>165</v>
      </c>
      <c r="E574" s="219" t="s">
        <v>486</v>
      </c>
      <c r="F574" s="218" t="s">
        <v>701</v>
      </c>
      <c r="G574" s="218" t="s">
        <v>155</v>
      </c>
      <c r="H574" s="93">
        <v>80111600</v>
      </c>
      <c r="I574" s="220">
        <v>2</v>
      </c>
      <c r="J574" s="220">
        <v>11</v>
      </c>
      <c r="K574" s="52">
        <v>0</v>
      </c>
      <c r="L574" s="53">
        <v>45000000</v>
      </c>
      <c r="M574" s="218" t="s">
        <v>465</v>
      </c>
      <c r="N574" s="53" t="s">
        <v>113</v>
      </c>
      <c r="O574" s="219" t="s">
        <v>229</v>
      </c>
      <c r="P574" s="221" t="str">
        <f>IFERROR(VLOOKUP(C574,TD!$B$33:$F$37,2,0)," ")</f>
        <v>O230117</v>
      </c>
      <c r="Q574" s="221" t="str">
        <f>IFERROR(VLOOKUP(C574,TD!$B$33:$F$37,3,0)," ")</f>
        <v>4503</v>
      </c>
      <c r="R574" s="221">
        <f>IFERROR(VLOOKUP(C574,TD!$B$33:$F$37,4,0)," ")</f>
        <v>20240255</v>
      </c>
      <c r="S574" s="219" t="s">
        <v>183</v>
      </c>
      <c r="T574" s="221" t="str">
        <f>IFERROR(VLOOKUP(S574,TD!$J$34:$K$44,2,0)," ")</f>
        <v>Servicio de formación en gestión del riesgo de incendios para el personal UAECOB</v>
      </c>
      <c r="U574" s="222" t="str">
        <f t="shared" si="34"/>
        <v>07-Servicio de formación en gestión del riesgo de incendios para el personal UAECOB</v>
      </c>
      <c r="V574" s="219" t="s">
        <v>233</v>
      </c>
      <c r="W574" s="221" t="str">
        <f>IFERROR(VLOOKUP(V574,TD!$N$34:$O$46,2,0)," ")</f>
        <v>Servicio de educación informal</v>
      </c>
      <c r="X574" s="222" t="str">
        <f t="shared" si="35"/>
        <v>002_Servicio de educación informal</v>
      </c>
      <c r="Y574" s="222" t="str">
        <f t="shared" si="36"/>
        <v>07-Servicio de formación en gestión del riesgo de incendios para el personal UAECOB 002_Servicio de educación informal</v>
      </c>
      <c r="Z574" s="221" t="str">
        <f t="shared" si="37"/>
        <v>O23011745032024025507002</v>
      </c>
      <c r="AA574" s="221" t="str">
        <f>IFERROR(VLOOKUP(Y574,TD!$K$47:$L$65,2,0)," ")</f>
        <v>PM/0131/0107/45030020255</v>
      </c>
      <c r="AB574" s="128" t="s">
        <v>138</v>
      </c>
      <c r="AC574" s="223" t="s">
        <v>204</v>
      </c>
    </row>
    <row r="575" spans="2:29" s="28" customFormat="1" ht="99" customHeight="1" x14ac:dyDescent="0.35">
      <c r="B575" s="77">
        <v>20250579</v>
      </c>
      <c r="C575" s="50" t="s">
        <v>209</v>
      </c>
      <c r="D575" s="218" t="s">
        <v>165</v>
      </c>
      <c r="E575" s="219" t="s">
        <v>486</v>
      </c>
      <c r="F575" s="218" t="s">
        <v>702</v>
      </c>
      <c r="G575" s="218" t="s">
        <v>155</v>
      </c>
      <c r="H575" s="93">
        <v>80111600</v>
      </c>
      <c r="I575" s="220">
        <v>2</v>
      </c>
      <c r="J575" s="220">
        <v>11</v>
      </c>
      <c r="K575" s="52">
        <v>0</v>
      </c>
      <c r="L575" s="53">
        <v>89299721</v>
      </c>
      <c r="M575" s="218" t="s">
        <v>465</v>
      </c>
      <c r="N575" s="53" t="s">
        <v>113</v>
      </c>
      <c r="O575" s="219" t="s">
        <v>229</v>
      </c>
      <c r="P575" s="221" t="str">
        <f>IFERROR(VLOOKUP(C575,TD!$B$33:$F$37,2,0)," ")</f>
        <v>O230117</v>
      </c>
      <c r="Q575" s="221" t="str">
        <f>IFERROR(VLOOKUP(C575,TD!$B$33:$F$37,3,0)," ")</f>
        <v>4503</v>
      </c>
      <c r="R575" s="221">
        <f>IFERROR(VLOOKUP(C575,TD!$B$33:$F$37,4,0)," ")</f>
        <v>20240255</v>
      </c>
      <c r="S575" s="219" t="s">
        <v>183</v>
      </c>
      <c r="T575" s="221" t="str">
        <f>IFERROR(VLOOKUP(S575,TD!$J$34:$K$44,2,0)," ")</f>
        <v>Servicio de formación en gestión del riesgo de incendios para el personal UAECOB</v>
      </c>
      <c r="U575" s="222" t="str">
        <f t="shared" si="34"/>
        <v>07-Servicio de formación en gestión del riesgo de incendios para el personal UAECOB</v>
      </c>
      <c r="V575" s="219" t="s">
        <v>233</v>
      </c>
      <c r="W575" s="221" t="str">
        <f>IFERROR(VLOOKUP(V575,TD!$N$34:$O$46,2,0)," ")</f>
        <v>Servicio de educación informal</v>
      </c>
      <c r="X575" s="222" t="str">
        <f t="shared" si="35"/>
        <v>002_Servicio de educación informal</v>
      </c>
      <c r="Y575" s="222" t="str">
        <f t="shared" si="36"/>
        <v>07-Servicio de formación en gestión del riesgo de incendios para el personal UAECOB 002_Servicio de educación informal</v>
      </c>
      <c r="Z575" s="221" t="str">
        <f t="shared" si="37"/>
        <v>O23011745032024025507002</v>
      </c>
      <c r="AA575" s="221" t="str">
        <f>IFERROR(VLOOKUP(Y575,TD!$K$47:$L$65,2,0)," ")</f>
        <v>PM/0131/0107/45030020255</v>
      </c>
      <c r="AB575" s="128" t="s">
        <v>120</v>
      </c>
      <c r="AC575" s="223" t="s">
        <v>204</v>
      </c>
    </row>
    <row r="576" spans="2:29" s="28" customFormat="1" ht="99" customHeight="1" x14ac:dyDescent="0.35">
      <c r="B576" s="77">
        <v>20250580</v>
      </c>
      <c r="C576" s="50" t="s">
        <v>209</v>
      </c>
      <c r="D576" s="218" t="s">
        <v>165</v>
      </c>
      <c r="E576" s="219" t="s">
        <v>486</v>
      </c>
      <c r="F576" s="218" t="s">
        <v>703</v>
      </c>
      <c r="G576" s="218" t="s">
        <v>155</v>
      </c>
      <c r="H576" s="93">
        <v>80111600</v>
      </c>
      <c r="I576" s="220">
        <v>2</v>
      </c>
      <c r="J576" s="220">
        <v>11</v>
      </c>
      <c r="K576" s="52">
        <v>0</v>
      </c>
      <c r="L576" s="53">
        <v>38500000</v>
      </c>
      <c r="M576" s="218" t="s">
        <v>465</v>
      </c>
      <c r="N576" s="53" t="s">
        <v>113</v>
      </c>
      <c r="O576" s="219" t="s">
        <v>229</v>
      </c>
      <c r="P576" s="221" t="str">
        <f>IFERROR(VLOOKUP(C576,TD!$B$33:$F$37,2,0)," ")</f>
        <v>O230117</v>
      </c>
      <c r="Q576" s="221" t="str">
        <f>IFERROR(VLOOKUP(C576,TD!$B$33:$F$37,3,0)," ")</f>
        <v>4503</v>
      </c>
      <c r="R576" s="221">
        <f>IFERROR(VLOOKUP(C576,TD!$B$33:$F$37,4,0)," ")</f>
        <v>20240255</v>
      </c>
      <c r="S576" s="219" t="s">
        <v>183</v>
      </c>
      <c r="T576" s="221" t="str">
        <f>IFERROR(VLOOKUP(S576,TD!$J$34:$K$44,2,0)," ")</f>
        <v>Servicio de formación en gestión del riesgo de incendios para el personal UAECOB</v>
      </c>
      <c r="U576" s="222" t="str">
        <f t="shared" si="34"/>
        <v>07-Servicio de formación en gestión del riesgo de incendios para el personal UAECOB</v>
      </c>
      <c r="V576" s="219" t="s">
        <v>233</v>
      </c>
      <c r="W576" s="221" t="str">
        <f>IFERROR(VLOOKUP(V576,TD!$N$34:$O$46,2,0)," ")</f>
        <v>Servicio de educación informal</v>
      </c>
      <c r="X576" s="222" t="str">
        <f t="shared" si="35"/>
        <v>002_Servicio de educación informal</v>
      </c>
      <c r="Y576" s="222" t="str">
        <f t="shared" si="36"/>
        <v>07-Servicio de formación en gestión del riesgo de incendios para el personal UAECOB 002_Servicio de educación informal</v>
      </c>
      <c r="Z576" s="221" t="str">
        <f t="shared" si="37"/>
        <v>O23011745032024025507002</v>
      </c>
      <c r="AA576" s="221" t="str">
        <f>IFERROR(VLOOKUP(Y576,TD!$K$47:$L$65,2,0)," ")</f>
        <v>PM/0131/0107/45030020255</v>
      </c>
      <c r="AB576" s="128" t="s">
        <v>138</v>
      </c>
      <c r="AC576" s="223" t="s">
        <v>204</v>
      </c>
    </row>
    <row r="577" spans="2:29" s="28" customFormat="1" ht="99" customHeight="1" x14ac:dyDescent="0.35">
      <c r="B577" s="77">
        <v>20250581</v>
      </c>
      <c r="C577" s="50" t="s">
        <v>209</v>
      </c>
      <c r="D577" s="218" t="s">
        <v>165</v>
      </c>
      <c r="E577" s="219" t="s">
        <v>486</v>
      </c>
      <c r="F577" s="218" t="s">
        <v>704</v>
      </c>
      <c r="G577" s="218" t="s">
        <v>155</v>
      </c>
      <c r="H577" s="93">
        <v>80111600</v>
      </c>
      <c r="I577" s="220">
        <v>2</v>
      </c>
      <c r="J577" s="220">
        <v>11</v>
      </c>
      <c r="K577" s="52">
        <v>0</v>
      </c>
      <c r="L577" s="53">
        <v>64000000</v>
      </c>
      <c r="M577" s="218" t="s">
        <v>465</v>
      </c>
      <c r="N577" s="53" t="s">
        <v>113</v>
      </c>
      <c r="O577" s="219" t="s">
        <v>229</v>
      </c>
      <c r="P577" s="221" t="str">
        <f>IFERROR(VLOOKUP(C577,TD!$B$33:$F$37,2,0)," ")</f>
        <v>O230117</v>
      </c>
      <c r="Q577" s="221" t="str">
        <f>IFERROR(VLOOKUP(C577,TD!$B$33:$F$37,3,0)," ")</f>
        <v>4503</v>
      </c>
      <c r="R577" s="221">
        <f>IFERROR(VLOOKUP(C577,TD!$B$33:$F$37,4,0)," ")</f>
        <v>20240255</v>
      </c>
      <c r="S577" s="219" t="s">
        <v>183</v>
      </c>
      <c r="T577" s="221" t="str">
        <f>IFERROR(VLOOKUP(S577,TD!$J$34:$K$44,2,0)," ")</f>
        <v>Servicio de formación en gestión del riesgo de incendios para el personal UAECOB</v>
      </c>
      <c r="U577" s="222" t="str">
        <f t="shared" si="34"/>
        <v>07-Servicio de formación en gestión del riesgo de incendios para el personal UAECOB</v>
      </c>
      <c r="V577" s="219" t="s">
        <v>233</v>
      </c>
      <c r="W577" s="221" t="str">
        <f>IFERROR(VLOOKUP(V577,TD!$N$34:$O$46,2,0)," ")</f>
        <v>Servicio de educación informal</v>
      </c>
      <c r="X577" s="222" t="str">
        <f t="shared" si="35"/>
        <v>002_Servicio de educación informal</v>
      </c>
      <c r="Y577" s="222" t="str">
        <f t="shared" si="36"/>
        <v>07-Servicio de formación en gestión del riesgo de incendios para el personal UAECOB 002_Servicio de educación informal</v>
      </c>
      <c r="Z577" s="221" t="str">
        <f t="shared" si="37"/>
        <v>O23011745032024025507002</v>
      </c>
      <c r="AA577" s="221" t="str">
        <f>IFERROR(VLOOKUP(Y577,TD!$K$47:$L$65,2,0)," ")</f>
        <v>PM/0131/0107/45030020255</v>
      </c>
      <c r="AB577" s="128" t="s">
        <v>138</v>
      </c>
      <c r="AC577" s="223" t="s">
        <v>204</v>
      </c>
    </row>
    <row r="578" spans="2:29" s="28" customFormat="1" ht="99" customHeight="1" x14ac:dyDescent="0.35">
      <c r="B578" s="77">
        <v>20250582</v>
      </c>
      <c r="C578" s="50" t="s">
        <v>209</v>
      </c>
      <c r="D578" s="218" t="s">
        <v>165</v>
      </c>
      <c r="E578" s="219" t="s">
        <v>486</v>
      </c>
      <c r="F578" s="218" t="s">
        <v>828</v>
      </c>
      <c r="G578" s="218" t="s">
        <v>155</v>
      </c>
      <c r="H578" s="93">
        <v>80111600</v>
      </c>
      <c r="I578" s="220">
        <v>2</v>
      </c>
      <c r="J578" s="220">
        <v>8</v>
      </c>
      <c r="K578" s="52">
        <v>0</v>
      </c>
      <c r="L578" s="53">
        <v>56000000</v>
      </c>
      <c r="M578" s="218" t="s">
        <v>465</v>
      </c>
      <c r="N578" s="53" t="s">
        <v>113</v>
      </c>
      <c r="O578" s="219" t="s">
        <v>229</v>
      </c>
      <c r="P578" s="221" t="str">
        <f>IFERROR(VLOOKUP(C578,TD!$B$33:$F$37,2,0)," ")</f>
        <v>O230117</v>
      </c>
      <c r="Q578" s="221" t="str">
        <f>IFERROR(VLOOKUP(C578,TD!$B$33:$F$37,3,0)," ")</f>
        <v>4503</v>
      </c>
      <c r="R578" s="221">
        <f>IFERROR(VLOOKUP(C578,TD!$B$33:$F$37,4,0)," ")</f>
        <v>20240255</v>
      </c>
      <c r="S578" s="219" t="s">
        <v>183</v>
      </c>
      <c r="T578" s="221" t="str">
        <f>IFERROR(VLOOKUP(S578,TD!$J$34:$K$44,2,0)," ")</f>
        <v>Servicio de formación en gestión del riesgo de incendios para el personal UAECOB</v>
      </c>
      <c r="U578" s="222" t="str">
        <f t="shared" si="34"/>
        <v>07-Servicio de formación en gestión del riesgo de incendios para el personal UAECOB</v>
      </c>
      <c r="V578" s="219" t="s">
        <v>233</v>
      </c>
      <c r="W578" s="221" t="str">
        <f>IFERROR(VLOOKUP(V578,TD!$N$34:$O$46,2,0)," ")</f>
        <v>Servicio de educación informal</v>
      </c>
      <c r="X578" s="222" t="str">
        <f t="shared" si="35"/>
        <v>002_Servicio de educación informal</v>
      </c>
      <c r="Y578" s="222" t="str">
        <f t="shared" si="36"/>
        <v>07-Servicio de formación en gestión del riesgo de incendios para el personal UAECOB 002_Servicio de educación informal</v>
      </c>
      <c r="Z578" s="221" t="str">
        <f t="shared" si="37"/>
        <v>O23011745032024025507002</v>
      </c>
      <c r="AA578" s="221" t="str">
        <f>IFERROR(VLOOKUP(Y578,TD!$K$47:$L$65,2,0)," ")</f>
        <v>PM/0131/0107/45030020255</v>
      </c>
      <c r="AB578" s="128" t="s">
        <v>138</v>
      </c>
      <c r="AC578" s="223" t="s">
        <v>204</v>
      </c>
    </row>
    <row r="579" spans="2:29" s="28" customFormat="1" ht="99" customHeight="1" x14ac:dyDescent="0.35">
      <c r="B579" s="77">
        <v>20250583</v>
      </c>
      <c r="C579" s="50" t="s">
        <v>209</v>
      </c>
      <c r="D579" s="218" t="s">
        <v>165</v>
      </c>
      <c r="E579" s="219" t="s">
        <v>486</v>
      </c>
      <c r="F579" s="218" t="s">
        <v>705</v>
      </c>
      <c r="G579" s="218" t="s">
        <v>155</v>
      </c>
      <c r="H579" s="93">
        <v>80111600</v>
      </c>
      <c r="I579" s="220">
        <v>2</v>
      </c>
      <c r="J579" s="220">
        <v>11</v>
      </c>
      <c r="K579" s="52">
        <v>0</v>
      </c>
      <c r="L579" s="53">
        <f>40849200-49200</f>
        <v>40800000</v>
      </c>
      <c r="M579" s="218" t="s">
        <v>465</v>
      </c>
      <c r="N579" s="53" t="s">
        <v>113</v>
      </c>
      <c r="O579" s="219" t="s">
        <v>229</v>
      </c>
      <c r="P579" s="221" t="str">
        <f>IFERROR(VLOOKUP(C579,TD!$B$33:$F$37,2,0)," ")</f>
        <v>O230117</v>
      </c>
      <c r="Q579" s="221" t="str">
        <f>IFERROR(VLOOKUP(C579,TD!$B$33:$F$37,3,0)," ")</f>
        <v>4503</v>
      </c>
      <c r="R579" s="221">
        <f>IFERROR(VLOOKUP(C579,TD!$B$33:$F$37,4,0)," ")</f>
        <v>20240255</v>
      </c>
      <c r="S579" s="219" t="s">
        <v>183</v>
      </c>
      <c r="T579" s="221" t="str">
        <f>IFERROR(VLOOKUP(S579,TD!$J$34:$K$44,2,0)," ")</f>
        <v>Servicio de formación en gestión del riesgo de incendios para el personal UAECOB</v>
      </c>
      <c r="U579" s="222" t="str">
        <f t="shared" si="34"/>
        <v>07-Servicio de formación en gestión del riesgo de incendios para el personal UAECOB</v>
      </c>
      <c r="V579" s="219" t="s">
        <v>233</v>
      </c>
      <c r="W579" s="221" t="str">
        <f>IFERROR(VLOOKUP(V579,TD!$N$34:$O$46,2,0)," ")</f>
        <v>Servicio de educación informal</v>
      </c>
      <c r="X579" s="222" t="str">
        <f t="shared" si="35"/>
        <v>002_Servicio de educación informal</v>
      </c>
      <c r="Y579" s="222" t="str">
        <f t="shared" si="36"/>
        <v>07-Servicio de formación en gestión del riesgo de incendios para el personal UAECOB 002_Servicio de educación informal</v>
      </c>
      <c r="Z579" s="221" t="str">
        <f t="shared" si="37"/>
        <v>O23011745032024025507002</v>
      </c>
      <c r="AA579" s="221" t="str">
        <f>IFERROR(VLOOKUP(Y579,TD!$K$47:$L$65,2,0)," ")</f>
        <v>PM/0131/0107/45030020255</v>
      </c>
      <c r="AB579" s="128" t="s">
        <v>138</v>
      </c>
      <c r="AC579" s="223" t="s">
        <v>204</v>
      </c>
    </row>
    <row r="580" spans="2:29" s="28" customFormat="1" ht="99" customHeight="1" x14ac:dyDescent="0.35">
      <c r="B580" s="77">
        <v>20250584</v>
      </c>
      <c r="C580" s="50" t="s">
        <v>209</v>
      </c>
      <c r="D580" s="218" t="s">
        <v>165</v>
      </c>
      <c r="E580" s="219" t="s">
        <v>486</v>
      </c>
      <c r="F580" s="218" t="s">
        <v>829</v>
      </c>
      <c r="G580" s="218" t="s">
        <v>155</v>
      </c>
      <c r="H580" s="93">
        <v>80111600</v>
      </c>
      <c r="I580" s="220">
        <v>2</v>
      </c>
      <c r="J580" s="220">
        <v>11</v>
      </c>
      <c r="K580" s="52">
        <v>0</v>
      </c>
      <c r="L580" s="53">
        <f>27344000-144000</f>
        <v>27200000</v>
      </c>
      <c r="M580" s="218" t="s">
        <v>465</v>
      </c>
      <c r="N580" s="53" t="s">
        <v>113</v>
      </c>
      <c r="O580" s="219" t="s">
        <v>229</v>
      </c>
      <c r="P580" s="221" t="str">
        <f>IFERROR(VLOOKUP(C580,TD!$B$33:$F$37,2,0)," ")</f>
        <v>O230117</v>
      </c>
      <c r="Q580" s="221" t="str">
        <f>IFERROR(VLOOKUP(C580,TD!$B$33:$F$37,3,0)," ")</f>
        <v>4503</v>
      </c>
      <c r="R580" s="221">
        <f>IFERROR(VLOOKUP(C580,TD!$B$33:$F$37,4,0)," ")</f>
        <v>20240255</v>
      </c>
      <c r="S580" s="219" t="s">
        <v>183</v>
      </c>
      <c r="T580" s="221" t="str">
        <f>IFERROR(VLOOKUP(S580,TD!$J$34:$K$44,2,0)," ")</f>
        <v>Servicio de formación en gestión del riesgo de incendios para el personal UAECOB</v>
      </c>
      <c r="U580" s="222" t="str">
        <f t="shared" si="34"/>
        <v>07-Servicio de formación en gestión del riesgo de incendios para el personal UAECOB</v>
      </c>
      <c r="V580" s="219" t="s">
        <v>233</v>
      </c>
      <c r="W580" s="221" t="str">
        <f>IFERROR(VLOOKUP(V580,TD!$N$34:$O$46,2,0)," ")</f>
        <v>Servicio de educación informal</v>
      </c>
      <c r="X580" s="222" t="str">
        <f t="shared" si="35"/>
        <v>002_Servicio de educación informal</v>
      </c>
      <c r="Y580" s="222" t="str">
        <f t="shared" si="36"/>
        <v>07-Servicio de formación en gestión del riesgo de incendios para el personal UAECOB 002_Servicio de educación informal</v>
      </c>
      <c r="Z580" s="221" t="str">
        <f t="shared" si="37"/>
        <v>O23011745032024025507002</v>
      </c>
      <c r="AA580" s="221" t="str">
        <f>IFERROR(VLOOKUP(Y580,TD!$K$47:$L$65,2,0)," ")</f>
        <v>PM/0131/0107/45030020255</v>
      </c>
      <c r="AB580" s="128" t="s">
        <v>138</v>
      </c>
      <c r="AC580" s="223" t="s">
        <v>204</v>
      </c>
    </row>
    <row r="581" spans="2:29" s="28" customFormat="1" ht="99" customHeight="1" x14ac:dyDescent="0.35">
      <c r="B581" s="77">
        <v>20250585</v>
      </c>
      <c r="C581" s="50" t="s">
        <v>209</v>
      </c>
      <c r="D581" s="218" t="s">
        <v>165</v>
      </c>
      <c r="E581" s="219" t="s">
        <v>486</v>
      </c>
      <c r="F581" s="218" t="s">
        <v>706</v>
      </c>
      <c r="G581" s="218" t="s">
        <v>155</v>
      </c>
      <c r="H581" s="93">
        <v>80111600</v>
      </c>
      <c r="I581" s="220">
        <v>2</v>
      </c>
      <c r="J581" s="220">
        <v>11</v>
      </c>
      <c r="K581" s="52">
        <v>0</v>
      </c>
      <c r="L581" s="53">
        <f>27344000-144000</f>
        <v>27200000</v>
      </c>
      <c r="M581" s="218" t="s">
        <v>465</v>
      </c>
      <c r="N581" s="53" t="s">
        <v>113</v>
      </c>
      <c r="O581" s="219" t="s">
        <v>229</v>
      </c>
      <c r="P581" s="221" t="str">
        <f>IFERROR(VLOOKUP(C581,TD!$B$33:$F$37,2,0)," ")</f>
        <v>O230117</v>
      </c>
      <c r="Q581" s="221" t="str">
        <f>IFERROR(VLOOKUP(C581,TD!$B$33:$F$37,3,0)," ")</f>
        <v>4503</v>
      </c>
      <c r="R581" s="221">
        <f>IFERROR(VLOOKUP(C581,TD!$B$33:$F$37,4,0)," ")</f>
        <v>20240255</v>
      </c>
      <c r="S581" s="219" t="s">
        <v>183</v>
      </c>
      <c r="T581" s="221" t="str">
        <f>IFERROR(VLOOKUP(S581,TD!$J$34:$K$44,2,0)," ")</f>
        <v>Servicio de formación en gestión del riesgo de incendios para el personal UAECOB</v>
      </c>
      <c r="U581" s="222" t="str">
        <f t="shared" si="34"/>
        <v>07-Servicio de formación en gestión del riesgo de incendios para el personal UAECOB</v>
      </c>
      <c r="V581" s="219" t="s">
        <v>233</v>
      </c>
      <c r="W581" s="221" t="str">
        <f>IFERROR(VLOOKUP(V581,TD!$N$34:$O$46,2,0)," ")</f>
        <v>Servicio de educación informal</v>
      </c>
      <c r="X581" s="222" t="str">
        <f t="shared" si="35"/>
        <v>002_Servicio de educación informal</v>
      </c>
      <c r="Y581" s="222" t="str">
        <f t="shared" si="36"/>
        <v>07-Servicio de formación en gestión del riesgo de incendios para el personal UAECOB 002_Servicio de educación informal</v>
      </c>
      <c r="Z581" s="221" t="str">
        <f t="shared" si="37"/>
        <v>O23011745032024025507002</v>
      </c>
      <c r="AA581" s="221" t="str">
        <f>IFERROR(VLOOKUP(Y581,TD!$K$47:$L$65,2,0)," ")</f>
        <v>PM/0131/0107/45030020255</v>
      </c>
      <c r="AB581" s="128" t="s">
        <v>138</v>
      </c>
      <c r="AC581" s="223" t="s">
        <v>204</v>
      </c>
    </row>
    <row r="582" spans="2:29" s="28" customFormat="1" ht="99" customHeight="1" x14ac:dyDescent="0.35">
      <c r="B582" s="77">
        <v>20250586</v>
      </c>
      <c r="C582" s="50" t="s">
        <v>208</v>
      </c>
      <c r="D582" s="218" t="s">
        <v>164</v>
      </c>
      <c r="E582" s="219" t="s">
        <v>389</v>
      </c>
      <c r="F582" s="218" t="s">
        <v>715</v>
      </c>
      <c r="G582" s="218" t="s">
        <v>155</v>
      </c>
      <c r="H582" s="93">
        <v>80111600</v>
      </c>
      <c r="I582" s="220">
        <v>2</v>
      </c>
      <c r="J582" s="220">
        <v>11</v>
      </c>
      <c r="K582" s="52">
        <v>0</v>
      </c>
      <c r="L582" s="53">
        <f>79450000-33550000</f>
        <v>45900000</v>
      </c>
      <c r="M582" s="218" t="s">
        <v>465</v>
      </c>
      <c r="N582" s="53" t="s">
        <v>113</v>
      </c>
      <c r="O582" s="219" t="s">
        <v>219</v>
      </c>
      <c r="P582" s="221" t="str">
        <f>IFERROR(VLOOKUP(C582,TD!$B$33:$F$37,2,0)," ")</f>
        <v>O230117</v>
      </c>
      <c r="Q582" s="221" t="str">
        <f>IFERROR(VLOOKUP(C582,TD!$B$33:$F$37,3,0)," ")</f>
        <v>4599</v>
      </c>
      <c r="R582" s="221">
        <f>IFERROR(VLOOKUP(C582,TD!$B$33:$F$37,4,0)," ")</f>
        <v>20240207</v>
      </c>
      <c r="S582" s="219" t="s">
        <v>185</v>
      </c>
      <c r="T582" s="221" t="str">
        <f>IFERROR(VLOOKUP(S582,TD!$J$34:$K$44,2,0)," ")</f>
        <v>Infraestructura física, mantenimiento y dotación (Sedes construidas, mantenidas reforzadas)</v>
      </c>
      <c r="U582" s="222" t="str">
        <f t="shared" si="34"/>
        <v>08-Infraestructura física, mantenimiento y dotación (Sedes construidas, mantenidas reforzadas)</v>
      </c>
      <c r="V582" s="219" t="s">
        <v>238</v>
      </c>
      <c r="W582" s="221" t="str">
        <f>IFERROR(VLOOKUP(V582,TD!$N$34:$O$46,2,0)," ")</f>
        <v>Sedes mantenidas</v>
      </c>
      <c r="X582" s="222" t="str">
        <f t="shared" si="35"/>
        <v>016_Sedes mantenidas</v>
      </c>
      <c r="Y582" s="222" t="str">
        <f t="shared" si="36"/>
        <v>08-Infraestructura física, mantenimiento y dotación (Sedes construidas, mantenidas reforzadas) 016_Sedes mantenidas</v>
      </c>
      <c r="Z582" s="221" t="str">
        <f t="shared" si="37"/>
        <v>O23011745992024020708016</v>
      </c>
      <c r="AA582" s="221" t="str">
        <f>IFERROR(VLOOKUP(Y582,TD!$K$47:$L$65,2,0)," ")</f>
        <v>PM/0131/0108/45990160207</v>
      </c>
      <c r="AB582" s="53" t="s">
        <v>120</v>
      </c>
      <c r="AC582" s="223" t="s">
        <v>204</v>
      </c>
    </row>
    <row r="583" spans="2:29" s="28" customFormat="1" ht="99" customHeight="1" x14ac:dyDescent="0.35">
      <c r="B583" s="77">
        <v>20250587</v>
      </c>
      <c r="C583" s="50" t="s">
        <v>208</v>
      </c>
      <c r="D583" s="218" t="s">
        <v>164</v>
      </c>
      <c r="E583" s="219" t="s">
        <v>389</v>
      </c>
      <c r="F583" s="218" t="s">
        <v>719</v>
      </c>
      <c r="G583" s="218" t="s">
        <v>156</v>
      </c>
      <c r="H583" s="93">
        <v>80111600</v>
      </c>
      <c r="I583" s="220">
        <v>2</v>
      </c>
      <c r="J583" s="220">
        <v>4</v>
      </c>
      <c r="K583" s="52">
        <v>0</v>
      </c>
      <c r="L583" s="53">
        <f>24800000+22550000-18600000</f>
        <v>28750000</v>
      </c>
      <c r="M583" s="218" t="s">
        <v>465</v>
      </c>
      <c r="N583" s="53" t="s">
        <v>113</v>
      </c>
      <c r="O583" s="219" t="s">
        <v>219</v>
      </c>
      <c r="P583" s="221" t="str">
        <f>IFERROR(VLOOKUP(C583,TD!$B$33:$F$37,2,0)," ")</f>
        <v>O230117</v>
      </c>
      <c r="Q583" s="221" t="str">
        <f>IFERROR(VLOOKUP(C583,TD!$B$33:$F$37,3,0)," ")</f>
        <v>4599</v>
      </c>
      <c r="R583" s="221">
        <f>IFERROR(VLOOKUP(C583,TD!$B$33:$F$37,4,0)," ")</f>
        <v>20240207</v>
      </c>
      <c r="S583" s="219" t="s">
        <v>185</v>
      </c>
      <c r="T583" s="221" t="str">
        <f>IFERROR(VLOOKUP(S583,TD!$J$34:$K$44,2,0)," ")</f>
        <v>Infraestructura física, mantenimiento y dotación (Sedes construidas, mantenidas reforzadas)</v>
      </c>
      <c r="U583" s="222" t="str">
        <f t="shared" si="34"/>
        <v>08-Infraestructura física, mantenimiento y dotación (Sedes construidas, mantenidas reforzadas)</v>
      </c>
      <c r="V583" s="219" t="s">
        <v>238</v>
      </c>
      <c r="W583" s="221" t="str">
        <f>IFERROR(VLOOKUP(V583,TD!$N$34:$O$46,2,0)," ")</f>
        <v>Sedes mantenidas</v>
      </c>
      <c r="X583" s="222" t="str">
        <f t="shared" si="35"/>
        <v>016_Sedes mantenidas</v>
      </c>
      <c r="Y583" s="222" t="str">
        <f t="shared" si="36"/>
        <v>08-Infraestructura física, mantenimiento y dotación (Sedes construidas, mantenidas reforzadas) 016_Sedes mantenidas</v>
      </c>
      <c r="Z583" s="221" t="str">
        <f t="shared" si="37"/>
        <v>O23011745992024020708016</v>
      </c>
      <c r="AA583" s="221" t="str">
        <f>IFERROR(VLOOKUP(Y583,TD!$K$47:$L$65,2,0)," ")</f>
        <v>PM/0131/0108/45990160207</v>
      </c>
      <c r="AB583" s="53" t="s">
        <v>138</v>
      </c>
      <c r="AC583" s="223" t="s">
        <v>204</v>
      </c>
    </row>
    <row r="584" spans="2:29" s="28" customFormat="1" ht="99" customHeight="1" x14ac:dyDescent="0.35">
      <c r="B584" s="130">
        <v>20250588</v>
      </c>
      <c r="C584" s="50" t="s">
        <v>346</v>
      </c>
      <c r="D584" s="218" t="s">
        <v>166</v>
      </c>
      <c r="E584" s="219" t="s">
        <v>565</v>
      </c>
      <c r="F584" s="218" t="s">
        <v>743</v>
      </c>
      <c r="G584" s="218" t="s">
        <v>129</v>
      </c>
      <c r="H584" s="93" t="s">
        <v>640</v>
      </c>
      <c r="I584" s="220">
        <v>2</v>
      </c>
      <c r="J584" s="220">
        <v>0</v>
      </c>
      <c r="K584" s="52">
        <v>0</v>
      </c>
      <c r="L584" s="53">
        <v>5684125</v>
      </c>
      <c r="M584" s="218" t="s">
        <v>172</v>
      </c>
      <c r="N584" s="53" t="s">
        <v>90</v>
      </c>
      <c r="O584" s="219" t="s">
        <v>347</v>
      </c>
      <c r="P584" s="221" t="str">
        <f>IFERROR(VLOOKUP(C584,TD!$B$33:$F$37,2,0)," ")</f>
        <v>NA</v>
      </c>
      <c r="Q584" s="221" t="str">
        <f>IFERROR(VLOOKUP(C584,TD!$B$33:$F$37,3,0)," ")</f>
        <v>NA</v>
      </c>
      <c r="R584" s="221" t="str">
        <f>IFERROR(VLOOKUP(C584,TD!$B$33:$F$37,4,0)," ")</f>
        <v>NA</v>
      </c>
      <c r="S584" s="219" t="s">
        <v>406</v>
      </c>
      <c r="T584" s="221" t="str">
        <f>IFERROR(VLOOKUP(S584,TD!$J$34:$K$44,2,0)," ")</f>
        <v>N/A</v>
      </c>
      <c r="U584" s="222" t="str">
        <f t="shared" si="34"/>
        <v>N/A-N/A</v>
      </c>
      <c r="V584" s="219" t="s">
        <v>406</v>
      </c>
      <c r="W584" s="221" t="str">
        <f>IFERROR(VLOOKUP(V584,TD!$N$34:$O$46,2,0)," ")</f>
        <v>N/A</v>
      </c>
      <c r="X584" s="222" t="str">
        <f t="shared" si="35"/>
        <v>N/A_N/A</v>
      </c>
      <c r="Y584" s="222" t="str">
        <f t="shared" si="36"/>
        <v>N/A-N/A N/A_N/A</v>
      </c>
      <c r="Z584" s="221" t="str">
        <f t="shared" si="37"/>
        <v>NANANAN/AN/A</v>
      </c>
      <c r="AA584" s="221" t="str">
        <f>IFERROR(VLOOKUP(Y584,TD!$K$47:$L$65,2,0)," ")</f>
        <v>N/A</v>
      </c>
      <c r="AB584" s="53" t="s">
        <v>348</v>
      </c>
      <c r="AC584" s="223" t="s">
        <v>205</v>
      </c>
    </row>
    <row r="585" spans="2:29" s="28" customFormat="1" ht="99" customHeight="1" x14ac:dyDescent="0.35">
      <c r="B585" s="77">
        <v>20250590</v>
      </c>
      <c r="C585" s="50" t="s">
        <v>208</v>
      </c>
      <c r="D585" s="218" t="s">
        <v>166</v>
      </c>
      <c r="E585" s="219" t="s">
        <v>565</v>
      </c>
      <c r="F585" s="218" t="s">
        <v>568</v>
      </c>
      <c r="G585" s="218" t="s">
        <v>156</v>
      </c>
      <c r="H585" s="93" t="s">
        <v>617</v>
      </c>
      <c r="I585" s="220">
        <v>2</v>
      </c>
      <c r="J585" s="220">
        <v>9</v>
      </c>
      <c r="K585" s="52">
        <v>0</v>
      </c>
      <c r="L585" s="53">
        <v>29558952</v>
      </c>
      <c r="M585" s="218" t="s">
        <v>465</v>
      </c>
      <c r="N585" s="53" t="s">
        <v>113</v>
      </c>
      <c r="O585" s="219" t="s">
        <v>219</v>
      </c>
      <c r="P585" s="221" t="str">
        <f>IFERROR(VLOOKUP(C585,TD!$B$33:$F$37,2,0)," ")</f>
        <v>O230117</v>
      </c>
      <c r="Q585" s="221" t="str">
        <f>IFERROR(VLOOKUP(C585,TD!$B$33:$F$37,3,0)," ")</f>
        <v>4599</v>
      </c>
      <c r="R585" s="221">
        <f>IFERROR(VLOOKUP(C585,TD!$B$33:$F$37,4,0)," ")</f>
        <v>20240207</v>
      </c>
      <c r="S585" s="219" t="s">
        <v>185</v>
      </c>
      <c r="T585" s="221" t="str">
        <f>IFERROR(VLOOKUP(S585,TD!$J$34:$K$44,2,0)," ")</f>
        <v>Infraestructura física, mantenimiento y dotación (Sedes construidas, mantenidas reforzadas)</v>
      </c>
      <c r="U585" s="222" t="str">
        <f t="shared" si="34"/>
        <v>08-Infraestructura física, mantenimiento y dotación (Sedes construidas, mantenidas reforzadas)</v>
      </c>
      <c r="V585" s="219" t="s">
        <v>238</v>
      </c>
      <c r="W585" s="221" t="str">
        <f>IFERROR(VLOOKUP(V585,TD!$N$34:$O$46,2,0)," ")</f>
        <v>Sedes mantenidas</v>
      </c>
      <c r="X585" s="222" t="str">
        <f t="shared" si="35"/>
        <v>016_Sedes mantenidas</v>
      </c>
      <c r="Y585" s="222" t="str">
        <f t="shared" si="36"/>
        <v>08-Infraestructura física, mantenimiento y dotación (Sedes construidas, mantenidas reforzadas) 016_Sedes mantenidas</v>
      </c>
      <c r="Z585" s="221" t="str">
        <f t="shared" si="37"/>
        <v>O23011745992024020708016</v>
      </c>
      <c r="AA585" s="221" t="str">
        <f>IFERROR(VLOOKUP(Y585,TD!$K$47:$L$65,2,0)," ")</f>
        <v>PM/0131/0108/45990160207</v>
      </c>
      <c r="AB585" s="53" t="s">
        <v>138</v>
      </c>
      <c r="AC585" s="223" t="s">
        <v>204</v>
      </c>
    </row>
    <row r="586" spans="2:29" s="28" customFormat="1" ht="99" customHeight="1" x14ac:dyDescent="0.35">
      <c r="B586" s="77">
        <v>20250591</v>
      </c>
      <c r="C586" s="50" t="s">
        <v>208</v>
      </c>
      <c r="D586" s="218" t="s">
        <v>166</v>
      </c>
      <c r="E586" s="219" t="s">
        <v>565</v>
      </c>
      <c r="F586" s="218" t="s">
        <v>568</v>
      </c>
      <c r="G586" s="218" t="s">
        <v>156</v>
      </c>
      <c r="H586" s="93" t="s">
        <v>617</v>
      </c>
      <c r="I586" s="220">
        <v>2</v>
      </c>
      <c r="J586" s="220">
        <v>9</v>
      </c>
      <c r="K586" s="52">
        <v>0</v>
      </c>
      <c r="L586" s="53">
        <v>29558952</v>
      </c>
      <c r="M586" s="218" t="s">
        <v>465</v>
      </c>
      <c r="N586" s="53" t="s">
        <v>113</v>
      </c>
      <c r="O586" s="219" t="s">
        <v>219</v>
      </c>
      <c r="P586" s="221" t="str">
        <f>IFERROR(VLOOKUP(C586,TD!$B$33:$F$37,2,0)," ")</f>
        <v>O230117</v>
      </c>
      <c r="Q586" s="221" t="str">
        <f>IFERROR(VLOOKUP(C586,TD!$B$33:$F$37,3,0)," ")</f>
        <v>4599</v>
      </c>
      <c r="R586" s="221">
        <f>IFERROR(VLOOKUP(C586,TD!$B$33:$F$37,4,0)," ")</f>
        <v>20240207</v>
      </c>
      <c r="S586" s="219" t="s">
        <v>185</v>
      </c>
      <c r="T586" s="221" t="str">
        <f>IFERROR(VLOOKUP(S586,TD!$J$34:$K$44,2,0)," ")</f>
        <v>Infraestructura física, mantenimiento y dotación (Sedes construidas, mantenidas reforzadas)</v>
      </c>
      <c r="U586" s="222" t="str">
        <f t="shared" si="34"/>
        <v>08-Infraestructura física, mantenimiento y dotación (Sedes construidas, mantenidas reforzadas)</v>
      </c>
      <c r="V586" s="219" t="s">
        <v>238</v>
      </c>
      <c r="W586" s="221" t="str">
        <f>IFERROR(VLOOKUP(V586,TD!$N$34:$O$46,2,0)," ")</f>
        <v>Sedes mantenidas</v>
      </c>
      <c r="X586" s="222" t="str">
        <f t="shared" si="35"/>
        <v>016_Sedes mantenidas</v>
      </c>
      <c r="Y586" s="222" t="str">
        <f t="shared" si="36"/>
        <v>08-Infraestructura física, mantenimiento y dotación (Sedes construidas, mantenidas reforzadas) 016_Sedes mantenidas</v>
      </c>
      <c r="Z586" s="221" t="str">
        <f t="shared" si="37"/>
        <v>O23011745992024020708016</v>
      </c>
      <c r="AA586" s="221" t="str">
        <f>IFERROR(VLOOKUP(Y586,TD!$K$47:$L$65,2,0)," ")</f>
        <v>PM/0131/0108/45990160207</v>
      </c>
      <c r="AB586" s="53" t="s">
        <v>138</v>
      </c>
      <c r="AC586" s="223" t="s">
        <v>204</v>
      </c>
    </row>
    <row r="587" spans="2:29" s="28" customFormat="1" ht="99" customHeight="1" x14ac:dyDescent="0.35">
      <c r="B587" s="77">
        <v>20250593</v>
      </c>
      <c r="C587" s="50" t="s">
        <v>208</v>
      </c>
      <c r="D587" s="218" t="s">
        <v>166</v>
      </c>
      <c r="E587" s="219" t="s">
        <v>565</v>
      </c>
      <c r="F587" s="218" t="s">
        <v>568</v>
      </c>
      <c r="G587" s="218" t="s">
        <v>156</v>
      </c>
      <c r="H587" s="93" t="s">
        <v>617</v>
      </c>
      <c r="I587" s="220">
        <v>2</v>
      </c>
      <c r="J587" s="220">
        <v>9</v>
      </c>
      <c r="K587" s="52">
        <v>0</v>
      </c>
      <c r="L587" s="53">
        <v>29558952</v>
      </c>
      <c r="M587" s="218" t="s">
        <v>465</v>
      </c>
      <c r="N587" s="53" t="s">
        <v>113</v>
      </c>
      <c r="O587" s="219" t="s">
        <v>219</v>
      </c>
      <c r="P587" s="221" t="str">
        <f>IFERROR(VLOOKUP(C587,TD!$B$33:$F$37,2,0)," ")</f>
        <v>O230117</v>
      </c>
      <c r="Q587" s="221" t="str">
        <f>IFERROR(VLOOKUP(C587,TD!$B$33:$F$37,3,0)," ")</f>
        <v>4599</v>
      </c>
      <c r="R587" s="221">
        <f>IFERROR(VLOOKUP(C587,TD!$B$33:$F$37,4,0)," ")</f>
        <v>20240207</v>
      </c>
      <c r="S587" s="219" t="s">
        <v>185</v>
      </c>
      <c r="T587" s="221" t="str">
        <f>IFERROR(VLOOKUP(S587,TD!$J$34:$K$44,2,0)," ")</f>
        <v>Infraestructura física, mantenimiento y dotación (Sedes construidas, mantenidas reforzadas)</v>
      </c>
      <c r="U587" s="222" t="str">
        <f t="shared" si="34"/>
        <v>08-Infraestructura física, mantenimiento y dotación (Sedes construidas, mantenidas reforzadas)</v>
      </c>
      <c r="V587" s="219" t="s">
        <v>238</v>
      </c>
      <c r="W587" s="221" t="str">
        <f>IFERROR(VLOOKUP(V587,TD!$N$34:$O$46,2,0)," ")</f>
        <v>Sedes mantenidas</v>
      </c>
      <c r="X587" s="222" t="str">
        <f t="shared" si="35"/>
        <v>016_Sedes mantenidas</v>
      </c>
      <c r="Y587" s="222" t="str">
        <f t="shared" si="36"/>
        <v>08-Infraestructura física, mantenimiento y dotación (Sedes construidas, mantenidas reforzadas) 016_Sedes mantenidas</v>
      </c>
      <c r="Z587" s="221" t="str">
        <f t="shared" si="37"/>
        <v>O23011745992024020708016</v>
      </c>
      <c r="AA587" s="221" t="str">
        <f>IFERROR(VLOOKUP(Y587,TD!$K$47:$L$65,2,0)," ")</f>
        <v>PM/0131/0108/45990160207</v>
      </c>
      <c r="AB587" s="53" t="s">
        <v>138</v>
      </c>
      <c r="AC587" s="223" t="s">
        <v>204</v>
      </c>
    </row>
    <row r="588" spans="2:29" s="28" customFormat="1" ht="99" customHeight="1" x14ac:dyDescent="0.35">
      <c r="B588" s="77">
        <v>20250594</v>
      </c>
      <c r="C588" s="50" t="s">
        <v>208</v>
      </c>
      <c r="D588" s="218" t="s">
        <v>166</v>
      </c>
      <c r="E588" s="219" t="s">
        <v>565</v>
      </c>
      <c r="F588" s="218" t="s">
        <v>568</v>
      </c>
      <c r="G588" s="218" t="s">
        <v>156</v>
      </c>
      <c r="H588" s="93" t="s">
        <v>617</v>
      </c>
      <c r="I588" s="220">
        <v>2</v>
      </c>
      <c r="J588" s="220">
        <v>9</v>
      </c>
      <c r="K588" s="52">
        <v>0</v>
      </c>
      <c r="L588" s="53">
        <v>29558952</v>
      </c>
      <c r="M588" s="218" t="s">
        <v>465</v>
      </c>
      <c r="N588" s="53" t="s">
        <v>113</v>
      </c>
      <c r="O588" s="219" t="s">
        <v>219</v>
      </c>
      <c r="P588" s="221" t="str">
        <f>IFERROR(VLOOKUP(C588,TD!$B$33:$F$37,2,0)," ")</f>
        <v>O230117</v>
      </c>
      <c r="Q588" s="221" t="str">
        <f>IFERROR(VLOOKUP(C588,TD!$B$33:$F$37,3,0)," ")</f>
        <v>4599</v>
      </c>
      <c r="R588" s="221">
        <f>IFERROR(VLOOKUP(C588,TD!$B$33:$F$37,4,0)," ")</f>
        <v>20240207</v>
      </c>
      <c r="S588" s="219" t="s">
        <v>185</v>
      </c>
      <c r="T588" s="221" t="str">
        <f>IFERROR(VLOOKUP(S588,TD!$J$34:$K$44,2,0)," ")</f>
        <v>Infraestructura física, mantenimiento y dotación (Sedes construidas, mantenidas reforzadas)</v>
      </c>
      <c r="U588" s="222" t="str">
        <f t="shared" ref="U588:U651" si="38">CONCATENATE(S588,"-",T588)</f>
        <v>08-Infraestructura física, mantenimiento y dotación (Sedes construidas, mantenidas reforzadas)</v>
      </c>
      <c r="V588" s="219" t="s">
        <v>238</v>
      </c>
      <c r="W588" s="221" t="str">
        <f>IFERROR(VLOOKUP(V588,TD!$N$34:$O$46,2,0)," ")</f>
        <v>Sedes mantenidas</v>
      </c>
      <c r="X588" s="222" t="str">
        <f t="shared" ref="X588:X651" si="39">CONCATENATE(V588,"_",W588)</f>
        <v>016_Sedes mantenidas</v>
      </c>
      <c r="Y588" s="222" t="str">
        <f t="shared" ref="Y588:Y651" si="40">CONCATENATE(U588," ",X588)</f>
        <v>08-Infraestructura física, mantenimiento y dotación (Sedes construidas, mantenidas reforzadas) 016_Sedes mantenidas</v>
      </c>
      <c r="Z588" s="221" t="str">
        <f t="shared" ref="Z588:Z651" si="41">CONCATENATE(P588,Q588,R588,S588,V588)</f>
        <v>O23011745992024020708016</v>
      </c>
      <c r="AA588" s="221" t="str">
        <f>IFERROR(VLOOKUP(Y588,TD!$K$47:$L$65,2,0)," ")</f>
        <v>PM/0131/0108/45990160207</v>
      </c>
      <c r="AB588" s="53" t="s">
        <v>138</v>
      </c>
      <c r="AC588" s="223" t="s">
        <v>204</v>
      </c>
    </row>
    <row r="589" spans="2:29" s="28" customFormat="1" ht="129" customHeight="1" x14ac:dyDescent="0.35">
      <c r="B589" s="77">
        <v>20250595</v>
      </c>
      <c r="C589" s="50" t="s">
        <v>208</v>
      </c>
      <c r="D589" s="218" t="s">
        <v>166</v>
      </c>
      <c r="E589" s="219" t="s">
        <v>565</v>
      </c>
      <c r="F589" s="218" t="s">
        <v>585</v>
      </c>
      <c r="G589" s="218" t="s">
        <v>156</v>
      </c>
      <c r="H589" s="93" t="s">
        <v>617</v>
      </c>
      <c r="I589" s="220">
        <v>2</v>
      </c>
      <c r="J589" s="220">
        <v>9</v>
      </c>
      <c r="K589" s="52">
        <v>0</v>
      </c>
      <c r="L589" s="53">
        <v>29558952</v>
      </c>
      <c r="M589" s="218" t="s">
        <v>465</v>
      </c>
      <c r="N589" s="53" t="s">
        <v>113</v>
      </c>
      <c r="O589" s="219" t="s">
        <v>218</v>
      </c>
      <c r="P589" s="221" t="str">
        <f>IFERROR(VLOOKUP(C589,TD!$B$33:$F$37,2,0)," ")</f>
        <v>O230117</v>
      </c>
      <c r="Q589" s="221" t="str">
        <f>IFERROR(VLOOKUP(C589,TD!$B$33:$F$37,3,0)," ")</f>
        <v>4599</v>
      </c>
      <c r="R589" s="221">
        <f>IFERROR(VLOOKUP(C589,TD!$B$33:$F$37,4,0)," ")</f>
        <v>20240207</v>
      </c>
      <c r="S589" s="219" t="s">
        <v>185</v>
      </c>
      <c r="T589" s="221" t="str">
        <f>IFERROR(VLOOKUP(S589,TD!$J$34:$K$44,2,0)," ")</f>
        <v>Infraestructura física, mantenimiento y dotación (Sedes construidas, mantenidas reforzadas)</v>
      </c>
      <c r="U589" s="222" t="str">
        <f t="shared" si="38"/>
        <v>08-Infraestructura física, mantenimiento y dotación (Sedes construidas, mantenidas reforzadas)</v>
      </c>
      <c r="V589" s="219" t="s">
        <v>238</v>
      </c>
      <c r="W589" s="221" t="str">
        <f>IFERROR(VLOOKUP(V589,TD!$N$34:$O$46,2,0)," ")</f>
        <v>Sedes mantenidas</v>
      </c>
      <c r="X589" s="222" t="str">
        <f t="shared" si="39"/>
        <v>016_Sedes mantenidas</v>
      </c>
      <c r="Y589" s="222" t="str">
        <f t="shared" si="40"/>
        <v>08-Infraestructura física, mantenimiento y dotación (Sedes construidas, mantenidas reforzadas) 016_Sedes mantenidas</v>
      </c>
      <c r="Z589" s="221" t="str">
        <f t="shared" si="41"/>
        <v>O23011745992024020708016</v>
      </c>
      <c r="AA589" s="221" t="str">
        <f>IFERROR(VLOOKUP(Y589,TD!$K$47:$L$65,2,0)," ")</f>
        <v>PM/0131/0108/45990160207</v>
      </c>
      <c r="AB589" s="53" t="s">
        <v>138</v>
      </c>
      <c r="AC589" s="223" t="s">
        <v>204</v>
      </c>
    </row>
    <row r="590" spans="2:29" s="28" customFormat="1" ht="99" customHeight="1" x14ac:dyDescent="0.35">
      <c r="B590" s="77">
        <v>20250596</v>
      </c>
      <c r="C590" s="50" t="s">
        <v>208</v>
      </c>
      <c r="D590" s="218" t="s">
        <v>166</v>
      </c>
      <c r="E590" s="219" t="s">
        <v>565</v>
      </c>
      <c r="F590" s="218" t="s">
        <v>585</v>
      </c>
      <c r="G590" s="218" t="s">
        <v>156</v>
      </c>
      <c r="H590" s="93" t="s">
        <v>617</v>
      </c>
      <c r="I590" s="220">
        <v>2</v>
      </c>
      <c r="J590" s="220">
        <v>9</v>
      </c>
      <c r="K590" s="52">
        <v>0</v>
      </c>
      <c r="L590" s="53">
        <v>29558952</v>
      </c>
      <c r="M590" s="218" t="s">
        <v>465</v>
      </c>
      <c r="N590" s="53" t="s">
        <v>113</v>
      </c>
      <c r="O590" s="219" t="s">
        <v>218</v>
      </c>
      <c r="P590" s="221" t="str">
        <f>IFERROR(VLOOKUP(C590,TD!$B$33:$F$37,2,0)," ")</f>
        <v>O230117</v>
      </c>
      <c r="Q590" s="221" t="str">
        <f>IFERROR(VLOOKUP(C590,TD!$B$33:$F$37,3,0)," ")</f>
        <v>4599</v>
      </c>
      <c r="R590" s="221">
        <f>IFERROR(VLOOKUP(C590,TD!$B$33:$F$37,4,0)," ")</f>
        <v>20240207</v>
      </c>
      <c r="S590" s="219" t="s">
        <v>185</v>
      </c>
      <c r="T590" s="221" t="str">
        <f>IFERROR(VLOOKUP(S590,TD!$J$34:$K$44,2,0)," ")</f>
        <v>Infraestructura física, mantenimiento y dotación (Sedes construidas, mantenidas reforzadas)</v>
      </c>
      <c r="U590" s="222" t="str">
        <f t="shared" si="38"/>
        <v>08-Infraestructura física, mantenimiento y dotación (Sedes construidas, mantenidas reforzadas)</v>
      </c>
      <c r="V590" s="219" t="s">
        <v>238</v>
      </c>
      <c r="W590" s="221" t="str">
        <f>IFERROR(VLOOKUP(V590,TD!$N$34:$O$46,2,0)," ")</f>
        <v>Sedes mantenidas</v>
      </c>
      <c r="X590" s="222" t="str">
        <f t="shared" si="39"/>
        <v>016_Sedes mantenidas</v>
      </c>
      <c r="Y590" s="222" t="str">
        <f t="shared" si="40"/>
        <v>08-Infraestructura física, mantenimiento y dotación (Sedes construidas, mantenidas reforzadas) 016_Sedes mantenidas</v>
      </c>
      <c r="Z590" s="221" t="str">
        <f t="shared" si="41"/>
        <v>O23011745992024020708016</v>
      </c>
      <c r="AA590" s="221" t="str">
        <f>IFERROR(VLOOKUP(Y590,TD!$K$47:$L$65,2,0)," ")</f>
        <v>PM/0131/0108/45990160207</v>
      </c>
      <c r="AB590" s="53" t="s">
        <v>138</v>
      </c>
      <c r="AC590" s="223" t="s">
        <v>204</v>
      </c>
    </row>
    <row r="591" spans="2:29" s="28" customFormat="1" ht="99" customHeight="1" x14ac:dyDescent="0.35">
      <c r="B591" s="77">
        <v>20250597</v>
      </c>
      <c r="C591" s="50" t="s">
        <v>208</v>
      </c>
      <c r="D591" s="218" t="s">
        <v>166</v>
      </c>
      <c r="E591" s="219" t="s">
        <v>565</v>
      </c>
      <c r="F591" s="218" t="s">
        <v>585</v>
      </c>
      <c r="G591" s="218" t="s">
        <v>156</v>
      </c>
      <c r="H591" s="93" t="s">
        <v>617</v>
      </c>
      <c r="I591" s="220">
        <v>2</v>
      </c>
      <c r="J591" s="220">
        <v>9</v>
      </c>
      <c r="K591" s="52">
        <v>0</v>
      </c>
      <c r="L591" s="53">
        <v>29558952</v>
      </c>
      <c r="M591" s="218" t="s">
        <v>465</v>
      </c>
      <c r="N591" s="53" t="s">
        <v>113</v>
      </c>
      <c r="O591" s="219" t="s">
        <v>218</v>
      </c>
      <c r="P591" s="221" t="str">
        <f>IFERROR(VLOOKUP(C591,TD!$B$33:$F$37,2,0)," ")</f>
        <v>O230117</v>
      </c>
      <c r="Q591" s="221" t="str">
        <f>IFERROR(VLOOKUP(C591,TD!$B$33:$F$37,3,0)," ")</f>
        <v>4599</v>
      </c>
      <c r="R591" s="221">
        <f>IFERROR(VLOOKUP(C591,TD!$B$33:$F$37,4,0)," ")</f>
        <v>20240207</v>
      </c>
      <c r="S591" s="219" t="s">
        <v>185</v>
      </c>
      <c r="T591" s="221" t="str">
        <f>IFERROR(VLOOKUP(S591,TD!$J$34:$K$44,2,0)," ")</f>
        <v>Infraestructura física, mantenimiento y dotación (Sedes construidas, mantenidas reforzadas)</v>
      </c>
      <c r="U591" s="222" t="str">
        <f t="shared" si="38"/>
        <v>08-Infraestructura física, mantenimiento y dotación (Sedes construidas, mantenidas reforzadas)</v>
      </c>
      <c r="V591" s="219" t="s">
        <v>238</v>
      </c>
      <c r="W591" s="221" t="str">
        <f>IFERROR(VLOOKUP(V591,TD!$N$34:$O$46,2,0)," ")</f>
        <v>Sedes mantenidas</v>
      </c>
      <c r="X591" s="222" t="str">
        <f t="shared" si="39"/>
        <v>016_Sedes mantenidas</v>
      </c>
      <c r="Y591" s="222" t="str">
        <f t="shared" si="40"/>
        <v>08-Infraestructura física, mantenimiento y dotación (Sedes construidas, mantenidas reforzadas) 016_Sedes mantenidas</v>
      </c>
      <c r="Z591" s="221" t="str">
        <f t="shared" si="41"/>
        <v>O23011745992024020708016</v>
      </c>
      <c r="AA591" s="221" t="str">
        <f>IFERROR(VLOOKUP(Y591,TD!$K$47:$L$65,2,0)," ")</f>
        <v>PM/0131/0108/45990160207</v>
      </c>
      <c r="AB591" s="53" t="s">
        <v>138</v>
      </c>
      <c r="AC591" s="223" t="s">
        <v>204</v>
      </c>
    </row>
    <row r="592" spans="2:29" s="28" customFormat="1" ht="99" customHeight="1" x14ac:dyDescent="0.35">
      <c r="B592" s="77">
        <v>20250598</v>
      </c>
      <c r="C592" s="50" t="s">
        <v>208</v>
      </c>
      <c r="D592" s="218" t="s">
        <v>166</v>
      </c>
      <c r="E592" s="219" t="s">
        <v>565</v>
      </c>
      <c r="F592" s="218" t="s">
        <v>585</v>
      </c>
      <c r="G592" s="218" t="s">
        <v>156</v>
      </c>
      <c r="H592" s="93" t="s">
        <v>617</v>
      </c>
      <c r="I592" s="220">
        <v>2</v>
      </c>
      <c r="J592" s="220">
        <v>9</v>
      </c>
      <c r="K592" s="52">
        <v>0</v>
      </c>
      <c r="L592" s="53">
        <v>29558952</v>
      </c>
      <c r="M592" s="218" t="s">
        <v>465</v>
      </c>
      <c r="N592" s="53" t="s">
        <v>113</v>
      </c>
      <c r="O592" s="219" t="s">
        <v>218</v>
      </c>
      <c r="P592" s="221" t="str">
        <f>IFERROR(VLOOKUP(C592,TD!$B$33:$F$37,2,0)," ")</f>
        <v>O230117</v>
      </c>
      <c r="Q592" s="221" t="str">
        <f>IFERROR(VLOOKUP(C592,TD!$B$33:$F$37,3,0)," ")</f>
        <v>4599</v>
      </c>
      <c r="R592" s="221">
        <f>IFERROR(VLOOKUP(C592,TD!$B$33:$F$37,4,0)," ")</f>
        <v>20240207</v>
      </c>
      <c r="S592" s="219" t="s">
        <v>185</v>
      </c>
      <c r="T592" s="221" t="str">
        <f>IFERROR(VLOOKUP(S592,TD!$J$34:$K$44,2,0)," ")</f>
        <v>Infraestructura física, mantenimiento y dotación (Sedes construidas, mantenidas reforzadas)</v>
      </c>
      <c r="U592" s="222" t="str">
        <f t="shared" si="38"/>
        <v>08-Infraestructura física, mantenimiento y dotación (Sedes construidas, mantenidas reforzadas)</v>
      </c>
      <c r="V592" s="219" t="s">
        <v>238</v>
      </c>
      <c r="W592" s="221" t="str">
        <f>IFERROR(VLOOKUP(V592,TD!$N$34:$O$46,2,0)," ")</f>
        <v>Sedes mantenidas</v>
      </c>
      <c r="X592" s="222" t="str">
        <f t="shared" si="39"/>
        <v>016_Sedes mantenidas</v>
      </c>
      <c r="Y592" s="222" t="str">
        <f t="shared" si="40"/>
        <v>08-Infraestructura física, mantenimiento y dotación (Sedes construidas, mantenidas reforzadas) 016_Sedes mantenidas</v>
      </c>
      <c r="Z592" s="221" t="str">
        <f t="shared" si="41"/>
        <v>O23011745992024020708016</v>
      </c>
      <c r="AA592" s="221" t="str">
        <f>IFERROR(VLOOKUP(Y592,TD!$K$47:$L$65,2,0)," ")</f>
        <v>PM/0131/0108/45990160207</v>
      </c>
      <c r="AB592" s="53" t="s">
        <v>138</v>
      </c>
      <c r="AC592" s="223" t="s">
        <v>204</v>
      </c>
    </row>
    <row r="593" spans="2:29" s="28" customFormat="1" ht="99" customHeight="1" x14ac:dyDescent="0.35">
      <c r="B593" s="77">
        <v>20250599</v>
      </c>
      <c r="C593" s="50" t="s">
        <v>208</v>
      </c>
      <c r="D593" s="218" t="s">
        <v>166</v>
      </c>
      <c r="E593" s="219" t="s">
        <v>565</v>
      </c>
      <c r="F593" s="218" t="s">
        <v>585</v>
      </c>
      <c r="G593" s="218" t="s">
        <v>156</v>
      </c>
      <c r="H593" s="93" t="s">
        <v>617</v>
      </c>
      <c r="I593" s="220">
        <v>2</v>
      </c>
      <c r="J593" s="220">
        <v>9</v>
      </c>
      <c r="K593" s="52">
        <v>0</v>
      </c>
      <c r="L593" s="53">
        <v>29558952</v>
      </c>
      <c r="M593" s="218" t="s">
        <v>465</v>
      </c>
      <c r="N593" s="53" t="s">
        <v>113</v>
      </c>
      <c r="O593" s="219" t="s">
        <v>218</v>
      </c>
      <c r="P593" s="221" t="str">
        <f>IFERROR(VLOOKUP(C593,TD!$B$33:$F$37,2,0)," ")</f>
        <v>O230117</v>
      </c>
      <c r="Q593" s="221" t="str">
        <f>IFERROR(VLOOKUP(C593,TD!$B$33:$F$37,3,0)," ")</f>
        <v>4599</v>
      </c>
      <c r="R593" s="221">
        <f>IFERROR(VLOOKUP(C593,TD!$B$33:$F$37,4,0)," ")</f>
        <v>20240207</v>
      </c>
      <c r="S593" s="219" t="s">
        <v>185</v>
      </c>
      <c r="T593" s="221" t="str">
        <f>IFERROR(VLOOKUP(S593,TD!$J$34:$K$44,2,0)," ")</f>
        <v>Infraestructura física, mantenimiento y dotación (Sedes construidas, mantenidas reforzadas)</v>
      </c>
      <c r="U593" s="222" t="str">
        <f t="shared" si="38"/>
        <v>08-Infraestructura física, mantenimiento y dotación (Sedes construidas, mantenidas reforzadas)</v>
      </c>
      <c r="V593" s="219" t="s">
        <v>238</v>
      </c>
      <c r="W593" s="221" t="str">
        <f>IFERROR(VLOOKUP(V593,TD!$N$34:$O$46,2,0)," ")</f>
        <v>Sedes mantenidas</v>
      </c>
      <c r="X593" s="222" t="str">
        <f t="shared" si="39"/>
        <v>016_Sedes mantenidas</v>
      </c>
      <c r="Y593" s="222" t="str">
        <f t="shared" si="40"/>
        <v>08-Infraestructura física, mantenimiento y dotación (Sedes construidas, mantenidas reforzadas) 016_Sedes mantenidas</v>
      </c>
      <c r="Z593" s="221" t="str">
        <f t="shared" si="41"/>
        <v>O23011745992024020708016</v>
      </c>
      <c r="AA593" s="221" t="str">
        <f>IFERROR(VLOOKUP(Y593,TD!$K$47:$L$65,2,0)," ")</f>
        <v>PM/0131/0108/45990160207</v>
      </c>
      <c r="AB593" s="53" t="s">
        <v>138</v>
      </c>
      <c r="AC593" s="223" t="s">
        <v>204</v>
      </c>
    </row>
    <row r="594" spans="2:29" s="28" customFormat="1" ht="99" customHeight="1" x14ac:dyDescent="0.35">
      <c r="B594" s="77">
        <v>20250600</v>
      </c>
      <c r="C594" s="50" t="s">
        <v>208</v>
      </c>
      <c r="D594" s="218" t="s">
        <v>166</v>
      </c>
      <c r="E594" s="219" t="s">
        <v>565</v>
      </c>
      <c r="F594" s="218" t="s">
        <v>575</v>
      </c>
      <c r="G594" s="218" t="s">
        <v>156</v>
      </c>
      <c r="H594" s="93" t="s">
        <v>617</v>
      </c>
      <c r="I594" s="220">
        <v>2</v>
      </c>
      <c r="J594" s="220">
        <v>9</v>
      </c>
      <c r="K594" s="52">
        <v>0</v>
      </c>
      <c r="L594" s="53">
        <v>25336251</v>
      </c>
      <c r="M594" s="218" t="s">
        <v>465</v>
      </c>
      <c r="N594" s="53" t="s">
        <v>113</v>
      </c>
      <c r="O594" s="219" t="s">
        <v>219</v>
      </c>
      <c r="P594" s="221" t="str">
        <f>IFERROR(VLOOKUP(C594,TD!$B$33:$F$37,2,0)," ")</f>
        <v>O230117</v>
      </c>
      <c r="Q594" s="221" t="str">
        <f>IFERROR(VLOOKUP(C594,TD!$B$33:$F$37,3,0)," ")</f>
        <v>4599</v>
      </c>
      <c r="R594" s="221">
        <f>IFERROR(VLOOKUP(C594,TD!$B$33:$F$37,4,0)," ")</f>
        <v>20240207</v>
      </c>
      <c r="S594" s="219" t="s">
        <v>185</v>
      </c>
      <c r="T594" s="221" t="str">
        <f>IFERROR(VLOOKUP(S594,TD!$J$34:$K$44,2,0)," ")</f>
        <v>Infraestructura física, mantenimiento y dotación (Sedes construidas, mantenidas reforzadas)</v>
      </c>
      <c r="U594" s="222" t="str">
        <f t="shared" si="38"/>
        <v>08-Infraestructura física, mantenimiento y dotación (Sedes construidas, mantenidas reforzadas)</v>
      </c>
      <c r="V594" s="219" t="s">
        <v>238</v>
      </c>
      <c r="W594" s="221" t="str">
        <f>IFERROR(VLOOKUP(V594,TD!$N$34:$O$46,2,0)," ")</f>
        <v>Sedes mantenidas</v>
      </c>
      <c r="X594" s="222" t="str">
        <f t="shared" si="39"/>
        <v>016_Sedes mantenidas</v>
      </c>
      <c r="Y594" s="222" t="str">
        <f t="shared" si="40"/>
        <v>08-Infraestructura física, mantenimiento y dotación (Sedes construidas, mantenidas reforzadas) 016_Sedes mantenidas</v>
      </c>
      <c r="Z594" s="221" t="str">
        <f t="shared" si="41"/>
        <v>O23011745992024020708016</v>
      </c>
      <c r="AA594" s="221" t="str">
        <f>IFERROR(VLOOKUP(Y594,TD!$K$47:$L$65,2,0)," ")</f>
        <v>PM/0131/0108/45990160207</v>
      </c>
      <c r="AB594" s="53" t="s">
        <v>138</v>
      </c>
      <c r="AC594" s="223" t="s">
        <v>204</v>
      </c>
    </row>
    <row r="595" spans="2:29" s="28" customFormat="1" ht="99" customHeight="1" x14ac:dyDescent="0.35">
      <c r="B595" s="130">
        <v>20250601</v>
      </c>
      <c r="C595" s="132" t="s">
        <v>208</v>
      </c>
      <c r="D595" s="224" t="s">
        <v>166</v>
      </c>
      <c r="E595" s="225" t="s">
        <v>565</v>
      </c>
      <c r="F595" s="224" t="s">
        <v>729</v>
      </c>
      <c r="G595" s="224" t="s">
        <v>155</v>
      </c>
      <c r="H595" s="133" t="s">
        <v>617</v>
      </c>
      <c r="I595" s="226">
        <v>2</v>
      </c>
      <c r="J595" s="226">
        <v>9</v>
      </c>
      <c r="K595" s="129">
        <v>0</v>
      </c>
      <c r="L595" s="128">
        <v>91156860</v>
      </c>
      <c r="M595" s="224" t="s">
        <v>465</v>
      </c>
      <c r="N595" s="128" t="s">
        <v>113</v>
      </c>
      <c r="O595" s="225" t="s">
        <v>219</v>
      </c>
      <c r="P595" s="227" t="str">
        <f>IFERROR(VLOOKUP(C595,TD!$B$33:$F$37,2,0)," ")</f>
        <v>O230117</v>
      </c>
      <c r="Q595" s="227" t="str">
        <f>IFERROR(VLOOKUP(C595,TD!$B$33:$F$37,3,0)," ")</f>
        <v>4599</v>
      </c>
      <c r="R595" s="227">
        <f>IFERROR(VLOOKUP(C595,TD!$B$33:$F$37,4,0)," ")</f>
        <v>20240207</v>
      </c>
      <c r="S595" s="225" t="s">
        <v>185</v>
      </c>
      <c r="T595" s="227" t="str">
        <f>IFERROR(VLOOKUP(S595,TD!$J$34:$K$44,2,0)," ")</f>
        <v>Infraestructura física, mantenimiento y dotación (Sedes construidas, mantenidas reforzadas)</v>
      </c>
      <c r="U595" s="222" t="str">
        <f t="shared" si="38"/>
        <v>08-Infraestructura física, mantenimiento y dotación (Sedes construidas, mantenidas reforzadas)</v>
      </c>
      <c r="V595" s="225" t="s">
        <v>238</v>
      </c>
      <c r="W595" s="227" t="str">
        <f>IFERROR(VLOOKUP(V595,TD!$N$34:$O$46,2,0)," ")</f>
        <v>Sedes mantenidas</v>
      </c>
      <c r="X595" s="222" t="str">
        <f t="shared" si="39"/>
        <v>016_Sedes mantenidas</v>
      </c>
      <c r="Y595" s="222" t="str">
        <f t="shared" si="40"/>
        <v>08-Infraestructura física, mantenimiento y dotación (Sedes construidas, mantenidas reforzadas) 016_Sedes mantenidas</v>
      </c>
      <c r="Z595" s="227" t="str">
        <f t="shared" si="41"/>
        <v>O23011745992024020708016</v>
      </c>
      <c r="AA595" s="227" t="str">
        <f>IFERROR(VLOOKUP(Y595,TD!$K$47:$L$65,2,0)," ")</f>
        <v>PM/0131/0108/45990160207</v>
      </c>
      <c r="AB595" s="128" t="s">
        <v>138</v>
      </c>
      <c r="AC595" s="228" t="s">
        <v>204</v>
      </c>
    </row>
    <row r="596" spans="2:29" s="28" customFormat="1" ht="99" customHeight="1" x14ac:dyDescent="0.35">
      <c r="B596" s="130">
        <v>20250602</v>
      </c>
      <c r="C596" s="132" t="s">
        <v>208</v>
      </c>
      <c r="D596" s="224" t="s">
        <v>166</v>
      </c>
      <c r="E596" s="225" t="s">
        <v>565</v>
      </c>
      <c r="F596" s="224" t="s">
        <v>870</v>
      </c>
      <c r="G596" s="224" t="s">
        <v>155</v>
      </c>
      <c r="H596" s="133" t="s">
        <v>617</v>
      </c>
      <c r="I596" s="226">
        <v>2</v>
      </c>
      <c r="J596" s="226">
        <v>9</v>
      </c>
      <c r="K596" s="129">
        <v>0</v>
      </c>
      <c r="L596" s="128">
        <v>41288696</v>
      </c>
      <c r="M596" s="224" t="s">
        <v>465</v>
      </c>
      <c r="N596" s="128" t="s">
        <v>113</v>
      </c>
      <c r="O596" s="225" t="s">
        <v>219</v>
      </c>
      <c r="P596" s="227" t="str">
        <f>IFERROR(VLOOKUP(C596,TD!$B$33:$F$37,2,0)," ")</f>
        <v>O230117</v>
      </c>
      <c r="Q596" s="227" t="str">
        <f>IFERROR(VLOOKUP(C596,TD!$B$33:$F$37,3,0)," ")</f>
        <v>4599</v>
      </c>
      <c r="R596" s="227">
        <f>IFERROR(VLOOKUP(C596,TD!$B$33:$F$37,4,0)," ")</f>
        <v>20240207</v>
      </c>
      <c r="S596" s="225" t="s">
        <v>185</v>
      </c>
      <c r="T596" s="227" t="str">
        <f>IFERROR(VLOOKUP(S596,TD!$J$34:$K$44,2,0)," ")</f>
        <v>Infraestructura física, mantenimiento y dotación (Sedes construidas, mantenidas reforzadas)</v>
      </c>
      <c r="U596" s="222" t="str">
        <f t="shared" si="38"/>
        <v>08-Infraestructura física, mantenimiento y dotación (Sedes construidas, mantenidas reforzadas)</v>
      </c>
      <c r="V596" s="225" t="s">
        <v>238</v>
      </c>
      <c r="W596" s="227" t="str">
        <f>IFERROR(VLOOKUP(V596,TD!$N$34:$O$46,2,0)," ")</f>
        <v>Sedes mantenidas</v>
      </c>
      <c r="X596" s="222" t="str">
        <f t="shared" si="39"/>
        <v>016_Sedes mantenidas</v>
      </c>
      <c r="Y596" s="222" t="str">
        <f t="shared" si="40"/>
        <v>08-Infraestructura física, mantenimiento y dotación (Sedes construidas, mantenidas reforzadas) 016_Sedes mantenidas</v>
      </c>
      <c r="Z596" s="227" t="str">
        <f t="shared" si="41"/>
        <v>O23011745992024020708016</v>
      </c>
      <c r="AA596" s="227" t="str">
        <f>IFERROR(VLOOKUP(Y596,TD!$K$47:$L$65,2,0)," ")</f>
        <v>PM/0131/0108/45990160207</v>
      </c>
      <c r="AB596" s="128" t="s">
        <v>138</v>
      </c>
      <c r="AC596" s="228" t="s">
        <v>204</v>
      </c>
    </row>
    <row r="597" spans="2:29" s="28" customFormat="1" ht="99" customHeight="1" x14ac:dyDescent="0.35">
      <c r="B597" s="130">
        <v>20250603</v>
      </c>
      <c r="C597" s="132" t="s">
        <v>346</v>
      </c>
      <c r="D597" s="224" t="s">
        <v>166</v>
      </c>
      <c r="E597" s="225" t="s">
        <v>565</v>
      </c>
      <c r="F597" s="224" t="s">
        <v>728</v>
      </c>
      <c r="G597" s="224" t="s">
        <v>142</v>
      </c>
      <c r="H597" s="133">
        <v>84131515</v>
      </c>
      <c r="I597" s="226">
        <v>2</v>
      </c>
      <c r="J597" s="226">
        <v>12</v>
      </c>
      <c r="K597" s="129">
        <v>0</v>
      </c>
      <c r="L597" s="128">
        <v>500000000</v>
      </c>
      <c r="M597" s="224" t="s">
        <v>172</v>
      </c>
      <c r="N597" s="128" t="s">
        <v>90</v>
      </c>
      <c r="O597" s="225" t="s">
        <v>347</v>
      </c>
      <c r="P597" s="227" t="str">
        <f>IFERROR(VLOOKUP(C597,TD!$B$33:$F$37,2,0)," ")</f>
        <v>NA</v>
      </c>
      <c r="Q597" s="227" t="str">
        <f>IFERROR(VLOOKUP(C597,TD!$B$33:$F$37,3,0)," ")</f>
        <v>NA</v>
      </c>
      <c r="R597" s="227" t="str">
        <f>IFERROR(VLOOKUP(C597,TD!$B$33:$F$37,4,0)," ")</f>
        <v>NA</v>
      </c>
      <c r="S597" s="225" t="s">
        <v>406</v>
      </c>
      <c r="T597" s="227" t="str">
        <f>IFERROR(VLOOKUP(S597,TD!$J$34:$K$44,2,0)," ")</f>
        <v>N/A</v>
      </c>
      <c r="U597" s="222" t="str">
        <f t="shared" si="38"/>
        <v>N/A-N/A</v>
      </c>
      <c r="V597" s="225" t="s">
        <v>406</v>
      </c>
      <c r="W597" s="227" t="str">
        <f>IFERROR(VLOOKUP(V597,TD!$N$34:$O$46,2,0)," ")</f>
        <v>N/A</v>
      </c>
      <c r="X597" s="222" t="str">
        <f t="shared" si="39"/>
        <v>N/A_N/A</v>
      </c>
      <c r="Y597" s="222" t="str">
        <f t="shared" si="40"/>
        <v>N/A-N/A N/A_N/A</v>
      </c>
      <c r="Z597" s="227" t="str">
        <f t="shared" si="41"/>
        <v>NANANAN/AN/A</v>
      </c>
      <c r="AA597" s="227" t="str">
        <f>IFERROR(VLOOKUP(Y597,TD!$K$47:$L$65,2,0)," ")</f>
        <v>N/A</v>
      </c>
      <c r="AB597" s="128" t="s">
        <v>348</v>
      </c>
      <c r="AC597" s="228" t="s">
        <v>204</v>
      </c>
    </row>
    <row r="598" spans="2:29" s="28" customFormat="1" ht="99" customHeight="1" x14ac:dyDescent="0.35">
      <c r="B598" s="77">
        <v>20250604</v>
      </c>
      <c r="C598" s="50" t="s">
        <v>209</v>
      </c>
      <c r="D598" s="218" t="s">
        <v>168</v>
      </c>
      <c r="E598" s="219" t="s">
        <v>611</v>
      </c>
      <c r="F598" s="218" t="s">
        <v>835</v>
      </c>
      <c r="G598" s="218" t="s">
        <v>96</v>
      </c>
      <c r="H598" s="93">
        <v>46161600</v>
      </c>
      <c r="I598" s="220">
        <v>2</v>
      </c>
      <c r="J598" s="220">
        <v>3</v>
      </c>
      <c r="K598" s="52">
        <v>0</v>
      </c>
      <c r="L598" s="53">
        <v>25366600</v>
      </c>
      <c r="M598" s="218" t="s">
        <v>465</v>
      </c>
      <c r="N598" s="53" t="s">
        <v>113</v>
      </c>
      <c r="O598" s="219" t="s">
        <v>224</v>
      </c>
      <c r="P598" s="221" t="str">
        <f>IFERROR(VLOOKUP(C598,TD!$B$33:$F$37,2,0)," ")</f>
        <v>O230117</v>
      </c>
      <c r="Q598" s="221" t="str">
        <f>IFERROR(VLOOKUP(C598,TD!$B$33:$F$37,3,0)," ")</f>
        <v>4503</v>
      </c>
      <c r="R598" s="221">
        <f>IFERROR(VLOOKUP(C598,TD!$B$33:$F$37,4,0)," ")</f>
        <v>20240255</v>
      </c>
      <c r="S598" s="219" t="s">
        <v>187</v>
      </c>
      <c r="T598" s="221" t="str">
        <f>IFERROR(VLOOKUP(S598,TD!$J$34:$K$44,2,0)," ")</f>
        <v>Servicio de mantenimiento, dotación (HEA´s y equipo menor) y adquisición de vehiculos   especializados para la atención de emergencias.</v>
      </c>
      <c r="U598" s="222" t="str">
        <f t="shared" si="38"/>
        <v>09-Servicio de mantenimiento, dotación (HEA´s y equipo menor) y adquisición de vehiculos   especializados para la atención de emergencias.</v>
      </c>
      <c r="V598" s="219" t="s">
        <v>232</v>
      </c>
      <c r="W598" s="221" t="str">
        <f>IFERROR(VLOOKUP(V598,TD!$N$34:$O$46,2,0)," ")</f>
        <v>Servicio de atención a emergencias y desastres</v>
      </c>
      <c r="X598" s="222" t="str">
        <f t="shared" si="39"/>
        <v>004_Servicio de atención a emergencias y desastres</v>
      </c>
      <c r="Y598" s="222" t="str">
        <f t="shared" si="40"/>
        <v>09-Servicio de mantenimiento, dotación (HEA´s y equipo menor) y adquisición de vehiculos   especializados para la atención de emergencias. 004_Servicio de atención a emergencias y desastres</v>
      </c>
      <c r="Z598" s="221" t="str">
        <f t="shared" si="41"/>
        <v>O23011745032024025509004</v>
      </c>
      <c r="AA598" s="221" t="str">
        <f>IFERROR(VLOOKUP(Y598,TD!$K$47:$L$65,2,0)," ")</f>
        <v>PM/0131/0109/45030040255</v>
      </c>
      <c r="AB598" s="53" t="s">
        <v>87</v>
      </c>
      <c r="AC598" s="223" t="s">
        <v>205</v>
      </c>
    </row>
    <row r="599" spans="2:29" s="28" customFormat="1" ht="99" customHeight="1" x14ac:dyDescent="0.35">
      <c r="B599" s="77">
        <v>20250605</v>
      </c>
      <c r="C599" s="50" t="s">
        <v>209</v>
      </c>
      <c r="D599" s="218" t="s">
        <v>168</v>
      </c>
      <c r="E599" s="219" t="s">
        <v>611</v>
      </c>
      <c r="F599" s="218" t="s">
        <v>886</v>
      </c>
      <c r="G599" s="218" t="s">
        <v>156</v>
      </c>
      <c r="H599" s="93">
        <v>80111600</v>
      </c>
      <c r="I599" s="220">
        <v>3</v>
      </c>
      <c r="J599" s="220">
        <v>8</v>
      </c>
      <c r="K599" s="52">
        <v>0</v>
      </c>
      <c r="L599" s="53">
        <v>26240000</v>
      </c>
      <c r="M599" s="218" t="s">
        <v>465</v>
      </c>
      <c r="N599" s="53" t="s">
        <v>113</v>
      </c>
      <c r="O599" s="219" t="s">
        <v>224</v>
      </c>
      <c r="P599" s="221" t="str">
        <f>IFERROR(VLOOKUP(C599,TD!$B$33:$F$37,2,0)," ")</f>
        <v>O230117</v>
      </c>
      <c r="Q599" s="221" t="str">
        <f>IFERROR(VLOOKUP(C599,TD!$B$33:$F$37,3,0)," ")</f>
        <v>4503</v>
      </c>
      <c r="R599" s="221">
        <f>IFERROR(VLOOKUP(C599,TD!$B$33:$F$37,4,0)," ")</f>
        <v>20240255</v>
      </c>
      <c r="S599" s="219" t="s">
        <v>191</v>
      </c>
      <c r="T599" s="221" t="str">
        <f>IFERROR(VLOOKUP(S599,TD!$J$34:$K$44,2,0)," ")</f>
        <v>Servicio de apoyo   logístico  en eventos operativos y/o emergencias.</v>
      </c>
      <c r="U599" s="222" t="str">
        <f t="shared" si="38"/>
        <v>12-Servicio de apoyo   logístico  en eventos operativos y/o emergencias.</v>
      </c>
      <c r="V599" s="219" t="s">
        <v>232</v>
      </c>
      <c r="W599" s="221" t="str">
        <f>IFERROR(VLOOKUP(V599,TD!$N$34:$O$46,2,0)," ")</f>
        <v>Servicio de atención a emergencias y desastres</v>
      </c>
      <c r="X599" s="222" t="str">
        <f t="shared" si="39"/>
        <v>004_Servicio de atención a emergencias y desastres</v>
      </c>
      <c r="Y599" s="222" t="str">
        <f t="shared" si="40"/>
        <v>12-Servicio de apoyo   logístico  en eventos operativos y/o emergencias. 004_Servicio de atención a emergencias y desastres</v>
      </c>
      <c r="Z599" s="221" t="str">
        <f t="shared" si="41"/>
        <v>O23011745032024025512004</v>
      </c>
      <c r="AA599" s="221" t="str">
        <f>IFERROR(VLOOKUP(Y599,TD!$K$47:$L$65,2,0)," ")</f>
        <v>PM/0131/0112/45030040255</v>
      </c>
      <c r="AB599" s="53" t="s">
        <v>138</v>
      </c>
      <c r="AC599" s="223" t="s">
        <v>204</v>
      </c>
    </row>
    <row r="600" spans="2:29" s="28" customFormat="1" ht="99" customHeight="1" x14ac:dyDescent="0.35">
      <c r="B600" s="77">
        <v>20250606</v>
      </c>
      <c r="C600" s="50" t="s">
        <v>209</v>
      </c>
      <c r="D600" s="218" t="s">
        <v>168</v>
      </c>
      <c r="E600" s="219" t="s">
        <v>611</v>
      </c>
      <c r="F600" s="218" t="s">
        <v>886</v>
      </c>
      <c r="G600" s="218" t="s">
        <v>156</v>
      </c>
      <c r="H600" s="93">
        <v>80111600</v>
      </c>
      <c r="I600" s="220">
        <v>3</v>
      </c>
      <c r="J600" s="220">
        <v>8</v>
      </c>
      <c r="K600" s="52">
        <v>0</v>
      </c>
      <c r="L600" s="53">
        <v>26240000</v>
      </c>
      <c r="M600" s="218" t="s">
        <v>465</v>
      </c>
      <c r="N600" s="53" t="s">
        <v>113</v>
      </c>
      <c r="O600" s="219" t="s">
        <v>224</v>
      </c>
      <c r="P600" s="221" t="str">
        <f>IFERROR(VLOOKUP(C600,TD!$B$33:$F$37,2,0)," ")</f>
        <v>O230117</v>
      </c>
      <c r="Q600" s="221" t="str">
        <f>IFERROR(VLOOKUP(C600,TD!$B$33:$F$37,3,0)," ")</f>
        <v>4503</v>
      </c>
      <c r="R600" s="221">
        <f>IFERROR(VLOOKUP(C600,TD!$B$33:$F$37,4,0)," ")</f>
        <v>20240255</v>
      </c>
      <c r="S600" s="219" t="s">
        <v>191</v>
      </c>
      <c r="T600" s="221" t="str">
        <f>IFERROR(VLOOKUP(S600,TD!$J$34:$K$44,2,0)," ")</f>
        <v>Servicio de apoyo   logístico  en eventos operativos y/o emergencias.</v>
      </c>
      <c r="U600" s="222" t="str">
        <f t="shared" si="38"/>
        <v>12-Servicio de apoyo   logístico  en eventos operativos y/o emergencias.</v>
      </c>
      <c r="V600" s="219" t="s">
        <v>232</v>
      </c>
      <c r="W600" s="221" t="str">
        <f>IFERROR(VLOOKUP(V600,TD!$N$34:$O$46,2,0)," ")</f>
        <v>Servicio de atención a emergencias y desastres</v>
      </c>
      <c r="X600" s="222" t="str">
        <f t="shared" si="39"/>
        <v>004_Servicio de atención a emergencias y desastres</v>
      </c>
      <c r="Y600" s="222" t="str">
        <f t="shared" si="40"/>
        <v>12-Servicio de apoyo   logístico  en eventos operativos y/o emergencias. 004_Servicio de atención a emergencias y desastres</v>
      </c>
      <c r="Z600" s="221" t="str">
        <f t="shared" si="41"/>
        <v>O23011745032024025512004</v>
      </c>
      <c r="AA600" s="221" t="str">
        <f>IFERROR(VLOOKUP(Y600,TD!$K$47:$L$65,2,0)," ")</f>
        <v>PM/0131/0112/45030040255</v>
      </c>
      <c r="AB600" s="53" t="s">
        <v>138</v>
      </c>
      <c r="AC600" s="223" t="s">
        <v>204</v>
      </c>
    </row>
    <row r="601" spans="2:29" s="28" customFormat="1" ht="99" customHeight="1" x14ac:dyDescent="0.35">
      <c r="B601" s="77">
        <v>20250607</v>
      </c>
      <c r="C601" s="50" t="s">
        <v>209</v>
      </c>
      <c r="D601" s="218" t="s">
        <v>168</v>
      </c>
      <c r="E601" s="219" t="s">
        <v>611</v>
      </c>
      <c r="F601" s="218" t="s">
        <v>886</v>
      </c>
      <c r="G601" s="218" t="s">
        <v>156</v>
      </c>
      <c r="H601" s="93">
        <v>80111600</v>
      </c>
      <c r="I601" s="220">
        <v>3</v>
      </c>
      <c r="J601" s="220">
        <v>8</v>
      </c>
      <c r="K601" s="52">
        <v>0</v>
      </c>
      <c r="L601" s="53">
        <v>26240000</v>
      </c>
      <c r="M601" s="218" t="s">
        <v>465</v>
      </c>
      <c r="N601" s="53" t="s">
        <v>113</v>
      </c>
      <c r="O601" s="219" t="s">
        <v>224</v>
      </c>
      <c r="P601" s="221" t="str">
        <f>IFERROR(VLOOKUP(C601,TD!$B$33:$F$37,2,0)," ")</f>
        <v>O230117</v>
      </c>
      <c r="Q601" s="221" t="str">
        <f>IFERROR(VLOOKUP(C601,TD!$B$33:$F$37,3,0)," ")</f>
        <v>4503</v>
      </c>
      <c r="R601" s="221">
        <f>IFERROR(VLOOKUP(C601,TD!$B$33:$F$37,4,0)," ")</f>
        <v>20240255</v>
      </c>
      <c r="S601" s="219" t="s">
        <v>191</v>
      </c>
      <c r="T601" s="221" t="str">
        <f>IFERROR(VLOOKUP(S601,TD!$J$34:$K$44,2,0)," ")</f>
        <v>Servicio de apoyo   logístico  en eventos operativos y/o emergencias.</v>
      </c>
      <c r="U601" s="222" t="str">
        <f t="shared" si="38"/>
        <v>12-Servicio de apoyo   logístico  en eventos operativos y/o emergencias.</v>
      </c>
      <c r="V601" s="219" t="s">
        <v>232</v>
      </c>
      <c r="W601" s="221" t="str">
        <f>IFERROR(VLOOKUP(V601,TD!$N$34:$O$46,2,0)," ")</f>
        <v>Servicio de atención a emergencias y desastres</v>
      </c>
      <c r="X601" s="222" t="str">
        <f t="shared" si="39"/>
        <v>004_Servicio de atención a emergencias y desastres</v>
      </c>
      <c r="Y601" s="222" t="str">
        <f t="shared" si="40"/>
        <v>12-Servicio de apoyo   logístico  en eventos operativos y/o emergencias. 004_Servicio de atención a emergencias y desastres</v>
      </c>
      <c r="Z601" s="221" t="str">
        <f t="shared" si="41"/>
        <v>O23011745032024025512004</v>
      </c>
      <c r="AA601" s="221" t="str">
        <f>IFERROR(VLOOKUP(Y601,TD!$K$47:$L$65,2,0)," ")</f>
        <v>PM/0131/0112/45030040255</v>
      </c>
      <c r="AB601" s="53" t="s">
        <v>138</v>
      </c>
      <c r="AC601" s="223" t="s">
        <v>204</v>
      </c>
    </row>
    <row r="602" spans="2:29" s="28" customFormat="1" ht="99" customHeight="1" x14ac:dyDescent="0.35">
      <c r="B602" s="77">
        <v>20250608</v>
      </c>
      <c r="C602" s="50" t="s">
        <v>209</v>
      </c>
      <c r="D602" s="218" t="s">
        <v>168</v>
      </c>
      <c r="E602" s="219" t="s">
        <v>611</v>
      </c>
      <c r="F602" s="218" t="s">
        <v>886</v>
      </c>
      <c r="G602" s="218" t="s">
        <v>156</v>
      </c>
      <c r="H602" s="93">
        <v>80111600</v>
      </c>
      <c r="I602" s="220">
        <v>3</v>
      </c>
      <c r="J602" s="220">
        <v>8</v>
      </c>
      <c r="K602" s="52">
        <v>0</v>
      </c>
      <c r="L602" s="53">
        <v>26240000</v>
      </c>
      <c r="M602" s="218" t="s">
        <v>465</v>
      </c>
      <c r="N602" s="53" t="s">
        <v>113</v>
      </c>
      <c r="O602" s="219" t="s">
        <v>224</v>
      </c>
      <c r="P602" s="221" t="str">
        <f>IFERROR(VLOOKUP(C602,TD!$B$33:$F$37,2,0)," ")</f>
        <v>O230117</v>
      </c>
      <c r="Q602" s="221" t="str">
        <f>IFERROR(VLOOKUP(C602,TD!$B$33:$F$37,3,0)," ")</f>
        <v>4503</v>
      </c>
      <c r="R602" s="221">
        <f>IFERROR(VLOOKUP(C602,TD!$B$33:$F$37,4,0)," ")</f>
        <v>20240255</v>
      </c>
      <c r="S602" s="219" t="s">
        <v>191</v>
      </c>
      <c r="T602" s="221" t="str">
        <f>IFERROR(VLOOKUP(S602,TD!$J$34:$K$44,2,0)," ")</f>
        <v>Servicio de apoyo   logístico  en eventos operativos y/o emergencias.</v>
      </c>
      <c r="U602" s="222" t="str">
        <f t="shared" si="38"/>
        <v>12-Servicio de apoyo   logístico  en eventos operativos y/o emergencias.</v>
      </c>
      <c r="V602" s="219" t="s">
        <v>232</v>
      </c>
      <c r="W602" s="221" t="str">
        <f>IFERROR(VLOOKUP(V602,TD!$N$34:$O$46,2,0)," ")</f>
        <v>Servicio de atención a emergencias y desastres</v>
      </c>
      <c r="X602" s="222" t="str">
        <f t="shared" si="39"/>
        <v>004_Servicio de atención a emergencias y desastres</v>
      </c>
      <c r="Y602" s="222" t="str">
        <f t="shared" si="40"/>
        <v>12-Servicio de apoyo   logístico  en eventos operativos y/o emergencias. 004_Servicio de atención a emergencias y desastres</v>
      </c>
      <c r="Z602" s="221" t="str">
        <f t="shared" si="41"/>
        <v>O23011745032024025512004</v>
      </c>
      <c r="AA602" s="221" t="str">
        <f>IFERROR(VLOOKUP(Y602,TD!$K$47:$L$65,2,0)," ")</f>
        <v>PM/0131/0112/45030040255</v>
      </c>
      <c r="AB602" s="53" t="s">
        <v>138</v>
      </c>
      <c r="AC602" s="223" t="s">
        <v>204</v>
      </c>
    </row>
    <row r="603" spans="2:29" s="28" customFormat="1" ht="99" customHeight="1" x14ac:dyDescent="0.35">
      <c r="B603" s="77">
        <v>20250609</v>
      </c>
      <c r="C603" s="50" t="s">
        <v>209</v>
      </c>
      <c r="D603" s="218" t="s">
        <v>168</v>
      </c>
      <c r="E603" s="219" t="s">
        <v>611</v>
      </c>
      <c r="F603" s="218" t="s">
        <v>886</v>
      </c>
      <c r="G603" s="218" t="s">
        <v>156</v>
      </c>
      <c r="H603" s="93">
        <v>80111600</v>
      </c>
      <c r="I603" s="220">
        <v>3</v>
      </c>
      <c r="J603" s="220">
        <v>8</v>
      </c>
      <c r="K603" s="52">
        <v>0</v>
      </c>
      <c r="L603" s="53">
        <v>26240000</v>
      </c>
      <c r="M603" s="218" t="s">
        <v>465</v>
      </c>
      <c r="N603" s="53" t="s">
        <v>113</v>
      </c>
      <c r="O603" s="219" t="s">
        <v>224</v>
      </c>
      <c r="P603" s="221" t="str">
        <f>IFERROR(VLOOKUP(C603,TD!$B$33:$F$37,2,0)," ")</f>
        <v>O230117</v>
      </c>
      <c r="Q603" s="221" t="str">
        <f>IFERROR(VLOOKUP(C603,TD!$B$33:$F$37,3,0)," ")</f>
        <v>4503</v>
      </c>
      <c r="R603" s="221">
        <f>IFERROR(VLOOKUP(C603,TD!$B$33:$F$37,4,0)," ")</f>
        <v>20240255</v>
      </c>
      <c r="S603" s="219" t="s">
        <v>191</v>
      </c>
      <c r="T603" s="221" t="str">
        <f>IFERROR(VLOOKUP(S603,TD!$J$34:$K$44,2,0)," ")</f>
        <v>Servicio de apoyo   logístico  en eventos operativos y/o emergencias.</v>
      </c>
      <c r="U603" s="222" t="str">
        <f t="shared" si="38"/>
        <v>12-Servicio de apoyo   logístico  en eventos operativos y/o emergencias.</v>
      </c>
      <c r="V603" s="219" t="s">
        <v>232</v>
      </c>
      <c r="W603" s="221" t="str">
        <f>IFERROR(VLOOKUP(V603,TD!$N$34:$O$46,2,0)," ")</f>
        <v>Servicio de atención a emergencias y desastres</v>
      </c>
      <c r="X603" s="222" t="str">
        <f t="shared" si="39"/>
        <v>004_Servicio de atención a emergencias y desastres</v>
      </c>
      <c r="Y603" s="222" t="str">
        <f t="shared" si="40"/>
        <v>12-Servicio de apoyo   logístico  en eventos operativos y/o emergencias. 004_Servicio de atención a emergencias y desastres</v>
      </c>
      <c r="Z603" s="221" t="str">
        <f t="shared" si="41"/>
        <v>O23011745032024025512004</v>
      </c>
      <c r="AA603" s="221" t="str">
        <f>IFERROR(VLOOKUP(Y603,TD!$K$47:$L$65,2,0)," ")</f>
        <v>PM/0131/0112/45030040255</v>
      </c>
      <c r="AB603" s="53" t="s">
        <v>138</v>
      </c>
      <c r="AC603" s="223" t="s">
        <v>204</v>
      </c>
    </row>
    <row r="604" spans="2:29" s="28" customFormat="1" ht="99" customHeight="1" x14ac:dyDescent="0.35">
      <c r="B604" s="77">
        <v>20250610</v>
      </c>
      <c r="C604" s="50" t="s">
        <v>209</v>
      </c>
      <c r="D604" s="218" t="s">
        <v>168</v>
      </c>
      <c r="E604" s="219" t="s">
        <v>611</v>
      </c>
      <c r="F604" s="218" t="s">
        <v>886</v>
      </c>
      <c r="G604" s="218" t="s">
        <v>156</v>
      </c>
      <c r="H604" s="93">
        <v>80111600</v>
      </c>
      <c r="I604" s="220">
        <v>3</v>
      </c>
      <c r="J604" s="220">
        <v>8</v>
      </c>
      <c r="K604" s="52">
        <v>0</v>
      </c>
      <c r="L604" s="53">
        <v>26240000</v>
      </c>
      <c r="M604" s="218" t="s">
        <v>465</v>
      </c>
      <c r="N604" s="53" t="s">
        <v>113</v>
      </c>
      <c r="O604" s="219" t="s">
        <v>224</v>
      </c>
      <c r="P604" s="221" t="str">
        <f>IFERROR(VLOOKUP(C604,TD!$B$33:$F$37,2,0)," ")</f>
        <v>O230117</v>
      </c>
      <c r="Q604" s="221" t="str">
        <f>IFERROR(VLOOKUP(C604,TD!$B$33:$F$37,3,0)," ")</f>
        <v>4503</v>
      </c>
      <c r="R604" s="221">
        <f>IFERROR(VLOOKUP(C604,TD!$B$33:$F$37,4,0)," ")</f>
        <v>20240255</v>
      </c>
      <c r="S604" s="219" t="s">
        <v>191</v>
      </c>
      <c r="T604" s="221" t="str">
        <f>IFERROR(VLOOKUP(S604,TD!$J$34:$K$44,2,0)," ")</f>
        <v>Servicio de apoyo   logístico  en eventos operativos y/o emergencias.</v>
      </c>
      <c r="U604" s="222" t="str">
        <f t="shared" si="38"/>
        <v>12-Servicio de apoyo   logístico  en eventos operativos y/o emergencias.</v>
      </c>
      <c r="V604" s="219" t="s">
        <v>232</v>
      </c>
      <c r="W604" s="221" t="str">
        <f>IFERROR(VLOOKUP(V604,TD!$N$34:$O$46,2,0)," ")</f>
        <v>Servicio de atención a emergencias y desastres</v>
      </c>
      <c r="X604" s="222" t="str">
        <f t="shared" si="39"/>
        <v>004_Servicio de atención a emergencias y desastres</v>
      </c>
      <c r="Y604" s="222" t="str">
        <f t="shared" si="40"/>
        <v>12-Servicio de apoyo   logístico  en eventos operativos y/o emergencias. 004_Servicio de atención a emergencias y desastres</v>
      </c>
      <c r="Z604" s="221" t="str">
        <f t="shared" si="41"/>
        <v>O23011745032024025512004</v>
      </c>
      <c r="AA604" s="221" t="str">
        <f>IFERROR(VLOOKUP(Y604,TD!$K$47:$L$65,2,0)," ")</f>
        <v>PM/0131/0112/45030040255</v>
      </c>
      <c r="AB604" s="53" t="s">
        <v>138</v>
      </c>
      <c r="AC604" s="223" t="s">
        <v>204</v>
      </c>
    </row>
    <row r="605" spans="2:29" s="28" customFormat="1" ht="99" customHeight="1" x14ac:dyDescent="0.35">
      <c r="B605" s="77">
        <v>20250611</v>
      </c>
      <c r="C605" s="50" t="s">
        <v>209</v>
      </c>
      <c r="D605" s="218" t="s">
        <v>168</v>
      </c>
      <c r="E605" s="219" t="s">
        <v>611</v>
      </c>
      <c r="F605" s="218" t="s">
        <v>886</v>
      </c>
      <c r="G605" s="218" t="s">
        <v>156</v>
      </c>
      <c r="H605" s="93">
        <v>80111600</v>
      </c>
      <c r="I605" s="220">
        <v>3</v>
      </c>
      <c r="J605" s="220">
        <v>8</v>
      </c>
      <c r="K605" s="52">
        <v>0</v>
      </c>
      <c r="L605" s="53">
        <v>26240000</v>
      </c>
      <c r="M605" s="218" t="s">
        <v>465</v>
      </c>
      <c r="N605" s="53" t="s">
        <v>113</v>
      </c>
      <c r="O605" s="219" t="s">
        <v>224</v>
      </c>
      <c r="P605" s="221" t="str">
        <f>IFERROR(VLOOKUP(C605,TD!$B$33:$F$37,2,0)," ")</f>
        <v>O230117</v>
      </c>
      <c r="Q605" s="221" t="str">
        <f>IFERROR(VLOOKUP(C605,TD!$B$33:$F$37,3,0)," ")</f>
        <v>4503</v>
      </c>
      <c r="R605" s="221">
        <f>IFERROR(VLOOKUP(C605,TD!$B$33:$F$37,4,0)," ")</f>
        <v>20240255</v>
      </c>
      <c r="S605" s="219" t="s">
        <v>191</v>
      </c>
      <c r="T605" s="221" t="str">
        <f>IFERROR(VLOOKUP(S605,TD!$J$34:$K$44,2,0)," ")</f>
        <v>Servicio de apoyo   logístico  en eventos operativos y/o emergencias.</v>
      </c>
      <c r="U605" s="222" t="str">
        <f t="shared" si="38"/>
        <v>12-Servicio de apoyo   logístico  en eventos operativos y/o emergencias.</v>
      </c>
      <c r="V605" s="219" t="s">
        <v>232</v>
      </c>
      <c r="W605" s="221" t="str">
        <f>IFERROR(VLOOKUP(V605,TD!$N$34:$O$46,2,0)," ")</f>
        <v>Servicio de atención a emergencias y desastres</v>
      </c>
      <c r="X605" s="222" t="str">
        <f t="shared" si="39"/>
        <v>004_Servicio de atención a emergencias y desastres</v>
      </c>
      <c r="Y605" s="222" t="str">
        <f t="shared" si="40"/>
        <v>12-Servicio de apoyo   logístico  en eventos operativos y/o emergencias. 004_Servicio de atención a emergencias y desastres</v>
      </c>
      <c r="Z605" s="221" t="str">
        <f t="shared" si="41"/>
        <v>O23011745032024025512004</v>
      </c>
      <c r="AA605" s="221" t="str">
        <f>IFERROR(VLOOKUP(Y605,TD!$K$47:$L$65,2,0)," ")</f>
        <v>PM/0131/0112/45030040255</v>
      </c>
      <c r="AB605" s="53" t="s">
        <v>138</v>
      </c>
      <c r="AC605" s="223" t="s">
        <v>204</v>
      </c>
    </row>
    <row r="606" spans="2:29" s="28" customFormat="1" ht="99" customHeight="1" x14ac:dyDescent="0.35">
      <c r="B606" s="77">
        <v>20250612</v>
      </c>
      <c r="C606" s="50" t="s">
        <v>208</v>
      </c>
      <c r="D606" s="218" t="s">
        <v>162</v>
      </c>
      <c r="E606" s="219" t="s">
        <v>355</v>
      </c>
      <c r="F606" s="218" t="s">
        <v>778</v>
      </c>
      <c r="G606" s="218" t="s">
        <v>154</v>
      </c>
      <c r="H606" s="93">
        <v>81112217</v>
      </c>
      <c r="I606" s="220">
        <v>1</v>
      </c>
      <c r="J606" s="220">
        <v>6</v>
      </c>
      <c r="K606" s="52">
        <v>0</v>
      </c>
      <c r="L606" s="53">
        <v>6000000</v>
      </c>
      <c r="M606" s="218" t="s">
        <v>465</v>
      </c>
      <c r="N606" s="53" t="s">
        <v>113</v>
      </c>
      <c r="O606" s="219" t="s">
        <v>215</v>
      </c>
      <c r="P606" s="221" t="str">
        <f>IFERROR(VLOOKUP(C606,TD!$B$33:$F$37,2,0)," ")</f>
        <v>O230117</v>
      </c>
      <c r="Q606" s="221" t="str">
        <f>IFERROR(VLOOKUP(C606,TD!$B$33:$F$37,3,0)," ")</f>
        <v>4599</v>
      </c>
      <c r="R606" s="221">
        <f>IFERROR(VLOOKUP(C606,TD!$B$33:$F$37,4,0)," ")</f>
        <v>20240207</v>
      </c>
      <c r="S606" s="219" t="s">
        <v>179</v>
      </c>
      <c r="T606" s="221" t="str">
        <f>IFERROR(VLOOKUP(S606,TD!$J$34:$K$44,2,0)," ")</f>
        <v>Infraestructura Tecnológica   (Sistemas de Información y Tecnologia)</v>
      </c>
      <c r="U606" s="222" t="str">
        <f t="shared" si="38"/>
        <v>11-Infraestructura Tecnológica   (Sistemas de Información y Tecnologia)</v>
      </c>
      <c r="V606" s="219" t="s">
        <v>239</v>
      </c>
      <c r="W606" s="221" t="str">
        <f>IFERROR(VLOOKUP(V606,TD!$N$34:$O$46,2,0)," ")</f>
        <v>Servicios tecnológicos</v>
      </c>
      <c r="X606" s="222" t="str">
        <f t="shared" si="39"/>
        <v>007_Servicios tecnológicos</v>
      </c>
      <c r="Y606" s="222" t="str">
        <f t="shared" si="40"/>
        <v>11-Infraestructura Tecnológica   (Sistemas de Información y Tecnologia) 007_Servicios tecnológicos</v>
      </c>
      <c r="Z606" s="221" t="str">
        <f t="shared" si="41"/>
        <v>O23011745992024020711007</v>
      </c>
      <c r="AA606" s="221" t="str">
        <f>IFERROR(VLOOKUP(Y606,TD!$K$47:$L$65,2,0)," ")</f>
        <v>PM/0131/0111/45990070207</v>
      </c>
      <c r="AB606" s="53" t="s">
        <v>130</v>
      </c>
      <c r="AC606" s="223" t="s">
        <v>204</v>
      </c>
    </row>
    <row r="607" spans="2:29" s="28" customFormat="1" ht="99" customHeight="1" x14ac:dyDescent="0.35">
      <c r="B607" s="77">
        <v>20250613</v>
      </c>
      <c r="C607" s="50" t="s">
        <v>208</v>
      </c>
      <c r="D607" s="218" t="s">
        <v>162</v>
      </c>
      <c r="E607" s="219" t="s">
        <v>355</v>
      </c>
      <c r="F607" s="218" t="s">
        <v>779</v>
      </c>
      <c r="G607" s="218" t="s">
        <v>154</v>
      </c>
      <c r="H607" s="93">
        <v>46171619</v>
      </c>
      <c r="I607" s="220">
        <v>10</v>
      </c>
      <c r="J607" s="220">
        <v>2</v>
      </c>
      <c r="K607" s="52">
        <v>0</v>
      </c>
      <c r="L607" s="53">
        <v>60000000</v>
      </c>
      <c r="M607" s="218" t="s">
        <v>465</v>
      </c>
      <c r="N607" s="53" t="s">
        <v>123</v>
      </c>
      <c r="O607" s="219" t="s">
        <v>215</v>
      </c>
      <c r="P607" s="221" t="str">
        <f>IFERROR(VLOOKUP(C607,TD!$B$33:$F$37,2,0)," ")</f>
        <v>O230117</v>
      </c>
      <c r="Q607" s="221" t="str">
        <f>IFERROR(VLOOKUP(C607,TD!$B$33:$F$37,3,0)," ")</f>
        <v>4599</v>
      </c>
      <c r="R607" s="221">
        <f>IFERROR(VLOOKUP(C607,TD!$B$33:$F$37,4,0)," ")</f>
        <v>20240207</v>
      </c>
      <c r="S607" s="219" t="s">
        <v>179</v>
      </c>
      <c r="T607" s="221" t="str">
        <f>IFERROR(VLOOKUP(S607,TD!$J$34:$K$44,2,0)," ")</f>
        <v>Infraestructura Tecnológica   (Sistemas de Información y Tecnologia)</v>
      </c>
      <c r="U607" s="222" t="str">
        <f t="shared" si="38"/>
        <v>11-Infraestructura Tecnológica   (Sistemas de Información y Tecnologia)</v>
      </c>
      <c r="V607" s="219" t="s">
        <v>239</v>
      </c>
      <c r="W607" s="221" t="str">
        <f>IFERROR(VLOOKUP(V607,TD!$N$34:$O$46,2,0)," ")</f>
        <v>Servicios tecnológicos</v>
      </c>
      <c r="X607" s="222" t="str">
        <f t="shared" si="39"/>
        <v>007_Servicios tecnológicos</v>
      </c>
      <c r="Y607" s="222" t="str">
        <f t="shared" si="40"/>
        <v>11-Infraestructura Tecnológica   (Sistemas de Información y Tecnologia) 007_Servicios tecnológicos</v>
      </c>
      <c r="Z607" s="221" t="str">
        <f t="shared" si="41"/>
        <v>O23011745992024020711007</v>
      </c>
      <c r="AA607" s="221" t="str">
        <f>IFERROR(VLOOKUP(Y607,TD!$K$47:$L$65,2,0)," ")</f>
        <v>PM/0131/0111/45990070207</v>
      </c>
      <c r="AB607" s="53" t="s">
        <v>130</v>
      </c>
      <c r="AC607" s="223" t="s">
        <v>204</v>
      </c>
    </row>
    <row r="608" spans="2:29" s="28" customFormat="1" ht="99" customHeight="1" x14ac:dyDescent="0.35">
      <c r="B608" s="77">
        <v>20250614</v>
      </c>
      <c r="C608" s="50" t="s">
        <v>208</v>
      </c>
      <c r="D608" s="218" t="s">
        <v>162</v>
      </c>
      <c r="E608" s="219" t="s">
        <v>355</v>
      </c>
      <c r="F608" s="218" t="s">
        <v>780</v>
      </c>
      <c r="G608" s="218" t="s">
        <v>155</v>
      </c>
      <c r="H608" s="93">
        <v>80111600</v>
      </c>
      <c r="I608" s="220">
        <v>2</v>
      </c>
      <c r="J608" s="220">
        <v>11</v>
      </c>
      <c r="K608" s="52">
        <v>0</v>
      </c>
      <c r="L608" s="53">
        <v>49500000</v>
      </c>
      <c r="M608" s="218" t="s">
        <v>465</v>
      </c>
      <c r="N608" s="53" t="s">
        <v>113</v>
      </c>
      <c r="O608" s="219" t="s">
        <v>215</v>
      </c>
      <c r="P608" s="221" t="str">
        <f>IFERROR(VLOOKUP(C608,TD!$B$33:$F$37,2,0)," ")</f>
        <v>O230117</v>
      </c>
      <c r="Q608" s="221" t="str">
        <f>IFERROR(VLOOKUP(C608,TD!$B$33:$F$37,3,0)," ")</f>
        <v>4599</v>
      </c>
      <c r="R608" s="221">
        <f>IFERROR(VLOOKUP(C608,TD!$B$33:$F$37,4,0)," ")</f>
        <v>20240207</v>
      </c>
      <c r="S608" s="219" t="s">
        <v>179</v>
      </c>
      <c r="T608" s="221" t="str">
        <f>IFERROR(VLOOKUP(S608,TD!$J$34:$K$44,2,0)," ")</f>
        <v>Infraestructura Tecnológica   (Sistemas de Información y Tecnologia)</v>
      </c>
      <c r="U608" s="222" t="str">
        <f t="shared" si="38"/>
        <v>11-Infraestructura Tecnológica   (Sistemas de Información y Tecnologia)</v>
      </c>
      <c r="V608" s="219" t="s">
        <v>239</v>
      </c>
      <c r="W608" s="221" t="str">
        <f>IFERROR(VLOOKUP(V608,TD!$N$34:$O$46,2,0)," ")</f>
        <v>Servicios tecnológicos</v>
      </c>
      <c r="X608" s="222" t="str">
        <f t="shared" si="39"/>
        <v>007_Servicios tecnológicos</v>
      </c>
      <c r="Y608" s="222" t="str">
        <f t="shared" si="40"/>
        <v>11-Infraestructura Tecnológica   (Sistemas de Información y Tecnologia) 007_Servicios tecnológicos</v>
      </c>
      <c r="Z608" s="221" t="str">
        <f t="shared" si="41"/>
        <v>O23011745992024020711007</v>
      </c>
      <c r="AA608" s="221" t="str">
        <f>IFERROR(VLOOKUP(Y608,TD!$K$47:$L$65,2,0)," ")</f>
        <v>PM/0131/0111/45990070207</v>
      </c>
      <c r="AB608" s="53" t="s">
        <v>138</v>
      </c>
      <c r="AC608" s="223" t="s">
        <v>204</v>
      </c>
    </row>
    <row r="609" spans="2:29" s="28" customFormat="1" ht="99" customHeight="1" x14ac:dyDescent="0.35">
      <c r="B609" s="77">
        <v>20250617</v>
      </c>
      <c r="C609" s="50" t="s">
        <v>208</v>
      </c>
      <c r="D609" s="218" t="s">
        <v>162</v>
      </c>
      <c r="E609" s="219" t="s">
        <v>355</v>
      </c>
      <c r="F609" s="218" t="s">
        <v>818</v>
      </c>
      <c r="G609" s="218" t="s">
        <v>155</v>
      </c>
      <c r="H609" s="93">
        <v>80111600</v>
      </c>
      <c r="I609" s="220">
        <v>2</v>
      </c>
      <c r="J609" s="220">
        <v>7</v>
      </c>
      <c r="K609" s="52">
        <v>0</v>
      </c>
      <c r="L609" s="53">
        <v>49000000</v>
      </c>
      <c r="M609" s="218" t="s">
        <v>465</v>
      </c>
      <c r="N609" s="53" t="s">
        <v>113</v>
      </c>
      <c r="O609" s="219" t="s">
        <v>215</v>
      </c>
      <c r="P609" s="221" t="str">
        <f>IFERROR(VLOOKUP(C609,TD!$B$33:$F$37,2,0)," ")</f>
        <v>O230117</v>
      </c>
      <c r="Q609" s="221" t="str">
        <f>IFERROR(VLOOKUP(C609,TD!$B$33:$F$37,3,0)," ")</f>
        <v>4599</v>
      </c>
      <c r="R609" s="221">
        <f>IFERROR(VLOOKUP(C609,TD!$B$33:$F$37,4,0)," ")</f>
        <v>20240207</v>
      </c>
      <c r="S609" s="219" t="s">
        <v>179</v>
      </c>
      <c r="T609" s="221" t="str">
        <f>IFERROR(VLOOKUP(S609,TD!$J$34:$K$44,2,0)," ")</f>
        <v>Infraestructura Tecnológica   (Sistemas de Información y Tecnologia)</v>
      </c>
      <c r="U609" s="222" t="str">
        <f t="shared" si="38"/>
        <v>11-Infraestructura Tecnológica   (Sistemas de Información y Tecnologia)</v>
      </c>
      <c r="V609" s="219" t="s">
        <v>239</v>
      </c>
      <c r="W609" s="221" t="str">
        <f>IFERROR(VLOOKUP(V609,TD!$N$34:$O$46,2,0)," ")</f>
        <v>Servicios tecnológicos</v>
      </c>
      <c r="X609" s="222" t="str">
        <f t="shared" si="39"/>
        <v>007_Servicios tecnológicos</v>
      </c>
      <c r="Y609" s="222" t="str">
        <f t="shared" si="40"/>
        <v>11-Infraestructura Tecnológica   (Sistemas de Información y Tecnologia) 007_Servicios tecnológicos</v>
      </c>
      <c r="Z609" s="221" t="str">
        <f t="shared" si="41"/>
        <v>O23011745992024020711007</v>
      </c>
      <c r="AA609" s="221" t="str">
        <f>IFERROR(VLOOKUP(Y609,TD!$K$47:$L$65,2,0)," ")</f>
        <v>PM/0131/0111/45990070207</v>
      </c>
      <c r="AB609" s="53" t="s">
        <v>120</v>
      </c>
      <c r="AC609" s="223" t="s">
        <v>204</v>
      </c>
    </row>
    <row r="610" spans="2:29" s="28" customFormat="1" ht="99" customHeight="1" x14ac:dyDescent="0.35">
      <c r="B610" s="77">
        <v>20250618</v>
      </c>
      <c r="C610" s="50" t="s">
        <v>208</v>
      </c>
      <c r="D610" s="218" t="s">
        <v>162</v>
      </c>
      <c r="E610" s="219" t="s">
        <v>355</v>
      </c>
      <c r="F610" s="218" t="s">
        <v>819</v>
      </c>
      <c r="G610" s="218" t="s">
        <v>155</v>
      </c>
      <c r="H610" s="93">
        <v>80111600</v>
      </c>
      <c r="I610" s="220">
        <v>2</v>
      </c>
      <c r="J610" s="220">
        <v>5</v>
      </c>
      <c r="K610" s="52">
        <v>0</v>
      </c>
      <c r="L610" s="53">
        <v>35000000</v>
      </c>
      <c r="M610" s="218" t="s">
        <v>465</v>
      </c>
      <c r="N610" s="53" t="s">
        <v>113</v>
      </c>
      <c r="O610" s="219" t="s">
        <v>214</v>
      </c>
      <c r="P610" s="221" t="str">
        <f>IFERROR(VLOOKUP(C610,TD!$B$33:$F$37,2,0)," ")</f>
        <v>O230117</v>
      </c>
      <c r="Q610" s="221" t="str">
        <f>IFERROR(VLOOKUP(C610,TD!$B$33:$F$37,3,0)," ")</f>
        <v>4599</v>
      </c>
      <c r="R610" s="221">
        <f>IFERROR(VLOOKUP(C610,TD!$B$33:$F$37,4,0)," ")</f>
        <v>20240207</v>
      </c>
      <c r="S610" s="219" t="s">
        <v>179</v>
      </c>
      <c r="T610" s="221" t="str">
        <f>IFERROR(VLOOKUP(S610,TD!$J$34:$K$44,2,0)," ")</f>
        <v>Infraestructura Tecnológica   (Sistemas de Información y Tecnologia)</v>
      </c>
      <c r="U610" s="222" t="str">
        <f t="shared" si="38"/>
        <v>11-Infraestructura Tecnológica   (Sistemas de Información y Tecnologia)</v>
      </c>
      <c r="V610" s="219" t="s">
        <v>239</v>
      </c>
      <c r="W610" s="221" t="str">
        <f>IFERROR(VLOOKUP(V610,TD!$N$34:$O$46,2,0)," ")</f>
        <v>Servicios tecnológicos</v>
      </c>
      <c r="X610" s="222" t="str">
        <f t="shared" si="39"/>
        <v>007_Servicios tecnológicos</v>
      </c>
      <c r="Y610" s="222" t="str">
        <f t="shared" si="40"/>
        <v>11-Infraestructura Tecnológica   (Sistemas de Información y Tecnologia) 007_Servicios tecnológicos</v>
      </c>
      <c r="Z610" s="221" t="str">
        <f t="shared" si="41"/>
        <v>O23011745992024020711007</v>
      </c>
      <c r="AA610" s="221" t="str">
        <f>IFERROR(VLOOKUP(Y610,TD!$K$47:$L$65,2,0)," ")</f>
        <v>PM/0131/0111/45990070207</v>
      </c>
      <c r="AB610" s="53" t="s">
        <v>138</v>
      </c>
      <c r="AC610" s="223" t="s">
        <v>204</v>
      </c>
    </row>
    <row r="611" spans="2:29" s="28" customFormat="1" ht="99" customHeight="1" x14ac:dyDescent="0.35">
      <c r="B611" s="77">
        <v>20250619</v>
      </c>
      <c r="C611" s="50" t="s">
        <v>208</v>
      </c>
      <c r="D611" s="218" t="s">
        <v>162</v>
      </c>
      <c r="E611" s="219" t="s">
        <v>355</v>
      </c>
      <c r="F611" s="218" t="s">
        <v>820</v>
      </c>
      <c r="G611" s="218" t="s">
        <v>96</v>
      </c>
      <c r="H611" s="93">
        <v>81112006</v>
      </c>
      <c r="I611" s="220">
        <v>2</v>
      </c>
      <c r="J611" s="220">
        <v>4</v>
      </c>
      <c r="K611" s="52">
        <v>0</v>
      </c>
      <c r="L611" s="53">
        <v>7000000</v>
      </c>
      <c r="M611" s="218" t="s">
        <v>465</v>
      </c>
      <c r="N611" s="53" t="s">
        <v>123</v>
      </c>
      <c r="O611" s="219" t="s">
        <v>214</v>
      </c>
      <c r="P611" s="221" t="str">
        <f>IFERROR(VLOOKUP(C611,TD!$B$33:$F$37,2,0)," ")</f>
        <v>O230117</v>
      </c>
      <c r="Q611" s="221" t="str">
        <f>IFERROR(VLOOKUP(C611,TD!$B$33:$F$37,3,0)," ")</f>
        <v>4599</v>
      </c>
      <c r="R611" s="221">
        <f>IFERROR(VLOOKUP(C611,TD!$B$33:$F$37,4,0)," ")</f>
        <v>20240207</v>
      </c>
      <c r="S611" s="219" t="s">
        <v>179</v>
      </c>
      <c r="T611" s="221" t="str">
        <f>IFERROR(VLOOKUP(S611,TD!$J$34:$K$44,2,0)," ")</f>
        <v>Infraestructura Tecnológica   (Sistemas de Información y Tecnologia)</v>
      </c>
      <c r="U611" s="222" t="str">
        <f t="shared" si="38"/>
        <v>11-Infraestructura Tecnológica   (Sistemas de Información y Tecnologia)</v>
      </c>
      <c r="V611" s="219" t="s">
        <v>239</v>
      </c>
      <c r="W611" s="221" t="str">
        <f>IFERROR(VLOOKUP(V611,TD!$N$34:$O$46,2,0)," ")</f>
        <v>Servicios tecnológicos</v>
      </c>
      <c r="X611" s="222" t="str">
        <f t="shared" si="39"/>
        <v>007_Servicios tecnológicos</v>
      </c>
      <c r="Y611" s="222" t="str">
        <f t="shared" si="40"/>
        <v>11-Infraestructura Tecnológica   (Sistemas de Información y Tecnologia) 007_Servicios tecnológicos</v>
      </c>
      <c r="Z611" s="221" t="str">
        <f t="shared" si="41"/>
        <v>O23011745992024020711007</v>
      </c>
      <c r="AA611" s="221" t="str">
        <f>IFERROR(VLOOKUP(Y611,TD!$K$47:$L$65,2,0)," ")</f>
        <v>PM/0131/0111/45990070207</v>
      </c>
      <c r="AB611" s="53" t="s">
        <v>125</v>
      </c>
      <c r="AC611" s="223" t="s">
        <v>205</v>
      </c>
    </row>
    <row r="612" spans="2:29" s="28" customFormat="1" ht="99" customHeight="1" x14ac:dyDescent="0.35">
      <c r="B612" s="130">
        <v>20250620</v>
      </c>
      <c r="C612" s="132" t="s">
        <v>208</v>
      </c>
      <c r="D612" s="224" t="s">
        <v>162</v>
      </c>
      <c r="E612" s="225" t="s">
        <v>355</v>
      </c>
      <c r="F612" s="224" t="s">
        <v>821</v>
      </c>
      <c r="G612" s="224" t="s">
        <v>149</v>
      </c>
      <c r="H612" s="133" t="s">
        <v>822</v>
      </c>
      <c r="I612" s="226">
        <v>4</v>
      </c>
      <c r="J612" s="226">
        <v>12</v>
      </c>
      <c r="K612" s="129">
        <v>0</v>
      </c>
      <c r="L612" s="128">
        <v>54997754</v>
      </c>
      <c r="M612" s="224" t="s">
        <v>465</v>
      </c>
      <c r="N612" s="128" t="s">
        <v>113</v>
      </c>
      <c r="O612" s="225" t="s">
        <v>214</v>
      </c>
      <c r="P612" s="227" t="str">
        <f>IFERROR(VLOOKUP(C612,TD!$B$33:$F$37,2,0)," ")</f>
        <v>O230117</v>
      </c>
      <c r="Q612" s="227" t="str">
        <f>IFERROR(VLOOKUP(C612,TD!$B$33:$F$37,3,0)," ")</f>
        <v>4599</v>
      </c>
      <c r="R612" s="227">
        <f>IFERROR(VLOOKUP(C612,TD!$B$33:$F$37,4,0)," ")</f>
        <v>20240207</v>
      </c>
      <c r="S612" s="225" t="s">
        <v>179</v>
      </c>
      <c r="T612" s="227" t="str">
        <f>IFERROR(VLOOKUP(S612,TD!$J$34:$K$44,2,0)," ")</f>
        <v>Infraestructura Tecnológica   (Sistemas de Información y Tecnologia)</v>
      </c>
      <c r="U612" s="222" t="str">
        <f t="shared" si="38"/>
        <v>11-Infraestructura Tecnológica   (Sistemas de Información y Tecnologia)</v>
      </c>
      <c r="V612" s="225" t="s">
        <v>239</v>
      </c>
      <c r="W612" s="227" t="str">
        <f>IFERROR(VLOOKUP(V612,TD!$N$34:$O$46,2,0)," ")</f>
        <v>Servicios tecnológicos</v>
      </c>
      <c r="X612" s="222" t="str">
        <f t="shared" si="39"/>
        <v>007_Servicios tecnológicos</v>
      </c>
      <c r="Y612" s="222" t="str">
        <f t="shared" si="40"/>
        <v>11-Infraestructura Tecnológica   (Sistemas de Información y Tecnologia) 007_Servicios tecnológicos</v>
      </c>
      <c r="Z612" s="227" t="str">
        <f t="shared" si="41"/>
        <v>O23011745992024020711007</v>
      </c>
      <c r="AA612" s="227" t="str">
        <f>IFERROR(VLOOKUP(Y612,TD!$K$47:$L$65,2,0)," ")</f>
        <v>PM/0131/0111/45990070207</v>
      </c>
      <c r="AB612" s="128" t="s">
        <v>130</v>
      </c>
      <c r="AC612" s="228" t="s">
        <v>204</v>
      </c>
    </row>
    <row r="613" spans="2:29" s="28" customFormat="1" ht="99" customHeight="1" x14ac:dyDescent="0.35">
      <c r="B613" s="130">
        <v>20250621</v>
      </c>
      <c r="C613" s="132" t="s">
        <v>208</v>
      </c>
      <c r="D613" s="224" t="s">
        <v>166</v>
      </c>
      <c r="E613" s="225" t="s">
        <v>565</v>
      </c>
      <c r="F613" s="224" t="s">
        <v>823</v>
      </c>
      <c r="G613" s="224" t="s">
        <v>155</v>
      </c>
      <c r="H613" s="133">
        <v>80111600</v>
      </c>
      <c r="I613" s="226">
        <v>0</v>
      </c>
      <c r="J613" s="226">
        <v>0</v>
      </c>
      <c r="K613" s="129">
        <v>0</v>
      </c>
      <c r="L613" s="128">
        <f>363652525+60000025+35500000+15500000+125000000+395000000+100000000</f>
        <v>1094652550</v>
      </c>
      <c r="M613" s="224" t="s">
        <v>465</v>
      </c>
      <c r="N613" s="128" t="s">
        <v>113</v>
      </c>
      <c r="O613" s="225" t="s">
        <v>219</v>
      </c>
      <c r="P613" s="227" t="str">
        <f>IFERROR(VLOOKUP(C613,TD!$B$33:$F$37,2,0)," ")</f>
        <v>O230117</v>
      </c>
      <c r="Q613" s="227" t="str">
        <f>IFERROR(VLOOKUP(C613,TD!$B$33:$F$37,3,0)," ")</f>
        <v>4599</v>
      </c>
      <c r="R613" s="227">
        <f>IFERROR(VLOOKUP(C613,TD!$B$33:$F$37,4,0)," ")</f>
        <v>20240207</v>
      </c>
      <c r="S613" s="225" t="s">
        <v>185</v>
      </c>
      <c r="T613" s="227" t="str">
        <f>IFERROR(VLOOKUP(S613,TD!$J$34:$K$44,2,0)," ")</f>
        <v>Infraestructura física, mantenimiento y dotación (Sedes construidas, mantenidas reforzadas)</v>
      </c>
      <c r="U613" s="222" t="str">
        <f t="shared" si="38"/>
        <v>08-Infraestructura física, mantenimiento y dotación (Sedes construidas, mantenidas reforzadas)</v>
      </c>
      <c r="V613" s="225" t="s">
        <v>238</v>
      </c>
      <c r="W613" s="227" t="str">
        <f>IFERROR(VLOOKUP(V613,TD!$N$34:$O$46,2,0)," ")</f>
        <v>Sedes mantenidas</v>
      </c>
      <c r="X613" s="222" t="str">
        <f t="shared" si="39"/>
        <v>016_Sedes mantenidas</v>
      </c>
      <c r="Y613" s="222" t="str">
        <f t="shared" si="40"/>
        <v>08-Infraestructura física, mantenimiento y dotación (Sedes construidas, mantenidas reforzadas) 016_Sedes mantenidas</v>
      </c>
      <c r="Z613" s="227" t="str">
        <f t="shared" si="41"/>
        <v>O23011745992024020708016</v>
      </c>
      <c r="AA613" s="227" t="str">
        <f>IFERROR(VLOOKUP(Y613,TD!$K$47:$L$65,2,0)," ")</f>
        <v>PM/0131/0108/45990160207</v>
      </c>
      <c r="AB613" s="128" t="s">
        <v>138</v>
      </c>
      <c r="AC613" s="228" t="s">
        <v>205</v>
      </c>
    </row>
    <row r="614" spans="2:29" s="28" customFormat="1" ht="99" customHeight="1" x14ac:dyDescent="0.35">
      <c r="B614" s="77">
        <v>20250623</v>
      </c>
      <c r="C614" s="50" t="s">
        <v>208</v>
      </c>
      <c r="D614" s="218" t="s">
        <v>36</v>
      </c>
      <c r="E614" s="219" t="s">
        <v>378</v>
      </c>
      <c r="F614" s="218" t="s">
        <v>825</v>
      </c>
      <c r="G614" s="218" t="s">
        <v>156</v>
      </c>
      <c r="H614" s="93">
        <v>80111600</v>
      </c>
      <c r="I614" s="220">
        <v>3</v>
      </c>
      <c r="J614" s="220">
        <v>10</v>
      </c>
      <c r="K614" s="52">
        <v>0</v>
      </c>
      <c r="L614" s="53">
        <v>100000000</v>
      </c>
      <c r="M614" s="218" t="s">
        <v>465</v>
      </c>
      <c r="N614" s="53" t="s">
        <v>113</v>
      </c>
      <c r="O614" s="219" t="s">
        <v>212</v>
      </c>
      <c r="P614" s="221" t="str">
        <f>IFERROR(VLOOKUP(C614,TD!$B$33:$F$37,2,0)," ")</f>
        <v>O230117</v>
      </c>
      <c r="Q614" s="221" t="str">
        <f>IFERROR(VLOOKUP(C614,TD!$B$33:$F$37,3,0)," ")</f>
        <v>4599</v>
      </c>
      <c r="R614" s="221">
        <f>IFERROR(VLOOKUP(C614,TD!$B$33:$F$37,4,0)," ")</f>
        <v>20240207</v>
      </c>
      <c r="S614" s="219" t="s">
        <v>193</v>
      </c>
      <c r="T614" s="221" t="str">
        <f>IFERROR(VLOOKUP(S614,TD!$J$34:$K$44,2,0)," ")</f>
        <v>Servicios para la planeación y sistemas de gestión y comunicación estratégica</v>
      </c>
      <c r="U614" s="222" t="str">
        <f t="shared" si="38"/>
        <v>13-Servicios para la planeación y sistemas de gestión y comunicación estratégica</v>
      </c>
      <c r="V614" s="219" t="s">
        <v>241</v>
      </c>
      <c r="W614" s="221" t="str">
        <f>IFERROR(VLOOKUP(V614,TD!$N$34:$O$46,2,0)," ")</f>
        <v>Servicio de Implementación Sistemas de Gestión</v>
      </c>
      <c r="X614" s="222" t="str">
        <f t="shared" si="39"/>
        <v>023_Servicio de Implementación Sistemas de Gestión</v>
      </c>
      <c r="Y614" s="222" t="str">
        <f t="shared" si="40"/>
        <v>13-Servicios para la planeación y sistemas de gestión y comunicación estratégica 023_Servicio de Implementación Sistemas de Gestión</v>
      </c>
      <c r="Z614" s="221" t="str">
        <f t="shared" si="41"/>
        <v>O23011745992024020713023</v>
      </c>
      <c r="AA614" s="221" t="str">
        <f>IFERROR(VLOOKUP(Y614,TD!$K$47:$L$65,2,0)," ")</f>
        <v>PM/0131/0113/45990230207</v>
      </c>
      <c r="AB614" s="53" t="s">
        <v>138</v>
      </c>
      <c r="AC614" s="223" t="s">
        <v>204</v>
      </c>
    </row>
    <row r="615" spans="2:29" s="28" customFormat="1" ht="99" customHeight="1" x14ac:dyDescent="0.35">
      <c r="B615" s="77">
        <v>20250624</v>
      </c>
      <c r="C615" s="50" t="s">
        <v>209</v>
      </c>
      <c r="D615" s="218" t="s">
        <v>165</v>
      </c>
      <c r="E615" s="219" t="s">
        <v>486</v>
      </c>
      <c r="F615" s="218" t="s">
        <v>826</v>
      </c>
      <c r="G615" s="218" t="s">
        <v>156</v>
      </c>
      <c r="H615" s="93">
        <v>80111600</v>
      </c>
      <c r="I615" s="220">
        <v>2</v>
      </c>
      <c r="J615" s="220">
        <v>8</v>
      </c>
      <c r="K615" s="52">
        <v>0</v>
      </c>
      <c r="L615" s="53">
        <v>29600000</v>
      </c>
      <c r="M615" s="218" t="s">
        <v>465</v>
      </c>
      <c r="N615" s="53" t="s">
        <v>113</v>
      </c>
      <c r="O615" s="219" t="s">
        <v>229</v>
      </c>
      <c r="P615" s="221" t="str">
        <f>IFERROR(VLOOKUP(C615,TD!$B$33:$F$37,2,0)," ")</f>
        <v>O230117</v>
      </c>
      <c r="Q615" s="221" t="str">
        <f>IFERROR(VLOOKUP(C615,TD!$B$33:$F$37,3,0)," ")</f>
        <v>4503</v>
      </c>
      <c r="R615" s="221">
        <f>IFERROR(VLOOKUP(C615,TD!$B$33:$F$37,4,0)," ")</f>
        <v>20240255</v>
      </c>
      <c r="S615" s="219" t="s">
        <v>183</v>
      </c>
      <c r="T615" s="221" t="str">
        <f>IFERROR(VLOOKUP(S615,TD!$J$34:$K$44,2,0)," ")</f>
        <v>Servicio de formación en gestión del riesgo de incendios para el personal UAECOB</v>
      </c>
      <c r="U615" s="222" t="str">
        <f t="shared" si="38"/>
        <v>07-Servicio de formación en gestión del riesgo de incendios para el personal UAECOB</v>
      </c>
      <c r="V615" s="219" t="s">
        <v>233</v>
      </c>
      <c r="W615" s="221" t="str">
        <f>IFERROR(VLOOKUP(V615,TD!$N$34:$O$46,2,0)," ")</f>
        <v>Servicio de educación informal</v>
      </c>
      <c r="X615" s="222" t="str">
        <f t="shared" si="39"/>
        <v>002_Servicio de educación informal</v>
      </c>
      <c r="Y615" s="222" t="str">
        <f t="shared" si="40"/>
        <v>07-Servicio de formación en gestión del riesgo de incendios para el personal UAECOB 002_Servicio de educación informal</v>
      </c>
      <c r="Z615" s="221" t="str">
        <f t="shared" si="41"/>
        <v>O23011745032024025507002</v>
      </c>
      <c r="AA615" s="221" t="str">
        <f>IFERROR(VLOOKUP(Y615,TD!$K$47:$L$65,2,0)," ")</f>
        <v>PM/0131/0107/45030020255</v>
      </c>
      <c r="AB615" s="53" t="s">
        <v>138</v>
      </c>
      <c r="AC615" s="223" t="s">
        <v>204</v>
      </c>
    </row>
    <row r="616" spans="2:29" s="28" customFormat="1" ht="99" customHeight="1" x14ac:dyDescent="0.35">
      <c r="B616" s="77">
        <v>20250625</v>
      </c>
      <c r="C616" s="50" t="s">
        <v>209</v>
      </c>
      <c r="D616" s="218" t="s">
        <v>165</v>
      </c>
      <c r="E616" s="219" t="s">
        <v>486</v>
      </c>
      <c r="F616" s="218" t="s">
        <v>827</v>
      </c>
      <c r="G616" s="218" t="s">
        <v>156</v>
      </c>
      <c r="H616" s="93">
        <v>80111600</v>
      </c>
      <c r="I616" s="220">
        <v>2</v>
      </c>
      <c r="J616" s="220">
        <v>8</v>
      </c>
      <c r="K616" s="52">
        <v>0</v>
      </c>
      <c r="L616" s="53">
        <v>29600000</v>
      </c>
      <c r="M616" s="218" t="s">
        <v>465</v>
      </c>
      <c r="N616" s="53" t="s">
        <v>113</v>
      </c>
      <c r="O616" s="219" t="s">
        <v>229</v>
      </c>
      <c r="P616" s="221" t="str">
        <f>IFERROR(VLOOKUP(C616,TD!$B$33:$F$37,2,0)," ")</f>
        <v>O230117</v>
      </c>
      <c r="Q616" s="221" t="str">
        <f>IFERROR(VLOOKUP(C616,TD!$B$33:$F$37,3,0)," ")</f>
        <v>4503</v>
      </c>
      <c r="R616" s="221">
        <f>IFERROR(VLOOKUP(C616,TD!$B$33:$F$37,4,0)," ")</f>
        <v>20240255</v>
      </c>
      <c r="S616" s="219" t="s">
        <v>183</v>
      </c>
      <c r="T616" s="221" t="str">
        <f>IFERROR(VLOOKUP(S616,TD!$J$34:$K$44,2,0)," ")</f>
        <v>Servicio de formación en gestión del riesgo de incendios para el personal UAECOB</v>
      </c>
      <c r="U616" s="222" t="str">
        <f t="shared" si="38"/>
        <v>07-Servicio de formación en gestión del riesgo de incendios para el personal UAECOB</v>
      </c>
      <c r="V616" s="219" t="s">
        <v>233</v>
      </c>
      <c r="W616" s="221" t="str">
        <f>IFERROR(VLOOKUP(V616,TD!$N$34:$O$46,2,0)," ")</f>
        <v>Servicio de educación informal</v>
      </c>
      <c r="X616" s="222" t="str">
        <f t="shared" si="39"/>
        <v>002_Servicio de educación informal</v>
      </c>
      <c r="Y616" s="222" t="str">
        <f t="shared" si="40"/>
        <v>07-Servicio de formación en gestión del riesgo de incendios para el personal UAECOB 002_Servicio de educación informal</v>
      </c>
      <c r="Z616" s="221" t="str">
        <f t="shared" si="41"/>
        <v>O23011745032024025507002</v>
      </c>
      <c r="AA616" s="221" t="str">
        <f>IFERROR(VLOOKUP(Y616,TD!$K$47:$L$65,2,0)," ")</f>
        <v>PM/0131/0107/45030020255</v>
      </c>
      <c r="AB616" s="53" t="s">
        <v>138</v>
      </c>
      <c r="AC616" s="223" t="s">
        <v>204</v>
      </c>
    </row>
    <row r="617" spans="2:29" s="28" customFormat="1" ht="99" customHeight="1" x14ac:dyDescent="0.35">
      <c r="B617" s="77">
        <v>20250626</v>
      </c>
      <c r="C617" s="50" t="s">
        <v>209</v>
      </c>
      <c r="D617" s="218" t="s">
        <v>168</v>
      </c>
      <c r="E617" s="219" t="s">
        <v>611</v>
      </c>
      <c r="F617" s="218" t="s">
        <v>832</v>
      </c>
      <c r="G617" s="218" t="s">
        <v>156</v>
      </c>
      <c r="H617" s="93">
        <v>80111600</v>
      </c>
      <c r="I617" s="220">
        <v>2</v>
      </c>
      <c r="J617" s="220">
        <v>6</v>
      </c>
      <c r="K617" s="52">
        <v>0</v>
      </c>
      <c r="L617" s="53">
        <v>21000000</v>
      </c>
      <c r="M617" s="218" t="s">
        <v>465</v>
      </c>
      <c r="N617" s="53" t="s">
        <v>113</v>
      </c>
      <c r="O617" s="219" t="s">
        <v>224</v>
      </c>
      <c r="P617" s="221" t="str">
        <f>IFERROR(VLOOKUP(C617,TD!$B$33:$F$37,2,0)," ")</f>
        <v>O230117</v>
      </c>
      <c r="Q617" s="221" t="str">
        <f>IFERROR(VLOOKUP(C617,TD!$B$33:$F$37,3,0)," ")</f>
        <v>4503</v>
      </c>
      <c r="R617" s="221">
        <f>IFERROR(VLOOKUP(C617,TD!$B$33:$F$37,4,0)," ")</f>
        <v>20240255</v>
      </c>
      <c r="S617" s="219" t="s">
        <v>191</v>
      </c>
      <c r="T617" s="221" t="str">
        <f>IFERROR(VLOOKUP(S617,TD!$J$34:$K$44,2,0)," ")</f>
        <v>Servicio de apoyo   logístico  en eventos operativos y/o emergencias.</v>
      </c>
      <c r="U617" s="222" t="str">
        <f t="shared" si="38"/>
        <v>12-Servicio de apoyo   logístico  en eventos operativos y/o emergencias.</v>
      </c>
      <c r="V617" s="219" t="s">
        <v>232</v>
      </c>
      <c r="W617" s="221" t="str">
        <f>IFERROR(VLOOKUP(V617,TD!$N$34:$O$46,2,0)," ")</f>
        <v>Servicio de atención a emergencias y desastres</v>
      </c>
      <c r="X617" s="222" t="str">
        <f t="shared" si="39"/>
        <v>004_Servicio de atención a emergencias y desastres</v>
      </c>
      <c r="Y617" s="222" t="str">
        <f t="shared" si="40"/>
        <v>12-Servicio de apoyo   logístico  en eventos operativos y/o emergencias. 004_Servicio de atención a emergencias y desastres</v>
      </c>
      <c r="Z617" s="221" t="str">
        <f t="shared" si="41"/>
        <v>O23011745032024025512004</v>
      </c>
      <c r="AA617" s="221" t="str">
        <f>IFERROR(VLOOKUP(Y617,TD!$K$47:$L$65,2,0)," ")</f>
        <v>PM/0131/0112/45030040255</v>
      </c>
      <c r="AB617" s="53" t="s">
        <v>138</v>
      </c>
      <c r="AC617" s="223" t="s">
        <v>204</v>
      </c>
    </row>
    <row r="618" spans="2:29" s="28" customFormat="1" ht="99" customHeight="1" x14ac:dyDescent="0.35">
      <c r="B618" s="77">
        <v>20250628</v>
      </c>
      <c r="C618" s="50" t="s">
        <v>209</v>
      </c>
      <c r="D618" s="218" t="s">
        <v>167</v>
      </c>
      <c r="E618" s="219" t="s">
        <v>509</v>
      </c>
      <c r="F618" s="218" t="s">
        <v>836</v>
      </c>
      <c r="G618" s="218" t="s">
        <v>96</v>
      </c>
      <c r="H618" s="93" t="s">
        <v>525</v>
      </c>
      <c r="I618" s="220">
        <v>2</v>
      </c>
      <c r="J618" s="220">
        <v>12</v>
      </c>
      <c r="K618" s="52">
        <v>0</v>
      </c>
      <c r="L618" s="53">
        <v>190000000</v>
      </c>
      <c r="M618" s="218" t="s">
        <v>465</v>
      </c>
      <c r="N618" s="53" t="s">
        <v>90</v>
      </c>
      <c r="O618" s="219" t="s">
        <v>221</v>
      </c>
      <c r="P618" s="221" t="str">
        <f>IFERROR(VLOOKUP(C618,TD!$B$33:$F$37,2,0)," ")</f>
        <v>O230117</v>
      </c>
      <c r="Q618" s="221" t="str">
        <f>IFERROR(VLOOKUP(C618,TD!$B$33:$F$37,3,0)," ")</f>
        <v>4503</v>
      </c>
      <c r="R618" s="221">
        <f>IFERROR(VLOOKUP(C618,TD!$B$33:$F$37,4,0)," ")</f>
        <v>20240255</v>
      </c>
      <c r="S618" s="219" t="s">
        <v>179</v>
      </c>
      <c r="T618" s="221" t="str">
        <f>IFERROR(VLOOKUP(S618,TD!$J$34:$K$44,2,0)," ")</f>
        <v>Infraestructura Tecnológica   (Sistemas de Información y Tecnologia)</v>
      </c>
      <c r="U618" s="222" t="str">
        <f t="shared" si="38"/>
        <v>11-Infraestructura Tecnológica   (Sistemas de Información y Tecnologia)</v>
      </c>
      <c r="V618" s="219" t="s">
        <v>235</v>
      </c>
      <c r="W618" s="221" t="str">
        <f>IFERROR(VLOOKUP(V618,TD!$N$34:$O$46,2,0)," ")</f>
        <v>"Servicio de monitoreo y seguimiento para la gestión del riesgo"</v>
      </c>
      <c r="X618" s="222" t="str">
        <f t="shared" si="39"/>
        <v>018_"Servicio de monitoreo y seguimiento para la gestión del riesgo"</v>
      </c>
      <c r="Y618" s="222" t="str">
        <f t="shared" si="40"/>
        <v>11-Infraestructura Tecnológica   (Sistemas de Información y Tecnologia) 018_"Servicio de monitoreo y seguimiento para la gestión del riesgo"</v>
      </c>
      <c r="Z618" s="221" t="str">
        <f t="shared" si="41"/>
        <v>O23011745032024025511018</v>
      </c>
      <c r="AA618" s="221" t="str">
        <f>IFERROR(VLOOKUP(Y618,TD!$K$47:$L$65,2,0)," ")</f>
        <v>PM/0131/0111/45030180255</v>
      </c>
      <c r="AB618" s="53" t="s">
        <v>138</v>
      </c>
      <c r="AC618" s="223" t="s">
        <v>205</v>
      </c>
    </row>
    <row r="619" spans="2:29" s="28" customFormat="1" ht="99" customHeight="1" x14ac:dyDescent="0.35">
      <c r="B619" s="77">
        <v>20250629</v>
      </c>
      <c r="C619" s="50" t="s">
        <v>209</v>
      </c>
      <c r="D619" s="218" t="s">
        <v>167</v>
      </c>
      <c r="E619" s="219" t="s">
        <v>509</v>
      </c>
      <c r="F619" s="218" t="s">
        <v>837</v>
      </c>
      <c r="G619" s="218" t="s">
        <v>96</v>
      </c>
      <c r="H619" s="93" t="s">
        <v>375</v>
      </c>
      <c r="I619" s="220">
        <v>2</v>
      </c>
      <c r="J619" s="220">
        <v>3</v>
      </c>
      <c r="K619" s="52">
        <v>0</v>
      </c>
      <c r="L619" s="53">
        <f>215000000-1410000-15812910</f>
        <v>197777090</v>
      </c>
      <c r="M619" s="218" t="s">
        <v>465</v>
      </c>
      <c r="N619" s="53" t="s">
        <v>85</v>
      </c>
      <c r="O619" s="219" t="s">
        <v>221</v>
      </c>
      <c r="P619" s="221" t="str">
        <f>IFERROR(VLOOKUP(C619,TD!$B$33:$F$37,2,0)," ")</f>
        <v>O230117</v>
      </c>
      <c r="Q619" s="221" t="str">
        <f>IFERROR(VLOOKUP(C619,TD!$B$33:$F$37,3,0)," ")</f>
        <v>4503</v>
      </c>
      <c r="R619" s="221">
        <f>IFERROR(VLOOKUP(C619,TD!$B$33:$F$37,4,0)," ")</f>
        <v>20240255</v>
      </c>
      <c r="S619" s="219" t="s">
        <v>177</v>
      </c>
      <c r="T619" s="221" t="str">
        <f>IFERROR(VLOOKUP(S619,TD!$J$34:$K$44,2,0)," ")</f>
        <v>Servicio de capacitaciones en gestión del riesgo de incendios  a la ciudadania.</v>
      </c>
      <c r="U619" s="222" t="str">
        <f t="shared" si="38"/>
        <v>05-Servicio de capacitaciones en gestión del riesgo de incendios  a la ciudadania.</v>
      </c>
      <c r="V619" s="219" t="s">
        <v>233</v>
      </c>
      <c r="W619" s="221" t="str">
        <f>IFERROR(VLOOKUP(V619,TD!$N$34:$O$46,2,0)," ")</f>
        <v>Servicio de educación informal</v>
      </c>
      <c r="X619" s="222" t="str">
        <f t="shared" si="39"/>
        <v>002_Servicio de educación informal</v>
      </c>
      <c r="Y619" s="222" t="str">
        <f t="shared" si="40"/>
        <v>05-Servicio de capacitaciones en gestión del riesgo de incendios  a la ciudadania. 002_Servicio de educación informal</v>
      </c>
      <c r="Z619" s="221" t="str">
        <f t="shared" si="41"/>
        <v>O23011745032024025505002</v>
      </c>
      <c r="AA619" s="221" t="str">
        <f>IFERROR(VLOOKUP(Y619,TD!$K$47:$L$65,2,0)," ")</f>
        <v>PM/0131/0105/45030020255</v>
      </c>
      <c r="AB619" s="53" t="s">
        <v>138</v>
      </c>
      <c r="AC619" s="223" t="s">
        <v>205</v>
      </c>
    </row>
    <row r="620" spans="2:29" s="28" customFormat="1" ht="99" customHeight="1" x14ac:dyDescent="0.35">
      <c r="B620" s="77">
        <v>20250630</v>
      </c>
      <c r="C620" s="50" t="s">
        <v>209</v>
      </c>
      <c r="D620" s="218" t="s">
        <v>169</v>
      </c>
      <c r="E620" s="219" t="s">
        <v>466</v>
      </c>
      <c r="F620" s="218" t="s">
        <v>840</v>
      </c>
      <c r="G620" s="218" t="s">
        <v>155</v>
      </c>
      <c r="H620" s="93">
        <v>80111600</v>
      </c>
      <c r="I620" s="220">
        <v>2</v>
      </c>
      <c r="J620" s="220">
        <v>10</v>
      </c>
      <c r="K620" s="52">
        <v>0</v>
      </c>
      <c r="L620" s="53">
        <v>80000000</v>
      </c>
      <c r="M620" s="218" t="s">
        <v>465</v>
      </c>
      <c r="N620" s="53" t="s">
        <v>113</v>
      </c>
      <c r="O620" s="219" t="s">
        <v>222</v>
      </c>
      <c r="P620" s="221" t="str">
        <f>IFERROR(VLOOKUP(C620,TD!$B$33:$F$37,2,0)," ")</f>
        <v>O230117</v>
      </c>
      <c r="Q620" s="221" t="str">
        <f>IFERROR(VLOOKUP(C620,TD!$B$33:$F$37,3,0)," ")</f>
        <v>4503</v>
      </c>
      <c r="R620" s="221">
        <f>IFERROR(VLOOKUP(C620,TD!$B$33:$F$37,4,0)," ")</f>
        <v>20240255</v>
      </c>
      <c r="S620" s="219" t="s">
        <v>175</v>
      </c>
      <c r="T620" s="221" t="str">
        <f>IFERROR(VLOOKUP(S620,TD!$J$34:$K$44,2,0)," ")</f>
        <v>Servicio de atención a incidentes y emergencias.</v>
      </c>
      <c r="U620" s="222" t="str">
        <f t="shared" si="38"/>
        <v>04-Servicio de atención a incidentes y emergencias.</v>
      </c>
      <c r="V620" s="219" t="s">
        <v>232</v>
      </c>
      <c r="W620" s="221" t="str">
        <f>IFERROR(VLOOKUP(V620,TD!$N$34:$O$46,2,0)," ")</f>
        <v>Servicio de atención a emergencias y desastres</v>
      </c>
      <c r="X620" s="222" t="str">
        <f t="shared" si="39"/>
        <v>004_Servicio de atención a emergencias y desastres</v>
      </c>
      <c r="Y620" s="222" t="str">
        <f t="shared" si="40"/>
        <v>04-Servicio de atención a incidentes y emergencias. 004_Servicio de atención a emergencias y desastres</v>
      </c>
      <c r="Z620" s="221" t="str">
        <f t="shared" si="41"/>
        <v>O23011745032024025504004</v>
      </c>
      <c r="AA620" s="221" t="str">
        <f>IFERROR(VLOOKUP(Y620,TD!$K$47:$L$65,2,0)," ")</f>
        <v>PM/0131/0104/45030040255</v>
      </c>
      <c r="AB620" s="53" t="s">
        <v>138</v>
      </c>
      <c r="AC620" s="223" t="s">
        <v>204</v>
      </c>
    </row>
    <row r="621" spans="2:29" s="28" customFormat="1" ht="99" customHeight="1" x14ac:dyDescent="0.35">
      <c r="B621" s="77">
        <v>20250631</v>
      </c>
      <c r="C621" s="50" t="s">
        <v>209</v>
      </c>
      <c r="D621" s="218" t="s">
        <v>169</v>
      </c>
      <c r="E621" s="219" t="s">
        <v>466</v>
      </c>
      <c r="F621" s="218" t="s">
        <v>841</v>
      </c>
      <c r="G621" s="218" t="s">
        <v>155</v>
      </c>
      <c r="H621" s="93">
        <v>80111600</v>
      </c>
      <c r="I621" s="220">
        <v>2</v>
      </c>
      <c r="J621" s="220">
        <v>10</v>
      </c>
      <c r="K621" s="52">
        <v>0</v>
      </c>
      <c r="L621" s="53">
        <v>70000000</v>
      </c>
      <c r="M621" s="218" t="s">
        <v>465</v>
      </c>
      <c r="N621" s="53" t="s">
        <v>113</v>
      </c>
      <c r="O621" s="219" t="s">
        <v>222</v>
      </c>
      <c r="P621" s="221" t="str">
        <f>IFERROR(VLOOKUP(C621,TD!$B$33:$F$37,2,0)," ")</f>
        <v>O230117</v>
      </c>
      <c r="Q621" s="221" t="str">
        <f>IFERROR(VLOOKUP(C621,TD!$B$33:$F$37,3,0)," ")</f>
        <v>4503</v>
      </c>
      <c r="R621" s="221">
        <f>IFERROR(VLOOKUP(C621,TD!$B$33:$F$37,4,0)," ")</f>
        <v>20240255</v>
      </c>
      <c r="S621" s="219" t="s">
        <v>175</v>
      </c>
      <c r="T621" s="221" t="str">
        <f>IFERROR(VLOOKUP(S621,TD!$J$34:$K$44,2,0)," ")</f>
        <v>Servicio de atención a incidentes y emergencias.</v>
      </c>
      <c r="U621" s="222" t="str">
        <f t="shared" si="38"/>
        <v>04-Servicio de atención a incidentes y emergencias.</v>
      </c>
      <c r="V621" s="219" t="s">
        <v>232</v>
      </c>
      <c r="W621" s="221" t="str">
        <f>IFERROR(VLOOKUP(V621,TD!$N$34:$O$46,2,0)," ")</f>
        <v>Servicio de atención a emergencias y desastres</v>
      </c>
      <c r="X621" s="222" t="str">
        <f t="shared" si="39"/>
        <v>004_Servicio de atención a emergencias y desastres</v>
      </c>
      <c r="Y621" s="222" t="str">
        <f t="shared" si="40"/>
        <v>04-Servicio de atención a incidentes y emergencias. 004_Servicio de atención a emergencias y desastres</v>
      </c>
      <c r="Z621" s="221" t="str">
        <f t="shared" si="41"/>
        <v>O23011745032024025504004</v>
      </c>
      <c r="AA621" s="221" t="str">
        <f>IFERROR(VLOOKUP(Y621,TD!$K$47:$L$65,2,0)," ")</f>
        <v>PM/0131/0104/45030040255</v>
      </c>
      <c r="AB621" s="53" t="s">
        <v>138</v>
      </c>
      <c r="AC621" s="223" t="s">
        <v>204</v>
      </c>
    </row>
    <row r="622" spans="2:29" s="28" customFormat="1" ht="99" customHeight="1" x14ac:dyDescent="0.35">
      <c r="B622" s="77">
        <v>20250632</v>
      </c>
      <c r="C622" s="50" t="s">
        <v>209</v>
      </c>
      <c r="D622" s="218" t="s">
        <v>169</v>
      </c>
      <c r="E622" s="219" t="s">
        <v>466</v>
      </c>
      <c r="F622" s="218" t="s">
        <v>842</v>
      </c>
      <c r="G622" s="218" t="s">
        <v>155</v>
      </c>
      <c r="H622" s="93">
        <v>80111600</v>
      </c>
      <c r="I622" s="220">
        <v>2</v>
      </c>
      <c r="J622" s="220">
        <v>10</v>
      </c>
      <c r="K622" s="52">
        <v>0</v>
      </c>
      <c r="L622" s="53">
        <v>70000000</v>
      </c>
      <c r="M622" s="218" t="s">
        <v>465</v>
      </c>
      <c r="N622" s="53" t="s">
        <v>113</v>
      </c>
      <c r="O622" s="219" t="s">
        <v>222</v>
      </c>
      <c r="P622" s="221" t="str">
        <f>IFERROR(VLOOKUP(C622,TD!$B$33:$F$37,2,0)," ")</f>
        <v>O230117</v>
      </c>
      <c r="Q622" s="221" t="str">
        <f>IFERROR(VLOOKUP(C622,TD!$B$33:$F$37,3,0)," ")</f>
        <v>4503</v>
      </c>
      <c r="R622" s="221">
        <f>IFERROR(VLOOKUP(C622,TD!$B$33:$F$37,4,0)," ")</f>
        <v>20240255</v>
      </c>
      <c r="S622" s="219" t="s">
        <v>175</v>
      </c>
      <c r="T622" s="221" t="str">
        <f>IFERROR(VLOOKUP(S622,TD!$J$34:$K$44,2,0)," ")</f>
        <v>Servicio de atención a incidentes y emergencias.</v>
      </c>
      <c r="U622" s="222" t="str">
        <f t="shared" si="38"/>
        <v>04-Servicio de atención a incidentes y emergencias.</v>
      </c>
      <c r="V622" s="219" t="s">
        <v>232</v>
      </c>
      <c r="W622" s="221" t="str">
        <f>IFERROR(VLOOKUP(V622,TD!$N$34:$O$46,2,0)," ")</f>
        <v>Servicio de atención a emergencias y desastres</v>
      </c>
      <c r="X622" s="222" t="str">
        <f t="shared" si="39"/>
        <v>004_Servicio de atención a emergencias y desastres</v>
      </c>
      <c r="Y622" s="222" t="str">
        <f t="shared" si="40"/>
        <v>04-Servicio de atención a incidentes y emergencias. 004_Servicio de atención a emergencias y desastres</v>
      </c>
      <c r="Z622" s="221" t="str">
        <f t="shared" si="41"/>
        <v>O23011745032024025504004</v>
      </c>
      <c r="AA622" s="221" t="str">
        <f>IFERROR(VLOOKUP(Y622,TD!$K$47:$L$65,2,0)," ")</f>
        <v>PM/0131/0104/45030040255</v>
      </c>
      <c r="AB622" s="53" t="s">
        <v>138</v>
      </c>
      <c r="AC622" s="223" t="s">
        <v>204</v>
      </c>
    </row>
    <row r="623" spans="2:29" s="28" customFormat="1" ht="99" customHeight="1" x14ac:dyDescent="0.35">
      <c r="B623" s="77">
        <v>20250633</v>
      </c>
      <c r="C623" s="50" t="s">
        <v>209</v>
      </c>
      <c r="D623" s="218" t="s">
        <v>169</v>
      </c>
      <c r="E623" s="219" t="s">
        <v>466</v>
      </c>
      <c r="F623" s="218" t="s">
        <v>843</v>
      </c>
      <c r="G623" s="218" t="s">
        <v>155</v>
      </c>
      <c r="H623" s="93">
        <v>80111600</v>
      </c>
      <c r="I623" s="220">
        <v>2</v>
      </c>
      <c r="J623" s="220">
        <v>10</v>
      </c>
      <c r="K623" s="52">
        <v>0</v>
      </c>
      <c r="L623" s="53">
        <v>65000000</v>
      </c>
      <c r="M623" s="218" t="s">
        <v>465</v>
      </c>
      <c r="N623" s="53" t="s">
        <v>113</v>
      </c>
      <c r="O623" s="219" t="s">
        <v>222</v>
      </c>
      <c r="P623" s="221" t="str">
        <f>IFERROR(VLOOKUP(C623,TD!$B$33:$F$37,2,0)," ")</f>
        <v>O230117</v>
      </c>
      <c r="Q623" s="221" t="str">
        <f>IFERROR(VLOOKUP(C623,TD!$B$33:$F$37,3,0)," ")</f>
        <v>4503</v>
      </c>
      <c r="R623" s="221">
        <f>IFERROR(VLOOKUP(C623,TD!$B$33:$F$37,4,0)," ")</f>
        <v>20240255</v>
      </c>
      <c r="S623" s="219" t="s">
        <v>175</v>
      </c>
      <c r="T623" s="221" t="str">
        <f>IFERROR(VLOOKUP(S623,TD!$J$34:$K$44,2,0)," ")</f>
        <v>Servicio de atención a incidentes y emergencias.</v>
      </c>
      <c r="U623" s="222" t="str">
        <f t="shared" si="38"/>
        <v>04-Servicio de atención a incidentes y emergencias.</v>
      </c>
      <c r="V623" s="219" t="s">
        <v>232</v>
      </c>
      <c r="W623" s="221" t="str">
        <f>IFERROR(VLOOKUP(V623,TD!$N$34:$O$46,2,0)," ")</f>
        <v>Servicio de atención a emergencias y desastres</v>
      </c>
      <c r="X623" s="222" t="str">
        <f t="shared" si="39"/>
        <v>004_Servicio de atención a emergencias y desastres</v>
      </c>
      <c r="Y623" s="222" t="str">
        <f t="shared" si="40"/>
        <v>04-Servicio de atención a incidentes y emergencias. 004_Servicio de atención a emergencias y desastres</v>
      </c>
      <c r="Z623" s="221" t="str">
        <f t="shared" si="41"/>
        <v>O23011745032024025504004</v>
      </c>
      <c r="AA623" s="221" t="str">
        <f>IFERROR(VLOOKUP(Y623,TD!$K$47:$L$65,2,0)," ")</f>
        <v>PM/0131/0104/45030040255</v>
      </c>
      <c r="AB623" s="53" t="s">
        <v>138</v>
      </c>
      <c r="AC623" s="223" t="s">
        <v>204</v>
      </c>
    </row>
    <row r="624" spans="2:29" s="28" customFormat="1" ht="99" customHeight="1" x14ac:dyDescent="0.35">
      <c r="B624" s="77">
        <v>20250634</v>
      </c>
      <c r="C624" s="50" t="s">
        <v>209</v>
      </c>
      <c r="D624" s="218" t="s">
        <v>169</v>
      </c>
      <c r="E624" s="219" t="s">
        <v>466</v>
      </c>
      <c r="F624" s="218" t="s">
        <v>844</v>
      </c>
      <c r="G624" s="218" t="s">
        <v>155</v>
      </c>
      <c r="H624" s="93">
        <v>80111600</v>
      </c>
      <c r="I624" s="220">
        <v>2</v>
      </c>
      <c r="J624" s="220">
        <v>10</v>
      </c>
      <c r="K624" s="52">
        <v>0</v>
      </c>
      <c r="L624" s="53">
        <v>50000000</v>
      </c>
      <c r="M624" s="218" t="s">
        <v>465</v>
      </c>
      <c r="N624" s="53" t="s">
        <v>113</v>
      </c>
      <c r="O624" s="219" t="s">
        <v>222</v>
      </c>
      <c r="P624" s="221" t="str">
        <f>IFERROR(VLOOKUP(C624,TD!$B$33:$F$37,2,0)," ")</f>
        <v>O230117</v>
      </c>
      <c r="Q624" s="221" t="str">
        <f>IFERROR(VLOOKUP(C624,TD!$B$33:$F$37,3,0)," ")</f>
        <v>4503</v>
      </c>
      <c r="R624" s="221">
        <f>IFERROR(VLOOKUP(C624,TD!$B$33:$F$37,4,0)," ")</f>
        <v>20240255</v>
      </c>
      <c r="S624" s="219" t="s">
        <v>175</v>
      </c>
      <c r="T624" s="221" t="str">
        <f>IFERROR(VLOOKUP(S624,TD!$J$34:$K$44,2,0)," ")</f>
        <v>Servicio de atención a incidentes y emergencias.</v>
      </c>
      <c r="U624" s="222" t="str">
        <f t="shared" si="38"/>
        <v>04-Servicio de atención a incidentes y emergencias.</v>
      </c>
      <c r="V624" s="219" t="s">
        <v>232</v>
      </c>
      <c r="W624" s="221" t="str">
        <f>IFERROR(VLOOKUP(V624,TD!$N$34:$O$46,2,0)," ")</f>
        <v>Servicio de atención a emergencias y desastres</v>
      </c>
      <c r="X624" s="222" t="str">
        <f t="shared" si="39"/>
        <v>004_Servicio de atención a emergencias y desastres</v>
      </c>
      <c r="Y624" s="222" t="str">
        <f t="shared" si="40"/>
        <v>04-Servicio de atención a incidentes y emergencias. 004_Servicio de atención a emergencias y desastres</v>
      </c>
      <c r="Z624" s="221" t="str">
        <f t="shared" si="41"/>
        <v>O23011745032024025504004</v>
      </c>
      <c r="AA624" s="221" t="str">
        <f>IFERROR(VLOOKUP(Y624,TD!$K$47:$L$65,2,0)," ")</f>
        <v>PM/0131/0104/45030040255</v>
      </c>
      <c r="AB624" s="53" t="s">
        <v>138</v>
      </c>
      <c r="AC624" s="223" t="s">
        <v>204</v>
      </c>
    </row>
    <row r="625" spans="2:29" s="28" customFormat="1" ht="99" customHeight="1" x14ac:dyDescent="0.35">
      <c r="B625" s="77">
        <v>20250635</v>
      </c>
      <c r="C625" s="50" t="s">
        <v>209</v>
      </c>
      <c r="D625" s="218" t="s">
        <v>169</v>
      </c>
      <c r="E625" s="219" t="s">
        <v>466</v>
      </c>
      <c r="F625" s="218" t="s">
        <v>845</v>
      </c>
      <c r="G625" s="218" t="s">
        <v>155</v>
      </c>
      <c r="H625" s="93">
        <v>80111600</v>
      </c>
      <c r="I625" s="220">
        <v>2</v>
      </c>
      <c r="J625" s="220">
        <v>9</v>
      </c>
      <c r="K625" s="52">
        <v>15</v>
      </c>
      <c r="L625" s="53">
        <v>66500000</v>
      </c>
      <c r="M625" s="218" t="s">
        <v>465</v>
      </c>
      <c r="N625" s="53" t="s">
        <v>113</v>
      </c>
      <c r="O625" s="219" t="s">
        <v>222</v>
      </c>
      <c r="P625" s="221" t="str">
        <f>IFERROR(VLOOKUP(C625,TD!$B$33:$F$37,2,0)," ")</f>
        <v>O230117</v>
      </c>
      <c r="Q625" s="221" t="str">
        <f>IFERROR(VLOOKUP(C625,TD!$B$33:$F$37,3,0)," ")</f>
        <v>4503</v>
      </c>
      <c r="R625" s="221">
        <f>IFERROR(VLOOKUP(C625,TD!$B$33:$F$37,4,0)," ")</f>
        <v>20240255</v>
      </c>
      <c r="S625" s="219" t="s">
        <v>175</v>
      </c>
      <c r="T625" s="221" t="str">
        <f>IFERROR(VLOOKUP(S625,TD!$J$34:$K$44,2,0)," ")</f>
        <v>Servicio de atención a incidentes y emergencias.</v>
      </c>
      <c r="U625" s="222" t="str">
        <f t="shared" si="38"/>
        <v>04-Servicio de atención a incidentes y emergencias.</v>
      </c>
      <c r="V625" s="219" t="s">
        <v>232</v>
      </c>
      <c r="W625" s="221" t="str">
        <f>IFERROR(VLOOKUP(V625,TD!$N$34:$O$46,2,0)," ")</f>
        <v>Servicio de atención a emergencias y desastres</v>
      </c>
      <c r="X625" s="222" t="str">
        <f t="shared" si="39"/>
        <v>004_Servicio de atención a emergencias y desastres</v>
      </c>
      <c r="Y625" s="222" t="str">
        <f t="shared" si="40"/>
        <v>04-Servicio de atención a incidentes y emergencias. 004_Servicio de atención a emergencias y desastres</v>
      </c>
      <c r="Z625" s="221" t="str">
        <f t="shared" si="41"/>
        <v>O23011745032024025504004</v>
      </c>
      <c r="AA625" s="221" t="str">
        <f>IFERROR(VLOOKUP(Y625,TD!$K$47:$L$65,2,0)," ")</f>
        <v>PM/0131/0104/45030040255</v>
      </c>
      <c r="AB625" s="53" t="s">
        <v>138</v>
      </c>
      <c r="AC625" s="223" t="s">
        <v>204</v>
      </c>
    </row>
    <row r="626" spans="2:29" s="28" customFormat="1" ht="99" customHeight="1" x14ac:dyDescent="0.35">
      <c r="B626" s="77">
        <v>20250636</v>
      </c>
      <c r="C626" s="50" t="s">
        <v>209</v>
      </c>
      <c r="D626" s="218" t="s">
        <v>169</v>
      </c>
      <c r="E626" s="219" t="s">
        <v>466</v>
      </c>
      <c r="F626" s="218" t="s">
        <v>846</v>
      </c>
      <c r="G626" s="218" t="s">
        <v>155</v>
      </c>
      <c r="H626" s="93">
        <v>80111600</v>
      </c>
      <c r="I626" s="220">
        <v>2</v>
      </c>
      <c r="J626" s="220">
        <v>10</v>
      </c>
      <c r="K626" s="52">
        <v>0</v>
      </c>
      <c r="L626" s="53">
        <v>66500000</v>
      </c>
      <c r="M626" s="218" t="s">
        <v>465</v>
      </c>
      <c r="N626" s="53" t="s">
        <v>113</v>
      </c>
      <c r="O626" s="219" t="s">
        <v>222</v>
      </c>
      <c r="P626" s="221" t="str">
        <f>IFERROR(VLOOKUP(C626,TD!$B$33:$F$37,2,0)," ")</f>
        <v>O230117</v>
      </c>
      <c r="Q626" s="221" t="str">
        <f>IFERROR(VLOOKUP(C626,TD!$B$33:$F$37,3,0)," ")</f>
        <v>4503</v>
      </c>
      <c r="R626" s="221">
        <f>IFERROR(VLOOKUP(C626,TD!$B$33:$F$37,4,0)," ")</f>
        <v>20240255</v>
      </c>
      <c r="S626" s="219" t="s">
        <v>175</v>
      </c>
      <c r="T626" s="221" t="str">
        <f>IFERROR(VLOOKUP(S626,TD!$J$34:$K$44,2,0)," ")</f>
        <v>Servicio de atención a incidentes y emergencias.</v>
      </c>
      <c r="U626" s="222" t="str">
        <f t="shared" si="38"/>
        <v>04-Servicio de atención a incidentes y emergencias.</v>
      </c>
      <c r="V626" s="219" t="s">
        <v>232</v>
      </c>
      <c r="W626" s="221" t="str">
        <f>IFERROR(VLOOKUP(V626,TD!$N$34:$O$46,2,0)," ")</f>
        <v>Servicio de atención a emergencias y desastres</v>
      </c>
      <c r="X626" s="222" t="str">
        <f t="shared" si="39"/>
        <v>004_Servicio de atención a emergencias y desastres</v>
      </c>
      <c r="Y626" s="222" t="str">
        <f t="shared" si="40"/>
        <v>04-Servicio de atención a incidentes y emergencias. 004_Servicio de atención a emergencias y desastres</v>
      </c>
      <c r="Z626" s="221" t="str">
        <f t="shared" si="41"/>
        <v>O23011745032024025504004</v>
      </c>
      <c r="AA626" s="221" t="str">
        <f>IFERROR(VLOOKUP(Y626,TD!$K$47:$L$65,2,0)," ")</f>
        <v>PM/0131/0104/45030040255</v>
      </c>
      <c r="AB626" s="53" t="s">
        <v>138</v>
      </c>
      <c r="AC626" s="223" t="s">
        <v>204</v>
      </c>
    </row>
    <row r="627" spans="2:29" s="28" customFormat="1" ht="99" customHeight="1" x14ac:dyDescent="0.35">
      <c r="B627" s="77">
        <v>20250637</v>
      </c>
      <c r="C627" s="50" t="s">
        <v>209</v>
      </c>
      <c r="D627" s="218" t="s">
        <v>169</v>
      </c>
      <c r="E627" s="219" t="s">
        <v>466</v>
      </c>
      <c r="F627" s="218" t="s">
        <v>847</v>
      </c>
      <c r="G627" s="218" t="s">
        <v>156</v>
      </c>
      <c r="H627" s="93">
        <v>80111600</v>
      </c>
      <c r="I627" s="220">
        <v>2</v>
      </c>
      <c r="J627" s="220">
        <v>10</v>
      </c>
      <c r="K627" s="52">
        <v>0</v>
      </c>
      <c r="L627" s="53">
        <v>28500000</v>
      </c>
      <c r="M627" s="218" t="s">
        <v>465</v>
      </c>
      <c r="N627" s="53" t="s">
        <v>113</v>
      </c>
      <c r="O627" s="219" t="s">
        <v>222</v>
      </c>
      <c r="P627" s="221" t="str">
        <f>IFERROR(VLOOKUP(C627,TD!$B$33:$F$37,2,0)," ")</f>
        <v>O230117</v>
      </c>
      <c r="Q627" s="221" t="str">
        <f>IFERROR(VLOOKUP(C627,TD!$B$33:$F$37,3,0)," ")</f>
        <v>4503</v>
      </c>
      <c r="R627" s="221">
        <f>IFERROR(VLOOKUP(C627,TD!$B$33:$F$37,4,0)," ")</f>
        <v>20240255</v>
      </c>
      <c r="S627" s="219" t="s">
        <v>175</v>
      </c>
      <c r="T627" s="221" t="str">
        <f>IFERROR(VLOOKUP(S627,TD!$J$34:$K$44,2,0)," ")</f>
        <v>Servicio de atención a incidentes y emergencias.</v>
      </c>
      <c r="U627" s="222" t="str">
        <f t="shared" si="38"/>
        <v>04-Servicio de atención a incidentes y emergencias.</v>
      </c>
      <c r="V627" s="219" t="s">
        <v>232</v>
      </c>
      <c r="W627" s="221" t="str">
        <f>IFERROR(VLOOKUP(V627,TD!$N$34:$O$46,2,0)," ")</f>
        <v>Servicio de atención a emergencias y desastres</v>
      </c>
      <c r="X627" s="222" t="str">
        <f t="shared" si="39"/>
        <v>004_Servicio de atención a emergencias y desastres</v>
      </c>
      <c r="Y627" s="222" t="str">
        <f t="shared" si="40"/>
        <v>04-Servicio de atención a incidentes y emergencias. 004_Servicio de atención a emergencias y desastres</v>
      </c>
      <c r="Z627" s="221" t="str">
        <f t="shared" si="41"/>
        <v>O23011745032024025504004</v>
      </c>
      <c r="AA627" s="221" t="str">
        <f>IFERROR(VLOOKUP(Y627,TD!$K$47:$L$65,2,0)," ")</f>
        <v>PM/0131/0104/45030040255</v>
      </c>
      <c r="AB627" s="53" t="s">
        <v>138</v>
      </c>
      <c r="AC627" s="223" t="s">
        <v>204</v>
      </c>
    </row>
    <row r="628" spans="2:29" s="28" customFormat="1" ht="99" customHeight="1" x14ac:dyDescent="0.35">
      <c r="B628" s="77">
        <v>20250638</v>
      </c>
      <c r="C628" s="50" t="s">
        <v>209</v>
      </c>
      <c r="D628" s="218" t="s">
        <v>169</v>
      </c>
      <c r="E628" s="219" t="s">
        <v>466</v>
      </c>
      <c r="F628" s="218" t="s">
        <v>848</v>
      </c>
      <c r="G628" s="218" t="s">
        <v>109</v>
      </c>
      <c r="H628" s="93" t="s">
        <v>850</v>
      </c>
      <c r="I628" s="220">
        <v>5</v>
      </c>
      <c r="J628" s="220">
        <v>3</v>
      </c>
      <c r="K628" s="52">
        <v>0</v>
      </c>
      <c r="L628" s="53">
        <v>64057500</v>
      </c>
      <c r="M628" s="218" t="s">
        <v>465</v>
      </c>
      <c r="N628" s="53" t="s">
        <v>100</v>
      </c>
      <c r="O628" s="219" t="s">
        <v>222</v>
      </c>
      <c r="P628" s="221" t="str">
        <f>IFERROR(VLOOKUP(C628,TD!$B$33:$F$37,2,0)," ")</f>
        <v>O230117</v>
      </c>
      <c r="Q628" s="221" t="str">
        <f>IFERROR(VLOOKUP(C628,TD!$B$33:$F$37,3,0)," ")</f>
        <v>4503</v>
      </c>
      <c r="R628" s="221">
        <f>IFERROR(VLOOKUP(C628,TD!$B$33:$F$37,4,0)," ")</f>
        <v>20240255</v>
      </c>
      <c r="S628" s="219" t="s">
        <v>189</v>
      </c>
      <c r="T628" s="221" t="str">
        <f>IFERROR(VLOOKUP(S628,TD!$J$34:$K$44,2,0)," ")</f>
        <v>Servicio de dotación y equipamento para el personal operativo</v>
      </c>
      <c r="U628" s="222" t="str">
        <f t="shared" si="38"/>
        <v>10-Servicio de dotación y equipamento para el personal operativo</v>
      </c>
      <c r="V628" s="219" t="s">
        <v>232</v>
      </c>
      <c r="W628" s="221" t="str">
        <f>IFERROR(VLOOKUP(V628,TD!$N$34:$O$46,2,0)," ")</f>
        <v>Servicio de atención a emergencias y desastres</v>
      </c>
      <c r="X628" s="222" t="str">
        <f t="shared" si="39"/>
        <v>004_Servicio de atención a emergencias y desastres</v>
      </c>
      <c r="Y628" s="222" t="str">
        <f t="shared" si="40"/>
        <v>10-Servicio de dotación y equipamento para el personal operativo 004_Servicio de atención a emergencias y desastres</v>
      </c>
      <c r="Z628" s="221" t="str">
        <f t="shared" si="41"/>
        <v>O23011745032024025510004</v>
      </c>
      <c r="AA628" s="221" t="str">
        <f>IFERROR(VLOOKUP(Y628,TD!$K$47:$L$65,2,0)," ")</f>
        <v>PM/0131/0110/45030040255</v>
      </c>
      <c r="AB628" s="53" t="s">
        <v>87</v>
      </c>
      <c r="AC628" s="223" t="s">
        <v>204</v>
      </c>
    </row>
    <row r="629" spans="2:29" s="28" customFormat="1" ht="99" customHeight="1" x14ac:dyDescent="0.35">
      <c r="B629" s="77">
        <v>20250639</v>
      </c>
      <c r="C629" s="50" t="s">
        <v>209</v>
      </c>
      <c r="D629" s="218" t="s">
        <v>169</v>
      </c>
      <c r="E629" s="219" t="s">
        <v>466</v>
      </c>
      <c r="F629" s="218" t="s">
        <v>849</v>
      </c>
      <c r="G629" s="218" t="s">
        <v>109</v>
      </c>
      <c r="H629" s="93" t="s">
        <v>851</v>
      </c>
      <c r="I629" s="220">
        <v>5</v>
      </c>
      <c r="J629" s="220">
        <v>3</v>
      </c>
      <c r="K629" s="52">
        <v>0</v>
      </c>
      <c r="L629" s="53">
        <v>64057500</v>
      </c>
      <c r="M629" s="218" t="s">
        <v>465</v>
      </c>
      <c r="N629" s="53" t="s">
        <v>100</v>
      </c>
      <c r="O629" s="219" t="s">
        <v>222</v>
      </c>
      <c r="P629" s="221" t="str">
        <f>IFERROR(VLOOKUP(C629,TD!$B$33:$F$37,2,0)," ")</f>
        <v>O230117</v>
      </c>
      <c r="Q629" s="221" t="str">
        <f>IFERROR(VLOOKUP(C629,TD!$B$33:$F$37,3,0)," ")</f>
        <v>4503</v>
      </c>
      <c r="R629" s="221">
        <f>IFERROR(VLOOKUP(C629,TD!$B$33:$F$37,4,0)," ")</f>
        <v>20240255</v>
      </c>
      <c r="S629" s="219" t="s">
        <v>189</v>
      </c>
      <c r="T629" s="221" t="str">
        <f>IFERROR(VLOOKUP(S629,TD!$J$34:$K$44,2,0)," ")</f>
        <v>Servicio de dotación y equipamento para el personal operativo</v>
      </c>
      <c r="U629" s="222" t="str">
        <f t="shared" si="38"/>
        <v>10-Servicio de dotación y equipamento para el personal operativo</v>
      </c>
      <c r="V629" s="219" t="s">
        <v>232</v>
      </c>
      <c r="W629" s="221" t="str">
        <f>IFERROR(VLOOKUP(V629,TD!$N$34:$O$46,2,0)," ")</f>
        <v>Servicio de atención a emergencias y desastres</v>
      </c>
      <c r="X629" s="222" t="str">
        <f t="shared" si="39"/>
        <v>004_Servicio de atención a emergencias y desastres</v>
      </c>
      <c r="Y629" s="222" t="str">
        <f t="shared" si="40"/>
        <v>10-Servicio de dotación y equipamento para el personal operativo 004_Servicio de atención a emergencias y desastres</v>
      </c>
      <c r="Z629" s="221" t="str">
        <f t="shared" si="41"/>
        <v>O23011745032024025510004</v>
      </c>
      <c r="AA629" s="221" t="str">
        <f>IFERROR(VLOOKUP(Y629,TD!$K$47:$L$65,2,0)," ")</f>
        <v>PM/0131/0110/45030040255</v>
      </c>
      <c r="AB629" s="53" t="s">
        <v>87</v>
      </c>
      <c r="AC629" s="223" t="s">
        <v>204</v>
      </c>
    </row>
    <row r="630" spans="2:29" s="28" customFormat="1" ht="128.25" customHeight="1" x14ac:dyDescent="0.35">
      <c r="B630" s="77">
        <v>20250640</v>
      </c>
      <c r="C630" s="50" t="s">
        <v>209</v>
      </c>
      <c r="D630" s="218" t="s">
        <v>169</v>
      </c>
      <c r="E630" s="219" t="s">
        <v>466</v>
      </c>
      <c r="F630" s="218" t="s">
        <v>854</v>
      </c>
      <c r="G630" s="218" t="s">
        <v>155</v>
      </c>
      <c r="H630" s="93">
        <v>80111600</v>
      </c>
      <c r="I630" s="220">
        <v>3</v>
      </c>
      <c r="J630" s="220">
        <v>10</v>
      </c>
      <c r="K630" s="52">
        <v>0</v>
      </c>
      <c r="L630" s="53">
        <v>65000000</v>
      </c>
      <c r="M630" s="218" t="s">
        <v>465</v>
      </c>
      <c r="N630" s="53" t="s">
        <v>113</v>
      </c>
      <c r="O630" s="219" t="s">
        <v>222</v>
      </c>
      <c r="P630" s="221" t="str">
        <f>IFERROR(VLOOKUP(C630,TD!$B$33:$F$37,2,0)," ")</f>
        <v>O230117</v>
      </c>
      <c r="Q630" s="221" t="str">
        <f>IFERROR(VLOOKUP(C630,TD!$B$33:$F$37,3,0)," ")</f>
        <v>4503</v>
      </c>
      <c r="R630" s="221">
        <f>IFERROR(VLOOKUP(C630,TD!$B$33:$F$37,4,0)," ")</f>
        <v>20240255</v>
      </c>
      <c r="S630" s="219" t="s">
        <v>175</v>
      </c>
      <c r="T630" s="221" t="str">
        <f>IFERROR(VLOOKUP(S630,TD!$J$34:$K$44,2,0)," ")</f>
        <v>Servicio de atención a incidentes y emergencias.</v>
      </c>
      <c r="U630" s="222" t="str">
        <f t="shared" si="38"/>
        <v>04-Servicio de atención a incidentes y emergencias.</v>
      </c>
      <c r="V630" s="219" t="s">
        <v>232</v>
      </c>
      <c r="W630" s="221" t="str">
        <f>IFERROR(VLOOKUP(V630,TD!$N$34:$O$46,2,0)," ")</f>
        <v>Servicio de atención a emergencias y desastres</v>
      </c>
      <c r="X630" s="222" t="str">
        <f t="shared" si="39"/>
        <v>004_Servicio de atención a emergencias y desastres</v>
      </c>
      <c r="Y630" s="222" t="str">
        <f t="shared" si="40"/>
        <v>04-Servicio de atención a incidentes y emergencias. 004_Servicio de atención a emergencias y desastres</v>
      </c>
      <c r="Z630" s="221" t="str">
        <f t="shared" si="41"/>
        <v>O23011745032024025504004</v>
      </c>
      <c r="AA630" s="221" t="str">
        <f>IFERROR(VLOOKUP(Y630,TD!$K$47:$L$65,2,0)," ")</f>
        <v>PM/0131/0104/45030040255</v>
      </c>
      <c r="AB630" s="53" t="s">
        <v>138</v>
      </c>
      <c r="AC630" s="223" t="s">
        <v>204</v>
      </c>
    </row>
    <row r="631" spans="2:29" s="28" customFormat="1" ht="126" customHeight="1" x14ac:dyDescent="0.35">
      <c r="B631" s="130">
        <v>20250642</v>
      </c>
      <c r="C631" s="132" t="s">
        <v>208</v>
      </c>
      <c r="D631" s="224" t="s">
        <v>166</v>
      </c>
      <c r="E631" s="225" t="s">
        <v>565</v>
      </c>
      <c r="F631" s="224" t="s">
        <v>856</v>
      </c>
      <c r="G631" s="224" t="s">
        <v>156</v>
      </c>
      <c r="H631" s="133" t="s">
        <v>617</v>
      </c>
      <c r="I631" s="226">
        <v>2</v>
      </c>
      <c r="J631" s="226">
        <v>9</v>
      </c>
      <c r="K631" s="129">
        <v>0</v>
      </c>
      <c r="L631" s="128">
        <v>34384905</v>
      </c>
      <c r="M631" s="224" t="s">
        <v>465</v>
      </c>
      <c r="N631" s="128" t="s">
        <v>113</v>
      </c>
      <c r="O631" s="225" t="s">
        <v>219</v>
      </c>
      <c r="P631" s="227" t="str">
        <f>IFERROR(VLOOKUP(C631,TD!$B$33:$F$37,2,0)," ")</f>
        <v>O230117</v>
      </c>
      <c r="Q631" s="227" t="str">
        <f>IFERROR(VLOOKUP(C631,TD!$B$33:$F$37,3,0)," ")</f>
        <v>4599</v>
      </c>
      <c r="R631" s="227">
        <f>IFERROR(VLOOKUP(C631,TD!$B$33:$F$37,4,0)," ")</f>
        <v>20240207</v>
      </c>
      <c r="S631" s="225" t="s">
        <v>185</v>
      </c>
      <c r="T631" s="227" t="str">
        <f>IFERROR(VLOOKUP(S631,TD!$J$34:$K$44,2,0)," ")</f>
        <v>Infraestructura física, mantenimiento y dotación (Sedes construidas, mantenidas reforzadas)</v>
      </c>
      <c r="U631" s="222" t="str">
        <f t="shared" si="38"/>
        <v>08-Infraestructura física, mantenimiento y dotación (Sedes construidas, mantenidas reforzadas)</v>
      </c>
      <c r="V631" s="225" t="s">
        <v>238</v>
      </c>
      <c r="W631" s="227" t="str">
        <f>IFERROR(VLOOKUP(V631,TD!$N$34:$O$46,2,0)," ")</f>
        <v>Sedes mantenidas</v>
      </c>
      <c r="X631" s="222" t="str">
        <f t="shared" si="39"/>
        <v>016_Sedes mantenidas</v>
      </c>
      <c r="Y631" s="222" t="str">
        <f t="shared" si="40"/>
        <v>08-Infraestructura física, mantenimiento y dotación (Sedes construidas, mantenidas reforzadas) 016_Sedes mantenidas</v>
      </c>
      <c r="Z631" s="227" t="str">
        <f t="shared" si="41"/>
        <v>O23011745992024020708016</v>
      </c>
      <c r="AA631" s="227" t="str">
        <f>IFERROR(VLOOKUP(Y631,TD!$K$47:$L$65,2,0)," ")</f>
        <v>PM/0131/0108/45990160207</v>
      </c>
      <c r="AB631" s="128" t="s">
        <v>138</v>
      </c>
      <c r="AC631" s="228" t="s">
        <v>204</v>
      </c>
    </row>
    <row r="632" spans="2:29" s="28" customFormat="1" ht="99" customHeight="1" x14ac:dyDescent="0.35">
      <c r="B632" s="130">
        <v>20250643</v>
      </c>
      <c r="C632" s="132" t="s">
        <v>208</v>
      </c>
      <c r="D632" s="224" t="s">
        <v>166</v>
      </c>
      <c r="E632" s="225" t="s">
        <v>565</v>
      </c>
      <c r="F632" s="224" t="s">
        <v>857</v>
      </c>
      <c r="G632" s="224" t="s">
        <v>155</v>
      </c>
      <c r="H632" s="133" t="s">
        <v>617</v>
      </c>
      <c r="I632" s="226">
        <v>2</v>
      </c>
      <c r="J632" s="226">
        <v>9</v>
      </c>
      <c r="K632" s="129">
        <v>0</v>
      </c>
      <c r="L632" s="128">
        <v>58500000</v>
      </c>
      <c r="M632" s="224" t="s">
        <v>465</v>
      </c>
      <c r="N632" s="128" t="s">
        <v>113</v>
      </c>
      <c r="O632" s="225" t="s">
        <v>219</v>
      </c>
      <c r="P632" s="227" t="str">
        <f>IFERROR(VLOOKUP(C632,TD!$B$33:$F$37,2,0)," ")</f>
        <v>O230117</v>
      </c>
      <c r="Q632" s="227" t="str">
        <f>IFERROR(VLOOKUP(C632,TD!$B$33:$F$37,3,0)," ")</f>
        <v>4599</v>
      </c>
      <c r="R632" s="227">
        <f>IFERROR(VLOOKUP(C632,TD!$B$33:$F$37,4,0)," ")</f>
        <v>20240207</v>
      </c>
      <c r="S632" s="225" t="s">
        <v>185</v>
      </c>
      <c r="T632" s="227" t="str">
        <f>IFERROR(VLOOKUP(S632,TD!$J$34:$K$44,2,0)," ")</f>
        <v>Infraestructura física, mantenimiento y dotación (Sedes construidas, mantenidas reforzadas)</v>
      </c>
      <c r="U632" s="222" t="str">
        <f t="shared" si="38"/>
        <v>08-Infraestructura física, mantenimiento y dotación (Sedes construidas, mantenidas reforzadas)</v>
      </c>
      <c r="V632" s="225" t="s">
        <v>238</v>
      </c>
      <c r="W632" s="227" t="str">
        <f>IFERROR(VLOOKUP(V632,TD!$N$34:$O$46,2,0)," ")</f>
        <v>Sedes mantenidas</v>
      </c>
      <c r="X632" s="222" t="str">
        <f t="shared" si="39"/>
        <v>016_Sedes mantenidas</v>
      </c>
      <c r="Y632" s="222" t="str">
        <f t="shared" si="40"/>
        <v>08-Infraestructura física, mantenimiento y dotación (Sedes construidas, mantenidas reforzadas) 016_Sedes mantenidas</v>
      </c>
      <c r="Z632" s="227" t="str">
        <f t="shared" si="41"/>
        <v>O23011745992024020708016</v>
      </c>
      <c r="AA632" s="227" t="str">
        <f>IFERROR(VLOOKUP(Y632,TD!$K$47:$L$65,2,0)," ")</f>
        <v>PM/0131/0108/45990160207</v>
      </c>
      <c r="AB632" s="128" t="s">
        <v>138</v>
      </c>
      <c r="AC632" s="228" t="s">
        <v>204</v>
      </c>
    </row>
    <row r="633" spans="2:29" s="28" customFormat="1" ht="126.65" customHeight="1" x14ac:dyDescent="0.35">
      <c r="B633" s="130">
        <v>20250644</v>
      </c>
      <c r="C633" s="132" t="s">
        <v>208</v>
      </c>
      <c r="D633" s="224" t="s">
        <v>166</v>
      </c>
      <c r="E633" s="225" t="s">
        <v>565</v>
      </c>
      <c r="F633" s="224" t="s">
        <v>669</v>
      </c>
      <c r="G633" s="224" t="s">
        <v>155</v>
      </c>
      <c r="H633" s="133" t="s">
        <v>617</v>
      </c>
      <c r="I633" s="226">
        <v>2</v>
      </c>
      <c r="J633" s="226">
        <v>9</v>
      </c>
      <c r="K633" s="129">
        <v>0</v>
      </c>
      <c r="L633" s="128">
        <v>54291951</v>
      </c>
      <c r="M633" s="224" t="s">
        <v>465</v>
      </c>
      <c r="N633" s="128" t="s">
        <v>113</v>
      </c>
      <c r="O633" s="225" t="s">
        <v>218</v>
      </c>
      <c r="P633" s="227" t="str">
        <f>IFERROR(VLOOKUP(C633,TD!$B$33:$F$37,2,0)," ")</f>
        <v>O230117</v>
      </c>
      <c r="Q633" s="227" t="str">
        <f>IFERROR(VLOOKUP(C633,TD!$B$33:$F$37,3,0)," ")</f>
        <v>4599</v>
      </c>
      <c r="R633" s="227">
        <f>IFERROR(VLOOKUP(C633,TD!$B$33:$F$37,4,0)," ")</f>
        <v>20240207</v>
      </c>
      <c r="S633" s="225" t="s">
        <v>185</v>
      </c>
      <c r="T633" s="227" t="str">
        <f>IFERROR(VLOOKUP(S633,TD!$J$34:$K$44,2,0)," ")</f>
        <v>Infraestructura física, mantenimiento y dotación (Sedes construidas, mantenidas reforzadas)</v>
      </c>
      <c r="U633" s="222" t="str">
        <f t="shared" si="38"/>
        <v>08-Infraestructura física, mantenimiento y dotación (Sedes construidas, mantenidas reforzadas)</v>
      </c>
      <c r="V633" s="225" t="s">
        <v>238</v>
      </c>
      <c r="W633" s="227" t="str">
        <f>IFERROR(VLOOKUP(V633,TD!$N$34:$O$46,2,0)," ")</f>
        <v>Sedes mantenidas</v>
      </c>
      <c r="X633" s="222" t="str">
        <f t="shared" si="39"/>
        <v>016_Sedes mantenidas</v>
      </c>
      <c r="Y633" s="222" t="str">
        <f t="shared" si="40"/>
        <v>08-Infraestructura física, mantenimiento y dotación (Sedes construidas, mantenidas reforzadas) 016_Sedes mantenidas</v>
      </c>
      <c r="Z633" s="227" t="str">
        <f t="shared" si="41"/>
        <v>O23011745992024020708016</v>
      </c>
      <c r="AA633" s="227" t="str">
        <f>IFERROR(VLOOKUP(Y633,TD!$K$47:$L$65,2,0)," ")</f>
        <v>PM/0131/0108/45990160207</v>
      </c>
      <c r="AB633" s="128" t="s">
        <v>138</v>
      </c>
      <c r="AC633" s="228" t="s">
        <v>204</v>
      </c>
    </row>
    <row r="634" spans="2:29" s="28" customFormat="1" ht="99" customHeight="1" x14ac:dyDescent="0.35">
      <c r="B634" s="130">
        <v>20250646</v>
      </c>
      <c r="C634" s="132" t="s">
        <v>208</v>
      </c>
      <c r="D634" s="224" t="s">
        <v>166</v>
      </c>
      <c r="E634" s="225" t="s">
        <v>565</v>
      </c>
      <c r="F634" s="132" t="s">
        <v>859</v>
      </c>
      <c r="G634" s="224" t="s">
        <v>119</v>
      </c>
      <c r="H634" s="133" t="s">
        <v>862</v>
      </c>
      <c r="I634" s="226">
        <v>4</v>
      </c>
      <c r="J634" s="226">
        <v>3</v>
      </c>
      <c r="K634" s="129">
        <v>0</v>
      </c>
      <c r="L634" s="128">
        <v>20000000</v>
      </c>
      <c r="M634" s="224" t="s">
        <v>465</v>
      </c>
      <c r="N634" s="128" t="s">
        <v>100</v>
      </c>
      <c r="O634" s="225" t="s">
        <v>218</v>
      </c>
      <c r="P634" s="227" t="str">
        <f>IFERROR(VLOOKUP(C634,TD!$B$33:$F$37,2,0)," ")</f>
        <v>O230117</v>
      </c>
      <c r="Q634" s="227" t="str">
        <f>IFERROR(VLOOKUP(C634,TD!$B$33:$F$37,3,0)," ")</f>
        <v>4599</v>
      </c>
      <c r="R634" s="227">
        <f>IFERROR(VLOOKUP(C634,TD!$B$33:$F$37,4,0)," ")</f>
        <v>20240207</v>
      </c>
      <c r="S634" s="225" t="s">
        <v>185</v>
      </c>
      <c r="T634" s="227" t="str">
        <f>IFERROR(VLOOKUP(S634,TD!$J$34:$K$44,2,0)," ")</f>
        <v>Infraestructura física, mantenimiento y dotación (Sedes construidas, mantenidas reforzadas)</v>
      </c>
      <c r="U634" s="222" t="str">
        <f t="shared" si="38"/>
        <v>08-Infraestructura física, mantenimiento y dotación (Sedes construidas, mantenidas reforzadas)</v>
      </c>
      <c r="V634" s="225" t="s">
        <v>238</v>
      </c>
      <c r="W634" s="227" t="str">
        <f>IFERROR(VLOOKUP(V634,TD!$N$34:$O$46,2,0)," ")</f>
        <v>Sedes mantenidas</v>
      </c>
      <c r="X634" s="222" t="str">
        <f t="shared" si="39"/>
        <v>016_Sedes mantenidas</v>
      </c>
      <c r="Y634" s="222" t="str">
        <f t="shared" si="40"/>
        <v>08-Infraestructura física, mantenimiento y dotación (Sedes construidas, mantenidas reforzadas) 016_Sedes mantenidas</v>
      </c>
      <c r="Z634" s="227" t="str">
        <f t="shared" si="41"/>
        <v>O23011745992024020708016</v>
      </c>
      <c r="AA634" s="227" t="str">
        <f>IFERROR(VLOOKUP(Y634,TD!$K$47:$L$65,2,0)," ")</f>
        <v>PM/0131/0108/45990160207</v>
      </c>
      <c r="AB634" s="128" t="s">
        <v>138</v>
      </c>
      <c r="AC634" s="228" t="s">
        <v>204</v>
      </c>
    </row>
    <row r="635" spans="2:29" s="28" customFormat="1" ht="99" customHeight="1" x14ac:dyDescent="0.35">
      <c r="B635" s="77">
        <v>20250651</v>
      </c>
      <c r="C635" s="50" t="s">
        <v>209</v>
      </c>
      <c r="D635" s="218" t="s">
        <v>169</v>
      </c>
      <c r="E635" s="219" t="s">
        <v>466</v>
      </c>
      <c r="F635" s="218" t="s">
        <v>871</v>
      </c>
      <c r="G635" s="218" t="s">
        <v>156</v>
      </c>
      <c r="H635" s="93">
        <v>80111600</v>
      </c>
      <c r="I635" s="220">
        <v>3</v>
      </c>
      <c r="J635" s="220">
        <v>10</v>
      </c>
      <c r="K635" s="52">
        <v>0</v>
      </c>
      <c r="L635" s="53">
        <v>31198000</v>
      </c>
      <c r="M635" s="218" t="s">
        <v>465</v>
      </c>
      <c r="N635" s="53" t="s">
        <v>113</v>
      </c>
      <c r="O635" s="219" t="s">
        <v>222</v>
      </c>
      <c r="P635" s="221" t="str">
        <f>IFERROR(VLOOKUP(C635,TD!$B$33:$F$37,2,0)," ")</f>
        <v>O230117</v>
      </c>
      <c r="Q635" s="221" t="str">
        <f>IFERROR(VLOOKUP(C635,TD!$B$33:$F$37,3,0)," ")</f>
        <v>4503</v>
      </c>
      <c r="R635" s="221">
        <f>IFERROR(VLOOKUP(C635,TD!$B$33:$F$37,4,0)," ")</f>
        <v>20240255</v>
      </c>
      <c r="S635" s="219" t="s">
        <v>175</v>
      </c>
      <c r="T635" s="221" t="str">
        <f>IFERROR(VLOOKUP(S635,TD!$J$34:$K$44,2,0)," ")</f>
        <v>Servicio de atención a incidentes y emergencias.</v>
      </c>
      <c r="U635" s="222" t="str">
        <f t="shared" si="38"/>
        <v>04-Servicio de atención a incidentes y emergencias.</v>
      </c>
      <c r="V635" s="219" t="s">
        <v>232</v>
      </c>
      <c r="W635" s="221" t="str">
        <f>IFERROR(VLOOKUP(V635,TD!$N$34:$O$46,2,0)," ")</f>
        <v>Servicio de atención a emergencias y desastres</v>
      </c>
      <c r="X635" s="222" t="str">
        <f t="shared" si="39"/>
        <v>004_Servicio de atención a emergencias y desastres</v>
      </c>
      <c r="Y635" s="222" t="str">
        <f t="shared" si="40"/>
        <v>04-Servicio de atención a incidentes y emergencias. 004_Servicio de atención a emergencias y desastres</v>
      </c>
      <c r="Z635" s="221" t="str">
        <f t="shared" si="41"/>
        <v>O23011745032024025504004</v>
      </c>
      <c r="AA635" s="221" t="str">
        <f>IFERROR(VLOOKUP(Y635,TD!$K$47:$L$65,2,0)," ")</f>
        <v>PM/0131/0104/45030040255</v>
      </c>
      <c r="AB635" s="128" t="s">
        <v>138</v>
      </c>
      <c r="AC635" s="228" t="s">
        <v>204</v>
      </c>
    </row>
    <row r="636" spans="2:29" s="28" customFormat="1" ht="99" customHeight="1" x14ac:dyDescent="0.35">
      <c r="B636" s="77">
        <v>20250652</v>
      </c>
      <c r="C636" s="50" t="s">
        <v>209</v>
      </c>
      <c r="D636" s="218" t="s">
        <v>169</v>
      </c>
      <c r="E636" s="219" t="s">
        <v>466</v>
      </c>
      <c r="F636" s="218" t="s">
        <v>871</v>
      </c>
      <c r="G636" s="218" t="s">
        <v>156</v>
      </c>
      <c r="H636" s="93">
        <v>80111600</v>
      </c>
      <c r="I636" s="220">
        <v>3</v>
      </c>
      <c r="J636" s="220">
        <v>10</v>
      </c>
      <c r="K636" s="52">
        <v>0</v>
      </c>
      <c r="L636" s="53">
        <v>31198000</v>
      </c>
      <c r="M636" s="218" t="s">
        <v>465</v>
      </c>
      <c r="N636" s="53" t="s">
        <v>113</v>
      </c>
      <c r="O636" s="219" t="s">
        <v>222</v>
      </c>
      <c r="P636" s="221" t="str">
        <f>IFERROR(VLOOKUP(C636,TD!$B$33:$F$37,2,0)," ")</f>
        <v>O230117</v>
      </c>
      <c r="Q636" s="221" t="str">
        <f>IFERROR(VLOOKUP(C636,TD!$B$33:$F$37,3,0)," ")</f>
        <v>4503</v>
      </c>
      <c r="R636" s="221">
        <f>IFERROR(VLOOKUP(C636,TD!$B$33:$F$37,4,0)," ")</f>
        <v>20240255</v>
      </c>
      <c r="S636" s="219" t="s">
        <v>175</v>
      </c>
      <c r="T636" s="221" t="str">
        <f>IFERROR(VLOOKUP(S636,TD!$J$34:$K$44,2,0)," ")</f>
        <v>Servicio de atención a incidentes y emergencias.</v>
      </c>
      <c r="U636" s="222" t="str">
        <f t="shared" si="38"/>
        <v>04-Servicio de atención a incidentes y emergencias.</v>
      </c>
      <c r="V636" s="219" t="s">
        <v>232</v>
      </c>
      <c r="W636" s="221" t="str">
        <f>IFERROR(VLOOKUP(V636,TD!$N$34:$O$46,2,0)," ")</f>
        <v>Servicio de atención a emergencias y desastres</v>
      </c>
      <c r="X636" s="222" t="str">
        <f t="shared" si="39"/>
        <v>004_Servicio de atención a emergencias y desastres</v>
      </c>
      <c r="Y636" s="222" t="str">
        <f t="shared" si="40"/>
        <v>04-Servicio de atención a incidentes y emergencias. 004_Servicio de atención a emergencias y desastres</v>
      </c>
      <c r="Z636" s="221" t="str">
        <f t="shared" si="41"/>
        <v>O23011745032024025504004</v>
      </c>
      <c r="AA636" s="221" t="str">
        <f>IFERROR(VLOOKUP(Y636,TD!$K$47:$L$65,2,0)," ")</f>
        <v>PM/0131/0104/45030040255</v>
      </c>
      <c r="AB636" s="128" t="s">
        <v>138</v>
      </c>
      <c r="AC636" s="228" t="s">
        <v>204</v>
      </c>
    </row>
    <row r="637" spans="2:29" s="28" customFormat="1" ht="99" customHeight="1" x14ac:dyDescent="0.35">
      <c r="B637" s="77">
        <v>20250653</v>
      </c>
      <c r="C637" s="50" t="s">
        <v>208</v>
      </c>
      <c r="D637" s="218" t="s">
        <v>161</v>
      </c>
      <c r="E637" s="219" t="s">
        <v>355</v>
      </c>
      <c r="F637" s="218" t="s">
        <v>872</v>
      </c>
      <c r="G637" s="218" t="s">
        <v>155</v>
      </c>
      <c r="H637" s="93">
        <v>80111600</v>
      </c>
      <c r="I637" s="220">
        <v>3</v>
      </c>
      <c r="J637" s="220">
        <v>6</v>
      </c>
      <c r="K637" s="52">
        <v>0</v>
      </c>
      <c r="L637" s="53">
        <v>42000000</v>
      </c>
      <c r="M637" s="218" t="s">
        <v>465</v>
      </c>
      <c r="N637" s="53" t="s">
        <v>113</v>
      </c>
      <c r="O637" s="219" t="s">
        <v>220</v>
      </c>
      <c r="P637" s="221" t="str">
        <f>IFERROR(VLOOKUP(C637,TD!$B$33:$F$37,2,0)," ")</f>
        <v>O230117</v>
      </c>
      <c r="Q637" s="221" t="str">
        <f>IFERROR(VLOOKUP(C637,TD!$B$33:$F$37,3,0)," ")</f>
        <v>4599</v>
      </c>
      <c r="R637" s="221">
        <f>IFERROR(VLOOKUP(C637,TD!$B$33:$F$37,4,0)," ")</f>
        <v>20240207</v>
      </c>
      <c r="S637" s="219" t="s">
        <v>193</v>
      </c>
      <c r="T637" s="221" t="str">
        <f>IFERROR(VLOOKUP(S637,TD!$J$34:$K$44,2,0)," ")</f>
        <v>Servicios para la planeación y sistemas de gestión y comunicación estratégica</v>
      </c>
      <c r="U637" s="222" t="str">
        <f t="shared" si="38"/>
        <v>13-Servicios para la planeación y sistemas de gestión y comunicación estratégica</v>
      </c>
      <c r="V637" s="219" t="s">
        <v>242</v>
      </c>
      <c r="W637" s="221" t="str">
        <f>IFERROR(VLOOKUP(V637,TD!$N$34:$O$46,2,0)," ")</f>
        <v>Documentos de planeación</v>
      </c>
      <c r="X637" s="222" t="str">
        <f t="shared" si="39"/>
        <v>019_Documentos de planeación</v>
      </c>
      <c r="Y637" s="222" t="str">
        <f t="shared" si="40"/>
        <v>13-Servicios para la planeación y sistemas de gestión y comunicación estratégica 019_Documentos de planeación</v>
      </c>
      <c r="Z637" s="221" t="str">
        <f t="shared" si="41"/>
        <v>O23011745992024020713019</v>
      </c>
      <c r="AA637" s="221" t="str">
        <f>IFERROR(VLOOKUP(Y637,TD!$K$47:$L$65,2,0)," ")</f>
        <v>PM/0131/0113/45990190207</v>
      </c>
      <c r="AB637" s="53" t="s">
        <v>138</v>
      </c>
      <c r="AC637" s="223" t="s">
        <v>204</v>
      </c>
    </row>
    <row r="638" spans="2:29" s="28" customFormat="1" ht="99" customHeight="1" x14ac:dyDescent="0.35">
      <c r="B638" s="77">
        <v>20250654</v>
      </c>
      <c r="C638" s="50" t="s">
        <v>209</v>
      </c>
      <c r="D638" s="218" t="s">
        <v>165</v>
      </c>
      <c r="E638" s="219" t="s">
        <v>486</v>
      </c>
      <c r="F638" s="218" t="s">
        <v>874</v>
      </c>
      <c r="G638" s="218" t="s">
        <v>155</v>
      </c>
      <c r="H638" s="93">
        <v>80111600</v>
      </c>
      <c r="I638" s="220">
        <v>3</v>
      </c>
      <c r="J638" s="220">
        <v>8</v>
      </c>
      <c r="K638" s="52">
        <v>0</v>
      </c>
      <c r="L638" s="53">
        <f>65000000-6500000</f>
        <v>58500000</v>
      </c>
      <c r="M638" s="218" t="s">
        <v>465</v>
      </c>
      <c r="N638" s="53" t="s">
        <v>113</v>
      </c>
      <c r="O638" s="219" t="s">
        <v>229</v>
      </c>
      <c r="P638" s="221" t="str">
        <f>IFERROR(VLOOKUP(C638,TD!$B$33:$F$37,2,0)," ")</f>
        <v>O230117</v>
      </c>
      <c r="Q638" s="221" t="str">
        <f>IFERROR(VLOOKUP(C638,TD!$B$33:$F$37,3,0)," ")</f>
        <v>4503</v>
      </c>
      <c r="R638" s="221">
        <f>IFERROR(VLOOKUP(C638,TD!$B$33:$F$37,4,0)," ")</f>
        <v>20240255</v>
      </c>
      <c r="S638" s="219" t="s">
        <v>183</v>
      </c>
      <c r="T638" s="221" t="str">
        <f>IFERROR(VLOOKUP(S638,TD!$J$34:$K$44,2,0)," ")</f>
        <v>Servicio de formación en gestión del riesgo de incendios para el personal UAECOB</v>
      </c>
      <c r="U638" s="222" t="str">
        <f t="shared" si="38"/>
        <v>07-Servicio de formación en gestión del riesgo de incendios para el personal UAECOB</v>
      </c>
      <c r="V638" s="219" t="s">
        <v>233</v>
      </c>
      <c r="W638" s="221" t="str">
        <f>IFERROR(VLOOKUP(V638,TD!$N$34:$O$46,2,0)," ")</f>
        <v>Servicio de educación informal</v>
      </c>
      <c r="X638" s="222" t="str">
        <f t="shared" si="39"/>
        <v>002_Servicio de educación informal</v>
      </c>
      <c r="Y638" s="222" t="str">
        <f t="shared" si="40"/>
        <v>07-Servicio de formación en gestión del riesgo de incendios para el personal UAECOB 002_Servicio de educación informal</v>
      </c>
      <c r="Z638" s="221" t="str">
        <f t="shared" si="41"/>
        <v>O23011745032024025507002</v>
      </c>
      <c r="AA638" s="221" t="str">
        <f>IFERROR(VLOOKUP(Y638,TD!$K$47:$L$65,2,0)," ")</f>
        <v>PM/0131/0107/45030020255</v>
      </c>
      <c r="AB638" s="53" t="s">
        <v>138</v>
      </c>
      <c r="AC638" s="223" t="s">
        <v>204</v>
      </c>
    </row>
    <row r="639" spans="2:29" s="28" customFormat="1" ht="99" customHeight="1" x14ac:dyDescent="0.35">
      <c r="B639" s="77">
        <v>20250655</v>
      </c>
      <c r="C639" s="50" t="s">
        <v>346</v>
      </c>
      <c r="D639" s="218" t="s">
        <v>165</v>
      </c>
      <c r="E639" s="219" t="s">
        <v>486</v>
      </c>
      <c r="F639" s="218" t="s">
        <v>925</v>
      </c>
      <c r="G639" s="218" t="s">
        <v>96</v>
      </c>
      <c r="H639" s="93">
        <v>81141504</v>
      </c>
      <c r="I639" s="220">
        <v>5</v>
      </c>
      <c r="J639" s="220">
        <v>6</v>
      </c>
      <c r="K639" s="52">
        <v>0</v>
      </c>
      <c r="L639" s="53">
        <f>50000000</f>
        <v>50000000</v>
      </c>
      <c r="M639" s="218" t="s">
        <v>172</v>
      </c>
      <c r="N639" s="53" t="s">
        <v>100</v>
      </c>
      <c r="O639" s="219" t="s">
        <v>347</v>
      </c>
      <c r="P639" s="221" t="str">
        <f>IFERROR(VLOOKUP(C639,TD!$B$33:$F$37,2,0)," ")</f>
        <v>NA</v>
      </c>
      <c r="Q639" s="221" t="str">
        <f>IFERROR(VLOOKUP(C639,TD!$B$33:$F$37,3,0)," ")</f>
        <v>NA</v>
      </c>
      <c r="R639" s="221" t="str">
        <f>IFERROR(VLOOKUP(C639,TD!$B$33:$F$37,4,0)," ")</f>
        <v>NA</v>
      </c>
      <c r="S639" s="219" t="s">
        <v>406</v>
      </c>
      <c r="T639" s="221" t="str">
        <f>IFERROR(VLOOKUP(S639,TD!$J$34:$K$44,2,0)," ")</f>
        <v>N/A</v>
      </c>
      <c r="U639" s="222" t="str">
        <f t="shared" si="38"/>
        <v>N/A-N/A</v>
      </c>
      <c r="V639" s="219" t="s">
        <v>406</v>
      </c>
      <c r="W639" s="221" t="str">
        <f>IFERROR(VLOOKUP(V639,TD!$N$34:$O$46,2,0)," ")</f>
        <v>N/A</v>
      </c>
      <c r="X639" s="222" t="str">
        <f t="shared" si="39"/>
        <v>N/A_N/A</v>
      </c>
      <c r="Y639" s="222" t="str">
        <f t="shared" si="40"/>
        <v>N/A-N/A N/A_N/A</v>
      </c>
      <c r="Z639" s="221" t="str">
        <f t="shared" si="41"/>
        <v>NANANAN/AN/A</v>
      </c>
      <c r="AA639" s="221" t="str">
        <f>IFERROR(VLOOKUP(Y639,TD!$K$47:$L$65,2,0)," ")</f>
        <v>N/A</v>
      </c>
      <c r="AB639" s="53" t="s">
        <v>348</v>
      </c>
      <c r="AC639" s="223" t="s">
        <v>204</v>
      </c>
    </row>
    <row r="640" spans="2:29" s="28" customFormat="1" ht="99" customHeight="1" x14ac:dyDescent="0.35">
      <c r="B640" s="77">
        <v>20250656</v>
      </c>
      <c r="C640" s="50" t="s">
        <v>208</v>
      </c>
      <c r="D640" s="218" t="s">
        <v>36</v>
      </c>
      <c r="E640" s="219" t="s">
        <v>378</v>
      </c>
      <c r="F640" s="218" t="s">
        <v>884</v>
      </c>
      <c r="G640" s="218" t="s">
        <v>156</v>
      </c>
      <c r="H640" s="93">
        <v>80111601</v>
      </c>
      <c r="I640" s="220">
        <v>3</v>
      </c>
      <c r="J640" s="220">
        <v>8</v>
      </c>
      <c r="K640" s="52">
        <v>0</v>
      </c>
      <c r="L640" s="53">
        <v>45000000</v>
      </c>
      <c r="M640" s="218" t="s">
        <v>465</v>
      </c>
      <c r="N640" s="53" t="s">
        <v>113</v>
      </c>
      <c r="O640" s="219" t="s">
        <v>211</v>
      </c>
      <c r="P640" s="221" t="str">
        <f>IFERROR(VLOOKUP(C640,TD!$B$33:$F$37,2,0)," ")</f>
        <v>O230117</v>
      </c>
      <c r="Q640" s="221" t="str">
        <f>IFERROR(VLOOKUP(C640,TD!$B$33:$F$37,3,0)," ")</f>
        <v>4599</v>
      </c>
      <c r="R640" s="221">
        <f>IFERROR(VLOOKUP(C640,TD!$B$33:$F$37,4,0)," ")</f>
        <v>20240207</v>
      </c>
      <c r="S640" s="219" t="s">
        <v>193</v>
      </c>
      <c r="T640" s="221" t="str">
        <f>IFERROR(VLOOKUP(S640,TD!$J$34:$K$44,2,0)," ")</f>
        <v>Servicios para la planeación y sistemas de gestión y comunicación estratégica</v>
      </c>
      <c r="U640" s="222" t="str">
        <f t="shared" si="38"/>
        <v>13-Servicios para la planeación y sistemas de gestión y comunicación estratégica</v>
      </c>
      <c r="V640" s="219" t="s">
        <v>241</v>
      </c>
      <c r="W640" s="221" t="str">
        <f>IFERROR(VLOOKUP(V640,TD!$N$34:$O$46,2,0)," ")</f>
        <v>Servicio de Implementación Sistemas de Gestión</v>
      </c>
      <c r="X640" s="222" t="str">
        <f t="shared" si="39"/>
        <v>023_Servicio de Implementación Sistemas de Gestión</v>
      </c>
      <c r="Y640" s="222" t="str">
        <f t="shared" si="40"/>
        <v>13-Servicios para la planeación y sistemas de gestión y comunicación estratégica 023_Servicio de Implementación Sistemas de Gestión</v>
      </c>
      <c r="Z640" s="221" t="str">
        <f t="shared" si="41"/>
        <v>O23011745992024020713023</v>
      </c>
      <c r="AA640" s="221" t="str">
        <f>IFERROR(VLOOKUP(Y640,TD!$K$47:$L$65,2,0)," ")</f>
        <v>PM/0131/0113/45990230207</v>
      </c>
      <c r="AB640" s="53" t="s">
        <v>138</v>
      </c>
      <c r="AC640" s="223" t="s">
        <v>204</v>
      </c>
    </row>
    <row r="641" spans="2:29" s="28" customFormat="1" ht="99" customHeight="1" x14ac:dyDescent="0.35">
      <c r="B641" s="77">
        <v>20250657</v>
      </c>
      <c r="C641" s="50" t="s">
        <v>209</v>
      </c>
      <c r="D641" s="218" t="s">
        <v>168</v>
      </c>
      <c r="E641" s="219" t="s">
        <v>611</v>
      </c>
      <c r="F641" s="218" t="s">
        <v>886</v>
      </c>
      <c r="G641" s="218" t="s">
        <v>156</v>
      </c>
      <c r="H641" s="93">
        <v>80111600</v>
      </c>
      <c r="I641" s="220">
        <v>3</v>
      </c>
      <c r="J641" s="220">
        <v>8</v>
      </c>
      <c r="K641" s="52">
        <v>0</v>
      </c>
      <c r="L641" s="53">
        <f>19200000</f>
        <v>19200000</v>
      </c>
      <c r="M641" s="218" t="s">
        <v>465</v>
      </c>
      <c r="N641" s="53" t="s">
        <v>113</v>
      </c>
      <c r="O641" s="219" t="s">
        <v>224</v>
      </c>
      <c r="P641" s="221" t="str">
        <f>IFERROR(VLOOKUP(C641,TD!$B$33:$F$37,2,0)," ")</f>
        <v>O230117</v>
      </c>
      <c r="Q641" s="221" t="str">
        <f>IFERROR(VLOOKUP(C641,TD!$B$33:$F$37,3,0)," ")</f>
        <v>4503</v>
      </c>
      <c r="R641" s="221">
        <f>IFERROR(VLOOKUP(C641,TD!$B$33:$F$37,4,0)," ")</f>
        <v>20240255</v>
      </c>
      <c r="S641" s="219" t="s">
        <v>191</v>
      </c>
      <c r="T641" s="221" t="str">
        <f>IFERROR(VLOOKUP(S641,TD!$J$34:$K$44,2,0)," ")</f>
        <v>Servicio de apoyo   logístico  en eventos operativos y/o emergencias.</v>
      </c>
      <c r="U641" s="222" t="str">
        <f t="shared" si="38"/>
        <v>12-Servicio de apoyo   logístico  en eventos operativos y/o emergencias.</v>
      </c>
      <c r="V641" s="219" t="s">
        <v>232</v>
      </c>
      <c r="W641" s="221" t="str">
        <f>IFERROR(VLOOKUP(V641,TD!$N$34:$O$46,2,0)," ")</f>
        <v>Servicio de atención a emergencias y desastres</v>
      </c>
      <c r="X641" s="222" t="str">
        <f t="shared" si="39"/>
        <v>004_Servicio de atención a emergencias y desastres</v>
      </c>
      <c r="Y641" s="222" t="str">
        <f t="shared" si="40"/>
        <v>12-Servicio de apoyo   logístico  en eventos operativos y/o emergencias. 004_Servicio de atención a emergencias y desastres</v>
      </c>
      <c r="Z641" s="221" t="str">
        <f t="shared" si="41"/>
        <v>O23011745032024025512004</v>
      </c>
      <c r="AA641" s="221" t="str">
        <f>IFERROR(VLOOKUP(Y641,TD!$K$47:$L$65,2,0)," ")</f>
        <v>PM/0131/0112/45030040255</v>
      </c>
      <c r="AB641" s="53" t="s">
        <v>138</v>
      </c>
      <c r="AC641" s="223" t="s">
        <v>204</v>
      </c>
    </row>
    <row r="642" spans="2:29" s="28" customFormat="1" ht="99" customHeight="1" x14ac:dyDescent="0.35">
      <c r="B642" s="77">
        <v>20250658</v>
      </c>
      <c r="C642" s="50" t="s">
        <v>209</v>
      </c>
      <c r="D642" s="218" t="s">
        <v>168</v>
      </c>
      <c r="E642" s="219" t="s">
        <v>611</v>
      </c>
      <c r="F642" s="218" t="s">
        <v>890</v>
      </c>
      <c r="G642" s="218" t="s">
        <v>146</v>
      </c>
      <c r="H642" s="93">
        <v>78181500</v>
      </c>
      <c r="I642" s="220">
        <v>3</v>
      </c>
      <c r="J642" s="220">
        <v>3</v>
      </c>
      <c r="K642" s="52">
        <v>0</v>
      </c>
      <c r="L642" s="53">
        <f>1600000000</f>
        <v>1600000000</v>
      </c>
      <c r="M642" s="218" t="s">
        <v>465</v>
      </c>
      <c r="N642" s="53" t="s">
        <v>85</v>
      </c>
      <c r="O642" s="219" t="s">
        <v>224</v>
      </c>
      <c r="P642" s="221" t="str">
        <f>IFERROR(VLOOKUP(C642,TD!$B$33:$F$37,2,0)," ")</f>
        <v>O230117</v>
      </c>
      <c r="Q642" s="221" t="str">
        <f>IFERROR(VLOOKUP(C642,TD!$B$33:$F$37,3,0)," ")</f>
        <v>4503</v>
      </c>
      <c r="R642" s="221">
        <f>IFERROR(VLOOKUP(C642,TD!$B$33:$F$37,4,0)," ")</f>
        <v>20240255</v>
      </c>
      <c r="S642" s="219" t="s">
        <v>187</v>
      </c>
      <c r="T642" s="221" t="str">
        <f>IFERROR(VLOOKUP(S642,TD!$J$34:$K$44,2,0)," ")</f>
        <v>Servicio de mantenimiento, dotación (HEA´s y equipo menor) y adquisición de vehiculos   especializados para la atención de emergencias.</v>
      </c>
      <c r="U642" s="222" t="str">
        <f t="shared" si="38"/>
        <v>09-Servicio de mantenimiento, dotación (HEA´s y equipo menor) y adquisición de vehiculos   especializados para la atención de emergencias.</v>
      </c>
      <c r="V642" s="219" t="s">
        <v>232</v>
      </c>
      <c r="W642" s="221" t="str">
        <f>IFERROR(VLOOKUP(V642,TD!$N$34:$O$46,2,0)," ")</f>
        <v>Servicio de atención a emergencias y desastres</v>
      </c>
      <c r="X642" s="222" t="str">
        <f t="shared" si="39"/>
        <v>004_Servicio de atención a emergencias y desastres</v>
      </c>
      <c r="Y642" s="222" t="str">
        <f t="shared" si="40"/>
        <v>09-Servicio de mantenimiento, dotación (HEA´s y equipo menor) y adquisición de vehiculos   especializados para la atención de emergencias. 004_Servicio de atención a emergencias y desastres</v>
      </c>
      <c r="Z642" s="221" t="str">
        <f t="shared" si="41"/>
        <v>O23011745032024025509004</v>
      </c>
      <c r="AA642" s="221" t="str">
        <f>IFERROR(VLOOKUP(Y642,TD!$K$47:$L$65,2,0)," ")</f>
        <v>PM/0131/0109/45030040255</v>
      </c>
      <c r="AB642" s="53" t="s">
        <v>145</v>
      </c>
      <c r="AC642" s="223" t="s">
        <v>205</v>
      </c>
    </row>
    <row r="643" spans="2:29" s="28" customFormat="1" ht="99" customHeight="1" x14ac:dyDescent="0.35">
      <c r="B643" s="77">
        <v>20250659</v>
      </c>
      <c r="C643" s="50" t="s">
        <v>209</v>
      </c>
      <c r="D643" s="218" t="s">
        <v>168</v>
      </c>
      <c r="E643" s="219" t="s">
        <v>611</v>
      </c>
      <c r="F643" s="218" t="s">
        <v>885</v>
      </c>
      <c r="G643" s="218" t="s">
        <v>137</v>
      </c>
      <c r="H643" s="93" t="s">
        <v>406</v>
      </c>
      <c r="I643" s="220">
        <v>0</v>
      </c>
      <c r="J643" s="220">
        <v>0</v>
      </c>
      <c r="K643" s="52">
        <v>0</v>
      </c>
      <c r="L643" s="53">
        <f>5635667</f>
        <v>5635667</v>
      </c>
      <c r="M643" s="218" t="s">
        <v>465</v>
      </c>
      <c r="N643" s="53" t="s">
        <v>128</v>
      </c>
      <c r="O643" s="219" t="s">
        <v>224</v>
      </c>
      <c r="P643" s="221" t="str">
        <f>IFERROR(VLOOKUP(C643,TD!$B$33:$F$37,2,0)," ")</f>
        <v>O230117</v>
      </c>
      <c r="Q643" s="221" t="str">
        <f>IFERROR(VLOOKUP(C643,TD!$B$33:$F$37,3,0)," ")</f>
        <v>4503</v>
      </c>
      <c r="R643" s="221">
        <f>IFERROR(VLOOKUP(C643,TD!$B$33:$F$37,4,0)," ")</f>
        <v>20240255</v>
      </c>
      <c r="S643" s="219" t="s">
        <v>191</v>
      </c>
      <c r="T643" s="221" t="str">
        <f>IFERROR(VLOOKUP(S643,TD!$J$34:$K$44,2,0)," ")</f>
        <v>Servicio de apoyo   logístico  en eventos operativos y/o emergencias.</v>
      </c>
      <c r="U643" s="222" t="str">
        <f t="shared" si="38"/>
        <v>12-Servicio de apoyo   logístico  en eventos operativos y/o emergencias.</v>
      </c>
      <c r="V643" s="219" t="s">
        <v>232</v>
      </c>
      <c r="W643" s="221" t="str">
        <f>IFERROR(VLOOKUP(V643,TD!$N$34:$O$46,2,0)," ")</f>
        <v>Servicio de atención a emergencias y desastres</v>
      </c>
      <c r="X643" s="222" t="str">
        <f t="shared" si="39"/>
        <v>004_Servicio de atención a emergencias y desastres</v>
      </c>
      <c r="Y643" s="222" t="str">
        <f t="shared" si="40"/>
        <v>12-Servicio de apoyo   logístico  en eventos operativos y/o emergencias. 004_Servicio de atención a emergencias y desastres</v>
      </c>
      <c r="Z643" s="221" t="str">
        <f t="shared" si="41"/>
        <v>O23011745032024025512004</v>
      </c>
      <c r="AA643" s="221" t="str">
        <f>IFERROR(VLOOKUP(Y643,TD!$K$47:$L$65,2,0)," ")</f>
        <v>PM/0131/0112/45030040255</v>
      </c>
      <c r="AB643" s="53" t="s">
        <v>147</v>
      </c>
      <c r="AC643" s="223" t="s">
        <v>205</v>
      </c>
    </row>
    <row r="644" spans="2:29" s="28" customFormat="1" ht="99" customHeight="1" x14ac:dyDescent="0.35">
      <c r="B644" s="77">
        <v>20250660</v>
      </c>
      <c r="C644" s="50" t="s">
        <v>208</v>
      </c>
      <c r="D644" s="218" t="s">
        <v>162</v>
      </c>
      <c r="E644" s="219" t="s">
        <v>355</v>
      </c>
      <c r="F644" s="218" t="s">
        <v>796</v>
      </c>
      <c r="G644" s="218" t="s">
        <v>155</v>
      </c>
      <c r="H644" s="93">
        <v>80111600</v>
      </c>
      <c r="I644" s="220">
        <v>3</v>
      </c>
      <c r="J644" s="220">
        <v>10</v>
      </c>
      <c r="K644" s="52">
        <v>0</v>
      </c>
      <c r="L644" s="53">
        <v>43812400</v>
      </c>
      <c r="M644" s="218" t="s">
        <v>465</v>
      </c>
      <c r="N644" s="53" t="s">
        <v>113</v>
      </c>
      <c r="O644" s="219" t="s">
        <v>214</v>
      </c>
      <c r="P644" s="221" t="str">
        <f>IFERROR(VLOOKUP(C644,TD!$B$33:$F$37,2,0)," ")</f>
        <v>O230117</v>
      </c>
      <c r="Q644" s="221" t="str">
        <f>IFERROR(VLOOKUP(C644,TD!$B$33:$F$37,3,0)," ")</f>
        <v>4599</v>
      </c>
      <c r="R644" s="221">
        <f>IFERROR(VLOOKUP(C644,TD!$B$33:$F$37,4,0)," ")</f>
        <v>20240207</v>
      </c>
      <c r="S644" s="219" t="s">
        <v>179</v>
      </c>
      <c r="T644" s="221" t="str">
        <f>IFERROR(VLOOKUP(S644,TD!$J$34:$K$44,2,0)," ")</f>
        <v>Infraestructura Tecnológica   (Sistemas de Información y Tecnologia)</v>
      </c>
      <c r="U644" s="222" t="str">
        <f t="shared" si="38"/>
        <v>11-Infraestructura Tecnológica   (Sistemas de Información y Tecnologia)</v>
      </c>
      <c r="V644" s="219" t="s">
        <v>239</v>
      </c>
      <c r="W644" s="221" t="str">
        <f>IFERROR(VLOOKUP(V644,TD!$N$34:$O$46,2,0)," ")</f>
        <v>Servicios tecnológicos</v>
      </c>
      <c r="X644" s="222" t="str">
        <f t="shared" si="39"/>
        <v>007_Servicios tecnológicos</v>
      </c>
      <c r="Y644" s="222" t="str">
        <f t="shared" si="40"/>
        <v>11-Infraestructura Tecnológica   (Sistemas de Información y Tecnologia) 007_Servicios tecnológicos</v>
      </c>
      <c r="Z644" s="221" t="str">
        <f t="shared" si="41"/>
        <v>O23011745992024020711007</v>
      </c>
      <c r="AA644" s="221" t="str">
        <f>IFERROR(VLOOKUP(Y644,TD!$K$47:$L$65,2,0)," ")</f>
        <v>PM/0131/0111/45990070207</v>
      </c>
      <c r="AB644" s="53" t="s">
        <v>138</v>
      </c>
      <c r="AC644" s="223" t="s">
        <v>204</v>
      </c>
    </row>
    <row r="645" spans="2:29" s="28" customFormat="1" ht="99" customHeight="1" x14ac:dyDescent="0.35">
      <c r="B645" s="77">
        <v>20250662</v>
      </c>
      <c r="C645" s="50" t="s">
        <v>209</v>
      </c>
      <c r="D645" s="218" t="s">
        <v>167</v>
      </c>
      <c r="E645" s="219" t="s">
        <v>509</v>
      </c>
      <c r="F645" s="218" t="s">
        <v>887</v>
      </c>
      <c r="G645" s="218" t="s">
        <v>155</v>
      </c>
      <c r="H645" s="93">
        <v>80111600</v>
      </c>
      <c r="I645" s="220">
        <v>0</v>
      </c>
      <c r="J645" s="220">
        <v>0</v>
      </c>
      <c r="K645" s="52">
        <v>0</v>
      </c>
      <c r="L645" s="53">
        <v>1410000</v>
      </c>
      <c r="M645" s="218" t="s">
        <v>173</v>
      </c>
      <c r="N645" s="53" t="s">
        <v>128</v>
      </c>
      <c r="O645" s="219" t="s">
        <v>225</v>
      </c>
      <c r="P645" s="221" t="str">
        <f>IFERROR(VLOOKUP(C645,TD!$B$33:$F$37,2,0)," ")</f>
        <v>O230117</v>
      </c>
      <c r="Q645" s="221" t="str">
        <f>IFERROR(VLOOKUP(C645,TD!$B$33:$F$37,3,0)," ")</f>
        <v>4503</v>
      </c>
      <c r="R645" s="221">
        <f>IFERROR(VLOOKUP(C645,TD!$B$33:$F$37,4,0)," ")</f>
        <v>20240255</v>
      </c>
      <c r="S645" s="219" t="s">
        <v>179</v>
      </c>
      <c r="T645" s="221" t="str">
        <f>IFERROR(VLOOKUP(S645,TD!$J$34:$K$44,2,0)," ")</f>
        <v>Infraestructura Tecnológica   (Sistemas de Información y Tecnologia)</v>
      </c>
      <c r="U645" s="222" t="str">
        <f t="shared" si="38"/>
        <v>11-Infraestructura Tecnológica   (Sistemas de Información y Tecnologia)</v>
      </c>
      <c r="V645" s="219" t="s">
        <v>235</v>
      </c>
      <c r="W645" s="221" t="str">
        <f>IFERROR(VLOOKUP(V645,TD!$N$34:$O$46,2,0)," ")</f>
        <v>"Servicio de monitoreo y seguimiento para la gestión del riesgo"</v>
      </c>
      <c r="X645" s="222" t="str">
        <f t="shared" si="39"/>
        <v>018_"Servicio de monitoreo y seguimiento para la gestión del riesgo"</v>
      </c>
      <c r="Y645" s="222" t="str">
        <f t="shared" si="40"/>
        <v>11-Infraestructura Tecnológica   (Sistemas de Información y Tecnologia) 018_"Servicio de monitoreo y seguimiento para la gestión del riesgo"</v>
      </c>
      <c r="Z645" s="221" t="str">
        <f t="shared" si="41"/>
        <v>O23011745032024025511018</v>
      </c>
      <c r="AA645" s="221" t="str">
        <f>IFERROR(VLOOKUP(Y645,TD!$K$47:$L$65,2,0)," ")</f>
        <v>PM/0131/0111/45030180255</v>
      </c>
      <c r="AB645" s="53" t="s">
        <v>138</v>
      </c>
      <c r="AC645" s="223" t="s">
        <v>205</v>
      </c>
    </row>
    <row r="646" spans="2:29" s="28" customFormat="1" ht="99" customHeight="1" x14ac:dyDescent="0.35">
      <c r="B646" s="77">
        <v>20250663</v>
      </c>
      <c r="C646" s="50" t="s">
        <v>346</v>
      </c>
      <c r="D646" s="218" t="s">
        <v>168</v>
      </c>
      <c r="E646" s="219" t="s">
        <v>611</v>
      </c>
      <c r="F646" s="218" t="s">
        <v>888</v>
      </c>
      <c r="G646" s="218" t="s">
        <v>96</v>
      </c>
      <c r="H646" s="93">
        <v>78181505</v>
      </c>
      <c r="I646" s="220">
        <v>3</v>
      </c>
      <c r="J646" s="220">
        <v>2</v>
      </c>
      <c r="K646" s="52">
        <v>0</v>
      </c>
      <c r="L646" s="53">
        <v>2000000</v>
      </c>
      <c r="M646" s="218" t="s">
        <v>172</v>
      </c>
      <c r="N646" s="53" t="s">
        <v>100</v>
      </c>
      <c r="O646" s="219" t="s">
        <v>347</v>
      </c>
      <c r="P646" s="221" t="str">
        <f>IFERROR(VLOOKUP(C646,TD!$B$33:$F$37,2,0)," ")</f>
        <v>NA</v>
      </c>
      <c r="Q646" s="221" t="str">
        <f>IFERROR(VLOOKUP(C646,TD!$B$33:$F$37,3,0)," ")</f>
        <v>NA</v>
      </c>
      <c r="R646" s="221" t="str">
        <f>IFERROR(VLOOKUP(C646,TD!$B$33:$F$37,4,0)," ")</f>
        <v>NA</v>
      </c>
      <c r="S646" s="219" t="s">
        <v>406</v>
      </c>
      <c r="T646" s="221" t="str">
        <f>IFERROR(VLOOKUP(S646,TD!$J$34:$K$44,2,0)," ")</f>
        <v>N/A</v>
      </c>
      <c r="U646" s="222" t="str">
        <f t="shared" si="38"/>
        <v>N/A-N/A</v>
      </c>
      <c r="V646" s="219" t="s">
        <v>406</v>
      </c>
      <c r="W646" s="221" t="str">
        <f>IFERROR(VLOOKUP(V646,TD!$N$34:$O$46,2,0)," ")</f>
        <v>N/A</v>
      </c>
      <c r="X646" s="222" t="str">
        <f t="shared" si="39"/>
        <v>N/A_N/A</v>
      </c>
      <c r="Y646" s="222" t="str">
        <f t="shared" si="40"/>
        <v>N/A-N/A N/A_N/A</v>
      </c>
      <c r="Z646" s="221" t="str">
        <f t="shared" si="41"/>
        <v>NANANAN/AN/A</v>
      </c>
      <c r="AA646" s="221" t="str">
        <f>IFERROR(VLOOKUP(Y646,TD!$K$47:$L$65,2,0)," ")</f>
        <v>N/A</v>
      </c>
      <c r="AB646" s="53" t="s">
        <v>453</v>
      </c>
      <c r="AC646" s="223" t="s">
        <v>205</v>
      </c>
    </row>
    <row r="647" spans="2:29" s="28" customFormat="1" ht="99" customHeight="1" x14ac:dyDescent="0.35">
      <c r="B647" s="77">
        <v>20250664</v>
      </c>
      <c r="C647" s="50" t="s">
        <v>209</v>
      </c>
      <c r="D647" s="218" t="s">
        <v>168</v>
      </c>
      <c r="E647" s="219" t="s">
        <v>611</v>
      </c>
      <c r="F647" s="218" t="s">
        <v>889</v>
      </c>
      <c r="G647" s="218" t="s">
        <v>156</v>
      </c>
      <c r="H647" s="93">
        <v>80111600</v>
      </c>
      <c r="I647" s="220">
        <v>3</v>
      </c>
      <c r="J647" s="220">
        <v>6</v>
      </c>
      <c r="K647" s="52">
        <v>0</v>
      </c>
      <c r="L647" s="53">
        <v>19680000</v>
      </c>
      <c r="M647" s="218" t="s">
        <v>465</v>
      </c>
      <c r="N647" s="53" t="s">
        <v>113</v>
      </c>
      <c r="O647" s="219" t="s">
        <v>224</v>
      </c>
      <c r="P647" s="221" t="str">
        <f>IFERROR(VLOOKUP(C647,TD!$B$33:$F$37,2,0)," ")</f>
        <v>O230117</v>
      </c>
      <c r="Q647" s="221" t="str">
        <f>IFERROR(VLOOKUP(C647,TD!$B$33:$F$37,3,0)," ")</f>
        <v>4503</v>
      </c>
      <c r="R647" s="221">
        <f>IFERROR(VLOOKUP(C647,TD!$B$33:$F$37,4,0)," ")</f>
        <v>20240255</v>
      </c>
      <c r="S647" s="219" t="s">
        <v>191</v>
      </c>
      <c r="T647" s="221" t="str">
        <f>IFERROR(VLOOKUP(S647,TD!$J$34:$K$44,2,0)," ")</f>
        <v>Servicio de apoyo   logístico  en eventos operativos y/o emergencias.</v>
      </c>
      <c r="U647" s="222" t="str">
        <f t="shared" si="38"/>
        <v>12-Servicio de apoyo   logístico  en eventos operativos y/o emergencias.</v>
      </c>
      <c r="V647" s="219" t="s">
        <v>232</v>
      </c>
      <c r="W647" s="221" t="str">
        <f>IFERROR(VLOOKUP(V647,TD!$N$34:$O$46,2,0)," ")</f>
        <v>Servicio de atención a emergencias y desastres</v>
      </c>
      <c r="X647" s="222" t="str">
        <f t="shared" si="39"/>
        <v>004_Servicio de atención a emergencias y desastres</v>
      </c>
      <c r="Y647" s="222" t="str">
        <f t="shared" si="40"/>
        <v>12-Servicio de apoyo   logístico  en eventos operativos y/o emergencias. 004_Servicio de atención a emergencias y desastres</v>
      </c>
      <c r="Z647" s="221" t="str">
        <f t="shared" si="41"/>
        <v>O23011745032024025512004</v>
      </c>
      <c r="AA647" s="221" t="str">
        <f>IFERROR(VLOOKUP(Y647,TD!$K$47:$L$65,2,0)," ")</f>
        <v>PM/0131/0112/45030040255</v>
      </c>
      <c r="AB647" s="53" t="s">
        <v>138</v>
      </c>
      <c r="AC647" s="223" t="s">
        <v>204</v>
      </c>
    </row>
    <row r="648" spans="2:29" s="28" customFormat="1" ht="99" customHeight="1" x14ac:dyDescent="0.35">
      <c r="B648" s="77">
        <v>20250665</v>
      </c>
      <c r="C648" s="50" t="s">
        <v>208</v>
      </c>
      <c r="D648" s="218" t="s">
        <v>166</v>
      </c>
      <c r="E648" s="219" t="s">
        <v>565</v>
      </c>
      <c r="F648" s="218" t="s">
        <v>895</v>
      </c>
      <c r="G648" s="218" t="s">
        <v>152</v>
      </c>
      <c r="H648" s="93" t="s">
        <v>897</v>
      </c>
      <c r="I648" s="220">
        <v>3</v>
      </c>
      <c r="J648" s="220">
        <v>3</v>
      </c>
      <c r="K648" s="52">
        <v>0</v>
      </c>
      <c r="L648" s="53">
        <v>50000000</v>
      </c>
      <c r="M648" s="218" t="s">
        <v>465</v>
      </c>
      <c r="N648" s="53" t="s">
        <v>95</v>
      </c>
      <c r="O648" s="219" t="s">
        <v>218</v>
      </c>
      <c r="P648" s="221" t="str">
        <f>IFERROR(VLOOKUP(C648,TD!$B$33:$F$37,2,0)," ")</f>
        <v>O230117</v>
      </c>
      <c r="Q648" s="221" t="str">
        <f>IFERROR(VLOOKUP(C648,TD!$B$33:$F$37,3,0)," ")</f>
        <v>4599</v>
      </c>
      <c r="R648" s="221">
        <f>IFERROR(VLOOKUP(C648,TD!$B$33:$F$37,4,0)," ")</f>
        <v>20240207</v>
      </c>
      <c r="S648" s="219" t="s">
        <v>185</v>
      </c>
      <c r="T648" s="221" t="str">
        <f>IFERROR(VLOOKUP(S648,TD!$J$34:$K$44,2,0)," ")</f>
        <v>Infraestructura física, mantenimiento y dotación (Sedes construidas, mantenidas reforzadas)</v>
      </c>
      <c r="U648" s="222" t="str">
        <f t="shared" si="38"/>
        <v>08-Infraestructura física, mantenimiento y dotación (Sedes construidas, mantenidas reforzadas)</v>
      </c>
      <c r="V648" s="219" t="s">
        <v>238</v>
      </c>
      <c r="W648" s="221" t="str">
        <f>IFERROR(VLOOKUP(V648,TD!$N$34:$O$46,2,0)," ")</f>
        <v>Sedes mantenidas</v>
      </c>
      <c r="X648" s="222" t="str">
        <f t="shared" si="39"/>
        <v>016_Sedes mantenidas</v>
      </c>
      <c r="Y648" s="222" t="str">
        <f t="shared" si="40"/>
        <v>08-Infraestructura física, mantenimiento y dotación (Sedes construidas, mantenidas reforzadas) 016_Sedes mantenidas</v>
      </c>
      <c r="Z648" s="221" t="str">
        <f t="shared" si="41"/>
        <v>O23011745992024020708016</v>
      </c>
      <c r="AA648" s="221" t="str">
        <f>IFERROR(VLOOKUP(Y648,TD!$K$47:$L$65,2,0)," ")</f>
        <v>PM/0131/0108/45990160207</v>
      </c>
      <c r="AB648" s="53" t="s">
        <v>138</v>
      </c>
      <c r="AC648" s="223" t="s">
        <v>205</v>
      </c>
    </row>
    <row r="649" spans="2:29" s="28" customFormat="1" ht="99" customHeight="1" x14ac:dyDescent="0.35">
      <c r="B649" s="77">
        <v>20250666</v>
      </c>
      <c r="C649" s="50" t="s">
        <v>208</v>
      </c>
      <c r="D649" s="218" t="s">
        <v>166</v>
      </c>
      <c r="E649" s="219" t="s">
        <v>565</v>
      </c>
      <c r="F649" s="218" t="s">
        <v>896</v>
      </c>
      <c r="G649" s="218" t="s">
        <v>146</v>
      </c>
      <c r="H649" s="93" t="s">
        <v>898</v>
      </c>
      <c r="I649" s="220">
        <v>4</v>
      </c>
      <c r="J649" s="220">
        <v>1</v>
      </c>
      <c r="K649" s="52">
        <v>0</v>
      </c>
      <c r="L649" s="53">
        <v>10000000</v>
      </c>
      <c r="M649" s="218" t="s">
        <v>465</v>
      </c>
      <c r="N649" s="53" t="s">
        <v>90</v>
      </c>
      <c r="O649" s="219" t="s">
        <v>218</v>
      </c>
      <c r="P649" s="221" t="str">
        <f>IFERROR(VLOOKUP(C649,TD!$B$33:$F$37,2,0)," ")</f>
        <v>O230117</v>
      </c>
      <c r="Q649" s="221" t="str">
        <f>IFERROR(VLOOKUP(C649,TD!$B$33:$F$37,3,0)," ")</f>
        <v>4599</v>
      </c>
      <c r="R649" s="221">
        <f>IFERROR(VLOOKUP(C649,TD!$B$33:$F$37,4,0)," ")</f>
        <v>20240207</v>
      </c>
      <c r="S649" s="219" t="s">
        <v>185</v>
      </c>
      <c r="T649" s="221" t="str">
        <f>IFERROR(VLOOKUP(S649,TD!$J$34:$K$44,2,0)," ")</f>
        <v>Infraestructura física, mantenimiento y dotación (Sedes construidas, mantenidas reforzadas)</v>
      </c>
      <c r="U649" s="222" t="str">
        <f t="shared" si="38"/>
        <v>08-Infraestructura física, mantenimiento y dotación (Sedes construidas, mantenidas reforzadas)</v>
      </c>
      <c r="V649" s="219" t="s">
        <v>238</v>
      </c>
      <c r="W649" s="221" t="str">
        <f>IFERROR(VLOOKUP(V649,TD!$N$34:$O$46,2,0)," ")</f>
        <v>Sedes mantenidas</v>
      </c>
      <c r="X649" s="222" t="str">
        <f t="shared" si="39"/>
        <v>016_Sedes mantenidas</v>
      </c>
      <c r="Y649" s="222" t="str">
        <f t="shared" si="40"/>
        <v>08-Infraestructura física, mantenimiento y dotación (Sedes construidas, mantenidas reforzadas) 016_Sedes mantenidas</v>
      </c>
      <c r="Z649" s="221" t="str">
        <f t="shared" si="41"/>
        <v>O23011745992024020708016</v>
      </c>
      <c r="AA649" s="221" t="str">
        <f>IFERROR(VLOOKUP(Y649,TD!$K$47:$L$65,2,0)," ")</f>
        <v>PM/0131/0108/45990160207</v>
      </c>
      <c r="AB649" s="53" t="s">
        <v>147</v>
      </c>
      <c r="AC649" s="223" t="s">
        <v>205</v>
      </c>
    </row>
    <row r="650" spans="2:29" s="28" customFormat="1" ht="99" customHeight="1" x14ac:dyDescent="0.35">
      <c r="B650" s="130">
        <v>20250667</v>
      </c>
      <c r="C650" s="132" t="s">
        <v>208</v>
      </c>
      <c r="D650" s="224" t="s">
        <v>162</v>
      </c>
      <c r="E650" s="225" t="s">
        <v>355</v>
      </c>
      <c r="F650" s="224" t="s">
        <v>780</v>
      </c>
      <c r="G650" s="224" t="s">
        <v>155</v>
      </c>
      <c r="H650" s="133">
        <v>80111600</v>
      </c>
      <c r="I650" s="226">
        <v>4</v>
      </c>
      <c r="J650" s="226">
        <v>8</v>
      </c>
      <c r="K650" s="129">
        <v>0</v>
      </c>
      <c r="L650" s="128">
        <v>44000000</v>
      </c>
      <c r="M650" s="224" t="s">
        <v>465</v>
      </c>
      <c r="N650" s="128" t="s">
        <v>113</v>
      </c>
      <c r="O650" s="225" t="s">
        <v>215</v>
      </c>
      <c r="P650" s="227" t="str">
        <f>IFERROR(VLOOKUP(C650,TD!$B$33:$F$37,2,0)," ")</f>
        <v>O230117</v>
      </c>
      <c r="Q650" s="227" t="str">
        <f>IFERROR(VLOOKUP(C650,TD!$B$33:$F$37,3,0)," ")</f>
        <v>4599</v>
      </c>
      <c r="R650" s="227">
        <f>IFERROR(VLOOKUP(C650,TD!$B$33:$F$37,4,0)," ")</f>
        <v>20240207</v>
      </c>
      <c r="S650" s="225" t="s">
        <v>179</v>
      </c>
      <c r="T650" s="227" t="str">
        <f>IFERROR(VLOOKUP(S650,TD!$J$34:$K$44,2,0)," ")</f>
        <v>Infraestructura Tecnológica   (Sistemas de Información y Tecnologia)</v>
      </c>
      <c r="U650" s="222" t="str">
        <f t="shared" si="38"/>
        <v>11-Infraestructura Tecnológica   (Sistemas de Información y Tecnologia)</v>
      </c>
      <c r="V650" s="225" t="s">
        <v>239</v>
      </c>
      <c r="W650" s="227" t="str">
        <f>IFERROR(VLOOKUP(V650,TD!$N$34:$O$46,2,0)," ")</f>
        <v>Servicios tecnológicos</v>
      </c>
      <c r="X650" s="222" t="str">
        <f t="shared" si="39"/>
        <v>007_Servicios tecnológicos</v>
      </c>
      <c r="Y650" s="222" t="str">
        <f t="shared" si="40"/>
        <v>11-Infraestructura Tecnológica   (Sistemas de Información y Tecnologia) 007_Servicios tecnológicos</v>
      </c>
      <c r="Z650" s="227" t="str">
        <f t="shared" si="41"/>
        <v>O23011745992024020711007</v>
      </c>
      <c r="AA650" s="227" t="str">
        <f>IFERROR(VLOOKUP(Y650,TD!$K$47:$L$65,2,0)," ")</f>
        <v>PM/0131/0111/45990070207</v>
      </c>
      <c r="AB650" s="128" t="s">
        <v>138</v>
      </c>
      <c r="AC650" s="228" t="s">
        <v>204</v>
      </c>
    </row>
    <row r="651" spans="2:29" s="28" customFormat="1" ht="99" customHeight="1" x14ac:dyDescent="0.35">
      <c r="B651" s="77">
        <v>20250668</v>
      </c>
      <c r="C651" s="50" t="s">
        <v>209</v>
      </c>
      <c r="D651" s="218" t="s">
        <v>169</v>
      </c>
      <c r="E651" s="219" t="s">
        <v>466</v>
      </c>
      <c r="F651" s="218" t="s">
        <v>901</v>
      </c>
      <c r="G651" s="218" t="s">
        <v>137</v>
      </c>
      <c r="H651" s="93" t="s">
        <v>406</v>
      </c>
      <c r="I651" s="220">
        <v>11</v>
      </c>
      <c r="J651" s="220">
        <v>0</v>
      </c>
      <c r="K651" s="52">
        <v>0</v>
      </c>
      <c r="L651" s="53">
        <v>6914368197</v>
      </c>
      <c r="M651" s="218" t="s">
        <v>465</v>
      </c>
      <c r="N651" s="53" t="s">
        <v>128</v>
      </c>
      <c r="O651" s="219" t="s">
        <v>223</v>
      </c>
      <c r="P651" s="221" t="str">
        <f>IFERROR(VLOOKUP(C651,TD!$B$33:$F$37,2,0)," ")</f>
        <v>O230117</v>
      </c>
      <c r="Q651" s="221" t="str">
        <f>IFERROR(VLOOKUP(C651,TD!$B$33:$F$37,3,0)," ")</f>
        <v>4503</v>
      </c>
      <c r="R651" s="221">
        <f>IFERROR(VLOOKUP(C651,TD!$B$33:$F$37,4,0)," ")</f>
        <v>20240255</v>
      </c>
      <c r="S651" s="219" t="s">
        <v>175</v>
      </c>
      <c r="T651" s="221" t="str">
        <f>IFERROR(VLOOKUP(S651,TD!$J$34:$K$44,2,0)," ")</f>
        <v>Servicio de atención a incidentes y emergencias.</v>
      </c>
      <c r="U651" s="222" t="str">
        <f t="shared" si="38"/>
        <v>04-Servicio de atención a incidentes y emergencias.</v>
      </c>
      <c r="V651" s="219" t="s">
        <v>232</v>
      </c>
      <c r="W651" s="221" t="str">
        <f>IFERROR(VLOOKUP(V651,TD!$N$34:$O$46,2,0)," ")</f>
        <v>Servicio de atención a emergencias y desastres</v>
      </c>
      <c r="X651" s="222" t="str">
        <f t="shared" si="39"/>
        <v>004_Servicio de atención a emergencias y desastres</v>
      </c>
      <c r="Y651" s="222" t="str">
        <f t="shared" si="40"/>
        <v>04-Servicio de atención a incidentes y emergencias. 004_Servicio de atención a emergencias y desastres</v>
      </c>
      <c r="Z651" s="221" t="str">
        <f t="shared" si="41"/>
        <v>O23011745032024025504004</v>
      </c>
      <c r="AA651" s="221" t="str">
        <f>IFERROR(VLOOKUP(Y651,TD!$K$47:$L$65,2,0)," ")</f>
        <v>PM/0131/0104/45030040255</v>
      </c>
      <c r="AB651" s="53" t="s">
        <v>138</v>
      </c>
      <c r="AC651" s="223" t="s">
        <v>205</v>
      </c>
    </row>
    <row r="652" spans="2:29" s="28" customFormat="1" ht="99" customHeight="1" x14ac:dyDescent="0.35">
      <c r="B652" s="77">
        <v>20250669</v>
      </c>
      <c r="C652" s="50" t="s">
        <v>209</v>
      </c>
      <c r="D652" s="218" t="s">
        <v>169</v>
      </c>
      <c r="E652" s="219" t="s">
        <v>466</v>
      </c>
      <c r="F652" s="218" t="s">
        <v>902</v>
      </c>
      <c r="G652" s="218" t="s">
        <v>155</v>
      </c>
      <c r="H652" s="93">
        <v>80111600</v>
      </c>
      <c r="I652" s="220">
        <v>4</v>
      </c>
      <c r="J652" s="220">
        <v>9</v>
      </c>
      <c r="K652" s="52">
        <v>0</v>
      </c>
      <c r="L652" s="53">
        <v>85500000</v>
      </c>
      <c r="M652" s="218" t="s">
        <v>465</v>
      </c>
      <c r="N652" s="53" t="s">
        <v>113</v>
      </c>
      <c r="O652" s="219" t="s">
        <v>222</v>
      </c>
      <c r="P652" s="221" t="str">
        <f>IFERROR(VLOOKUP(C652,TD!$B$33:$F$37,2,0)," ")</f>
        <v>O230117</v>
      </c>
      <c r="Q652" s="221" t="str">
        <f>IFERROR(VLOOKUP(C652,TD!$B$33:$F$37,3,0)," ")</f>
        <v>4503</v>
      </c>
      <c r="R652" s="221">
        <f>IFERROR(VLOOKUP(C652,TD!$B$33:$F$37,4,0)," ")</f>
        <v>20240255</v>
      </c>
      <c r="S652" s="219" t="s">
        <v>175</v>
      </c>
      <c r="T652" s="221" t="str">
        <f>IFERROR(VLOOKUP(S652,TD!$J$34:$K$44,2,0)," ")</f>
        <v>Servicio de atención a incidentes y emergencias.</v>
      </c>
      <c r="U652" s="222" t="str">
        <f t="shared" ref="U652:U715" si="42">CONCATENATE(S652,"-",T652)</f>
        <v>04-Servicio de atención a incidentes y emergencias.</v>
      </c>
      <c r="V652" s="219" t="s">
        <v>232</v>
      </c>
      <c r="W652" s="221" t="str">
        <f>IFERROR(VLOOKUP(V652,TD!$N$34:$O$46,2,0)," ")</f>
        <v>Servicio de atención a emergencias y desastres</v>
      </c>
      <c r="X652" s="222" t="str">
        <f t="shared" ref="X652:X715" si="43">CONCATENATE(V652,"_",W652)</f>
        <v>004_Servicio de atención a emergencias y desastres</v>
      </c>
      <c r="Y652" s="222" t="str">
        <f t="shared" ref="Y652:Y715" si="44">CONCATENATE(U652," ",X652)</f>
        <v>04-Servicio de atención a incidentes y emergencias. 004_Servicio de atención a emergencias y desastres</v>
      </c>
      <c r="Z652" s="221" t="str">
        <f t="shared" ref="Z652:Z715" si="45">CONCATENATE(P652,Q652,R652,S652,V652)</f>
        <v>O23011745032024025504004</v>
      </c>
      <c r="AA652" s="221" t="str">
        <f>IFERROR(VLOOKUP(Y652,TD!$K$47:$L$65,2,0)," ")</f>
        <v>PM/0131/0104/45030040255</v>
      </c>
      <c r="AB652" s="53" t="s">
        <v>120</v>
      </c>
      <c r="AC652" s="223" t="s">
        <v>204</v>
      </c>
    </row>
    <row r="653" spans="2:29" s="28" customFormat="1" ht="99" customHeight="1" x14ac:dyDescent="0.35">
      <c r="B653" s="77">
        <v>20250670</v>
      </c>
      <c r="C653" s="50" t="s">
        <v>209</v>
      </c>
      <c r="D653" s="218" t="s">
        <v>169</v>
      </c>
      <c r="E653" s="219" t="s">
        <v>466</v>
      </c>
      <c r="F653" s="218" t="s">
        <v>903</v>
      </c>
      <c r="G653" s="218" t="s">
        <v>155</v>
      </c>
      <c r="H653" s="93">
        <v>80111600</v>
      </c>
      <c r="I653" s="220">
        <v>4</v>
      </c>
      <c r="J653" s="220">
        <v>9</v>
      </c>
      <c r="K653" s="52">
        <v>0</v>
      </c>
      <c r="L653" s="53">
        <v>85500000</v>
      </c>
      <c r="M653" s="218" t="s">
        <v>465</v>
      </c>
      <c r="N653" s="53" t="s">
        <v>113</v>
      </c>
      <c r="O653" s="219" t="s">
        <v>222</v>
      </c>
      <c r="P653" s="221" t="str">
        <f>IFERROR(VLOOKUP(C653,TD!$B$33:$F$37,2,0)," ")</f>
        <v>O230117</v>
      </c>
      <c r="Q653" s="221" t="str">
        <f>IFERROR(VLOOKUP(C653,TD!$B$33:$F$37,3,0)," ")</f>
        <v>4503</v>
      </c>
      <c r="R653" s="221">
        <f>IFERROR(VLOOKUP(C653,TD!$B$33:$F$37,4,0)," ")</f>
        <v>20240255</v>
      </c>
      <c r="S653" s="219" t="s">
        <v>175</v>
      </c>
      <c r="T653" s="221" t="str">
        <f>IFERROR(VLOOKUP(S653,TD!$J$34:$K$44,2,0)," ")</f>
        <v>Servicio de atención a incidentes y emergencias.</v>
      </c>
      <c r="U653" s="222" t="str">
        <f t="shared" si="42"/>
        <v>04-Servicio de atención a incidentes y emergencias.</v>
      </c>
      <c r="V653" s="219" t="s">
        <v>232</v>
      </c>
      <c r="W653" s="221" t="str">
        <f>IFERROR(VLOOKUP(V653,TD!$N$34:$O$46,2,0)," ")</f>
        <v>Servicio de atención a emergencias y desastres</v>
      </c>
      <c r="X653" s="222" t="str">
        <f t="shared" si="43"/>
        <v>004_Servicio de atención a emergencias y desastres</v>
      </c>
      <c r="Y653" s="222" t="str">
        <f t="shared" si="44"/>
        <v>04-Servicio de atención a incidentes y emergencias. 004_Servicio de atención a emergencias y desastres</v>
      </c>
      <c r="Z653" s="221" t="str">
        <f t="shared" si="45"/>
        <v>O23011745032024025504004</v>
      </c>
      <c r="AA653" s="221" t="str">
        <f>IFERROR(VLOOKUP(Y653,TD!$K$47:$L$65,2,0)," ")</f>
        <v>PM/0131/0104/45030040255</v>
      </c>
      <c r="AB653" s="53" t="s">
        <v>120</v>
      </c>
      <c r="AC653" s="223" t="s">
        <v>204</v>
      </c>
    </row>
    <row r="654" spans="2:29" s="28" customFormat="1" ht="99" customHeight="1" x14ac:dyDescent="0.35">
      <c r="B654" s="77">
        <v>20250671</v>
      </c>
      <c r="C654" s="50" t="s">
        <v>209</v>
      </c>
      <c r="D654" s="218" t="s">
        <v>169</v>
      </c>
      <c r="E654" s="219" t="s">
        <v>466</v>
      </c>
      <c r="F654" s="218" t="s">
        <v>904</v>
      </c>
      <c r="G654" s="218" t="s">
        <v>155</v>
      </c>
      <c r="H654" s="93">
        <v>80111600</v>
      </c>
      <c r="I654" s="220">
        <v>4</v>
      </c>
      <c r="J654" s="220">
        <v>9</v>
      </c>
      <c r="K654" s="52">
        <v>0</v>
      </c>
      <c r="L654" s="53">
        <v>85500000</v>
      </c>
      <c r="M654" s="218" t="s">
        <v>465</v>
      </c>
      <c r="N654" s="53" t="s">
        <v>113</v>
      </c>
      <c r="O654" s="219" t="s">
        <v>222</v>
      </c>
      <c r="P654" s="221" t="str">
        <f>IFERROR(VLOOKUP(C654,TD!$B$33:$F$37,2,0)," ")</f>
        <v>O230117</v>
      </c>
      <c r="Q654" s="221" t="str">
        <f>IFERROR(VLOOKUP(C654,TD!$B$33:$F$37,3,0)," ")</f>
        <v>4503</v>
      </c>
      <c r="R654" s="221">
        <f>IFERROR(VLOOKUP(C654,TD!$B$33:$F$37,4,0)," ")</f>
        <v>20240255</v>
      </c>
      <c r="S654" s="219" t="s">
        <v>175</v>
      </c>
      <c r="T654" s="221" t="str">
        <f>IFERROR(VLOOKUP(S654,TD!$J$34:$K$44,2,0)," ")</f>
        <v>Servicio de atención a incidentes y emergencias.</v>
      </c>
      <c r="U654" s="222" t="str">
        <f t="shared" si="42"/>
        <v>04-Servicio de atención a incidentes y emergencias.</v>
      </c>
      <c r="V654" s="219" t="s">
        <v>232</v>
      </c>
      <c r="W654" s="221" t="str">
        <f>IFERROR(VLOOKUP(V654,TD!$N$34:$O$46,2,0)," ")</f>
        <v>Servicio de atención a emergencias y desastres</v>
      </c>
      <c r="X654" s="222" t="str">
        <f t="shared" si="43"/>
        <v>004_Servicio de atención a emergencias y desastres</v>
      </c>
      <c r="Y654" s="222" t="str">
        <f t="shared" si="44"/>
        <v>04-Servicio de atención a incidentes y emergencias. 004_Servicio de atención a emergencias y desastres</v>
      </c>
      <c r="Z654" s="221" t="str">
        <f t="shared" si="45"/>
        <v>O23011745032024025504004</v>
      </c>
      <c r="AA654" s="221" t="str">
        <f>IFERROR(VLOOKUP(Y654,TD!$K$47:$L$65,2,0)," ")</f>
        <v>PM/0131/0104/45030040255</v>
      </c>
      <c r="AB654" s="53" t="s">
        <v>120</v>
      </c>
      <c r="AC654" s="223" t="s">
        <v>204</v>
      </c>
    </row>
    <row r="655" spans="2:29" s="28" customFormat="1" ht="99" customHeight="1" x14ac:dyDescent="0.35">
      <c r="B655" s="77">
        <v>20250672</v>
      </c>
      <c r="C655" s="50" t="s">
        <v>209</v>
      </c>
      <c r="D655" s="218" t="s">
        <v>169</v>
      </c>
      <c r="E655" s="219" t="s">
        <v>466</v>
      </c>
      <c r="F655" s="218" t="s">
        <v>969</v>
      </c>
      <c r="G655" s="218" t="s">
        <v>156</v>
      </c>
      <c r="H655" s="93">
        <v>80111600</v>
      </c>
      <c r="I655" s="220">
        <v>6</v>
      </c>
      <c r="J655" s="220">
        <v>9</v>
      </c>
      <c r="K655" s="52">
        <v>0</v>
      </c>
      <c r="L655" s="53">
        <f>54000000-14400000</f>
        <v>39600000</v>
      </c>
      <c r="M655" s="218" t="s">
        <v>465</v>
      </c>
      <c r="N655" s="53" t="s">
        <v>113</v>
      </c>
      <c r="O655" s="219" t="s">
        <v>222</v>
      </c>
      <c r="P655" s="221" t="str">
        <f>IFERROR(VLOOKUP(C655,TD!$B$33:$F$37,2,0)," ")</f>
        <v>O230117</v>
      </c>
      <c r="Q655" s="221" t="str">
        <f>IFERROR(VLOOKUP(C655,TD!$B$33:$F$37,3,0)," ")</f>
        <v>4503</v>
      </c>
      <c r="R655" s="221">
        <f>IFERROR(VLOOKUP(C655,TD!$B$33:$F$37,4,0)," ")</f>
        <v>20240255</v>
      </c>
      <c r="S655" s="219" t="s">
        <v>175</v>
      </c>
      <c r="T655" s="221" t="str">
        <f>IFERROR(VLOOKUP(S655,TD!$J$34:$K$44,2,0)," ")</f>
        <v>Servicio de atención a incidentes y emergencias.</v>
      </c>
      <c r="U655" s="222" t="str">
        <f t="shared" si="42"/>
        <v>04-Servicio de atención a incidentes y emergencias.</v>
      </c>
      <c r="V655" s="219" t="s">
        <v>232</v>
      </c>
      <c r="W655" s="221" t="str">
        <f>IFERROR(VLOOKUP(V655,TD!$N$34:$O$46,2,0)," ")</f>
        <v>Servicio de atención a emergencias y desastres</v>
      </c>
      <c r="X655" s="222" t="str">
        <f t="shared" si="43"/>
        <v>004_Servicio de atención a emergencias y desastres</v>
      </c>
      <c r="Y655" s="222" t="str">
        <f t="shared" si="44"/>
        <v>04-Servicio de atención a incidentes y emergencias. 004_Servicio de atención a emergencias y desastres</v>
      </c>
      <c r="Z655" s="221" t="str">
        <f t="shared" si="45"/>
        <v>O23011745032024025504004</v>
      </c>
      <c r="AA655" s="221" t="str">
        <f>IFERROR(VLOOKUP(Y655,TD!$K$47:$L$65,2,0)," ")</f>
        <v>PM/0131/0104/45030040255</v>
      </c>
      <c r="AB655" s="53" t="s">
        <v>138</v>
      </c>
      <c r="AC655" s="223" t="s">
        <v>204</v>
      </c>
    </row>
    <row r="656" spans="2:29" s="28" customFormat="1" ht="99" customHeight="1" x14ac:dyDescent="0.35">
      <c r="B656" s="77">
        <v>20250673</v>
      </c>
      <c r="C656" s="50" t="s">
        <v>209</v>
      </c>
      <c r="D656" s="218" t="s">
        <v>169</v>
      </c>
      <c r="E656" s="219" t="s">
        <v>466</v>
      </c>
      <c r="F656" s="218" t="s">
        <v>1051</v>
      </c>
      <c r="G656" s="218" t="s">
        <v>155</v>
      </c>
      <c r="H656" s="93">
        <v>80111600</v>
      </c>
      <c r="I656" s="220">
        <v>4</v>
      </c>
      <c r="J656" s="220">
        <v>9</v>
      </c>
      <c r="K656" s="52">
        <v>0</v>
      </c>
      <c r="L656" s="53">
        <v>56000000</v>
      </c>
      <c r="M656" s="218" t="s">
        <v>465</v>
      </c>
      <c r="N656" s="53" t="s">
        <v>113</v>
      </c>
      <c r="O656" s="219" t="s">
        <v>222</v>
      </c>
      <c r="P656" s="221" t="str">
        <f>IFERROR(VLOOKUP(C656,TD!$B$33:$F$37,2,0)," ")</f>
        <v>O230117</v>
      </c>
      <c r="Q656" s="221" t="str">
        <f>IFERROR(VLOOKUP(C656,TD!$B$33:$F$37,3,0)," ")</f>
        <v>4503</v>
      </c>
      <c r="R656" s="221">
        <f>IFERROR(VLOOKUP(C656,TD!$B$33:$F$37,4,0)," ")</f>
        <v>20240255</v>
      </c>
      <c r="S656" s="219" t="s">
        <v>175</v>
      </c>
      <c r="T656" s="221" t="str">
        <f>IFERROR(VLOOKUP(S656,TD!$J$34:$K$44,2,0)," ")</f>
        <v>Servicio de atención a incidentes y emergencias.</v>
      </c>
      <c r="U656" s="222" t="str">
        <f t="shared" si="42"/>
        <v>04-Servicio de atención a incidentes y emergencias.</v>
      </c>
      <c r="V656" s="219" t="s">
        <v>232</v>
      </c>
      <c r="W656" s="221" t="str">
        <f>IFERROR(VLOOKUP(V656,TD!$N$34:$O$46,2,0)," ")</f>
        <v>Servicio de atención a emergencias y desastres</v>
      </c>
      <c r="X656" s="222" t="str">
        <f t="shared" si="43"/>
        <v>004_Servicio de atención a emergencias y desastres</v>
      </c>
      <c r="Y656" s="222" t="str">
        <f t="shared" si="44"/>
        <v>04-Servicio de atención a incidentes y emergencias. 004_Servicio de atención a emergencias y desastres</v>
      </c>
      <c r="Z656" s="221" t="str">
        <f t="shared" si="45"/>
        <v>O23011745032024025504004</v>
      </c>
      <c r="AA656" s="221" t="str">
        <f>IFERROR(VLOOKUP(Y656,TD!$K$47:$L$65,2,0)," ")</f>
        <v>PM/0131/0104/45030040255</v>
      </c>
      <c r="AB656" s="53" t="s">
        <v>138</v>
      </c>
      <c r="AC656" s="223" t="s">
        <v>204</v>
      </c>
    </row>
    <row r="657" spans="2:29" s="28" customFormat="1" ht="99" customHeight="1" x14ac:dyDescent="0.35">
      <c r="B657" s="77">
        <v>20250674</v>
      </c>
      <c r="C657" s="50" t="s">
        <v>209</v>
      </c>
      <c r="D657" s="218" t="s">
        <v>169</v>
      </c>
      <c r="E657" s="219" t="s">
        <v>466</v>
      </c>
      <c r="F657" s="218" t="s">
        <v>905</v>
      </c>
      <c r="G657" s="218" t="s">
        <v>156</v>
      </c>
      <c r="H657" s="93">
        <v>80111600</v>
      </c>
      <c r="I657" s="220">
        <v>4</v>
      </c>
      <c r="J657" s="220">
        <v>6</v>
      </c>
      <c r="K657" s="52">
        <v>0</v>
      </c>
      <c r="L657" s="53">
        <v>21515700</v>
      </c>
      <c r="M657" s="218" t="s">
        <v>465</v>
      </c>
      <c r="N657" s="53" t="s">
        <v>113</v>
      </c>
      <c r="O657" s="219" t="s">
        <v>222</v>
      </c>
      <c r="P657" s="221" t="str">
        <f>IFERROR(VLOOKUP(C657,TD!$B$33:$F$37,2,0)," ")</f>
        <v>O230117</v>
      </c>
      <c r="Q657" s="221" t="str">
        <f>IFERROR(VLOOKUP(C657,TD!$B$33:$F$37,3,0)," ")</f>
        <v>4503</v>
      </c>
      <c r="R657" s="221">
        <f>IFERROR(VLOOKUP(C657,TD!$B$33:$F$37,4,0)," ")</f>
        <v>20240255</v>
      </c>
      <c r="S657" s="219" t="s">
        <v>175</v>
      </c>
      <c r="T657" s="221" t="str">
        <f>IFERROR(VLOOKUP(S657,TD!$J$34:$K$44,2,0)," ")</f>
        <v>Servicio de atención a incidentes y emergencias.</v>
      </c>
      <c r="U657" s="222" t="str">
        <f t="shared" si="42"/>
        <v>04-Servicio de atención a incidentes y emergencias.</v>
      </c>
      <c r="V657" s="219" t="s">
        <v>232</v>
      </c>
      <c r="W657" s="221" t="str">
        <f>IFERROR(VLOOKUP(V657,TD!$N$34:$O$46,2,0)," ")</f>
        <v>Servicio de atención a emergencias y desastres</v>
      </c>
      <c r="X657" s="222" t="str">
        <f t="shared" si="43"/>
        <v>004_Servicio de atención a emergencias y desastres</v>
      </c>
      <c r="Y657" s="222" t="str">
        <f t="shared" si="44"/>
        <v>04-Servicio de atención a incidentes y emergencias. 004_Servicio de atención a emergencias y desastres</v>
      </c>
      <c r="Z657" s="221" t="str">
        <f t="shared" si="45"/>
        <v>O23011745032024025504004</v>
      </c>
      <c r="AA657" s="221" t="str">
        <f>IFERROR(VLOOKUP(Y657,TD!$K$47:$L$65,2,0)," ")</f>
        <v>PM/0131/0104/45030040255</v>
      </c>
      <c r="AB657" s="53" t="s">
        <v>138</v>
      </c>
      <c r="AC657" s="223" t="s">
        <v>204</v>
      </c>
    </row>
    <row r="658" spans="2:29" s="28" customFormat="1" ht="99" customHeight="1" x14ac:dyDescent="0.35">
      <c r="B658" s="77">
        <v>20250676</v>
      </c>
      <c r="C658" s="50" t="s">
        <v>209</v>
      </c>
      <c r="D658" s="218" t="s">
        <v>169</v>
      </c>
      <c r="E658" s="219" t="s">
        <v>466</v>
      </c>
      <c r="F658" s="218" t="s">
        <v>900</v>
      </c>
      <c r="G658" s="218" t="s">
        <v>155</v>
      </c>
      <c r="H658" s="93">
        <v>80111600</v>
      </c>
      <c r="I658" s="220">
        <v>4</v>
      </c>
      <c r="J658" s="220">
        <v>6</v>
      </c>
      <c r="K658" s="52">
        <v>0</v>
      </c>
      <c r="L658" s="53">
        <v>36000000</v>
      </c>
      <c r="M658" s="218" t="s">
        <v>465</v>
      </c>
      <c r="N658" s="53" t="s">
        <v>113</v>
      </c>
      <c r="O658" s="219" t="s">
        <v>222</v>
      </c>
      <c r="P658" s="221" t="str">
        <f>IFERROR(VLOOKUP(C658,TD!$B$33:$F$37,2,0)," ")</f>
        <v>O230117</v>
      </c>
      <c r="Q658" s="221" t="str">
        <f>IFERROR(VLOOKUP(C658,TD!$B$33:$F$37,3,0)," ")</f>
        <v>4503</v>
      </c>
      <c r="R658" s="221">
        <f>IFERROR(VLOOKUP(C658,TD!$B$33:$F$37,4,0)," ")</f>
        <v>20240255</v>
      </c>
      <c r="S658" s="219" t="s">
        <v>175</v>
      </c>
      <c r="T658" s="221" t="str">
        <f>IFERROR(VLOOKUP(S658,TD!$J$34:$K$44,2,0)," ")</f>
        <v>Servicio de atención a incidentes y emergencias.</v>
      </c>
      <c r="U658" s="222" t="str">
        <f t="shared" si="42"/>
        <v>04-Servicio de atención a incidentes y emergencias.</v>
      </c>
      <c r="V658" s="219" t="s">
        <v>232</v>
      </c>
      <c r="W658" s="221" t="str">
        <f>IFERROR(VLOOKUP(V658,TD!$N$34:$O$46,2,0)," ")</f>
        <v>Servicio de atención a emergencias y desastres</v>
      </c>
      <c r="X658" s="222" t="str">
        <f t="shared" si="43"/>
        <v>004_Servicio de atención a emergencias y desastres</v>
      </c>
      <c r="Y658" s="222" t="str">
        <f t="shared" si="44"/>
        <v>04-Servicio de atención a incidentes y emergencias. 004_Servicio de atención a emergencias y desastres</v>
      </c>
      <c r="Z658" s="221" t="str">
        <f t="shared" si="45"/>
        <v>O23011745032024025504004</v>
      </c>
      <c r="AA658" s="221" t="str">
        <f>IFERROR(VLOOKUP(Y658,TD!$K$47:$L$65,2,0)," ")</f>
        <v>PM/0131/0104/45030040255</v>
      </c>
      <c r="AB658" s="53" t="s">
        <v>138</v>
      </c>
      <c r="AC658" s="223" t="s">
        <v>204</v>
      </c>
    </row>
    <row r="659" spans="2:29" s="28" customFormat="1" ht="99" customHeight="1" x14ac:dyDescent="0.35">
      <c r="B659" s="77">
        <v>20250677</v>
      </c>
      <c r="C659" s="50" t="s">
        <v>346</v>
      </c>
      <c r="D659" s="218" t="s">
        <v>169</v>
      </c>
      <c r="E659" s="219" t="s">
        <v>466</v>
      </c>
      <c r="F659" s="218" t="s">
        <v>906</v>
      </c>
      <c r="G659" s="218" t="s">
        <v>109</v>
      </c>
      <c r="H659" s="93" t="s">
        <v>968</v>
      </c>
      <c r="I659" s="220">
        <v>6</v>
      </c>
      <c r="J659" s="220">
        <v>6</v>
      </c>
      <c r="K659" s="52">
        <v>0</v>
      </c>
      <c r="L659" s="53">
        <v>6000000000</v>
      </c>
      <c r="M659" s="218" t="s">
        <v>172</v>
      </c>
      <c r="N659" s="53" t="s">
        <v>95</v>
      </c>
      <c r="O659" s="219" t="s">
        <v>347</v>
      </c>
      <c r="P659" s="221" t="str">
        <f>IFERROR(VLOOKUP(C659,TD!$B$33:$F$37,2,0)," ")</f>
        <v>NA</v>
      </c>
      <c r="Q659" s="221" t="str">
        <f>IFERROR(VLOOKUP(C659,TD!$B$33:$F$37,3,0)," ")</f>
        <v>NA</v>
      </c>
      <c r="R659" s="221" t="str">
        <f>IFERROR(VLOOKUP(C659,TD!$B$33:$F$37,4,0)," ")</f>
        <v>NA</v>
      </c>
      <c r="S659" s="219" t="s">
        <v>406</v>
      </c>
      <c r="T659" s="221" t="str">
        <f>IFERROR(VLOOKUP(S659,TD!$J$34:$K$44,2,0)," ")</f>
        <v>N/A</v>
      </c>
      <c r="U659" s="222" t="str">
        <f t="shared" si="42"/>
        <v>N/A-N/A</v>
      </c>
      <c r="V659" s="219" t="s">
        <v>406</v>
      </c>
      <c r="W659" s="221" t="str">
        <f>IFERROR(VLOOKUP(V659,TD!$N$34:$O$46,2,0)," ")</f>
        <v>N/A</v>
      </c>
      <c r="X659" s="222" t="str">
        <f t="shared" si="43"/>
        <v>N/A_N/A</v>
      </c>
      <c r="Y659" s="222" t="str">
        <f t="shared" si="44"/>
        <v>N/A-N/A N/A_N/A</v>
      </c>
      <c r="Z659" s="221" t="str">
        <f t="shared" si="45"/>
        <v>NANANAN/AN/A</v>
      </c>
      <c r="AA659" s="221" t="str">
        <f>IFERROR(VLOOKUP(Y659,TD!$K$47:$L$65,2,0)," ")</f>
        <v>N/A</v>
      </c>
      <c r="AB659" s="53" t="s">
        <v>614</v>
      </c>
      <c r="AC659" s="223" t="s">
        <v>204</v>
      </c>
    </row>
    <row r="660" spans="2:29" s="28" customFormat="1" ht="99" customHeight="1" x14ac:dyDescent="0.35">
      <c r="B660" s="77">
        <v>20250678</v>
      </c>
      <c r="C660" s="50" t="s">
        <v>208</v>
      </c>
      <c r="D660" s="218" t="s">
        <v>162</v>
      </c>
      <c r="E660" s="219" t="s">
        <v>355</v>
      </c>
      <c r="F660" s="218" t="s">
        <v>907</v>
      </c>
      <c r="G660" s="218" t="s">
        <v>137</v>
      </c>
      <c r="H660" s="93">
        <v>80111600</v>
      </c>
      <c r="I660" s="220">
        <v>4</v>
      </c>
      <c r="J660" s="220">
        <v>1</v>
      </c>
      <c r="K660" s="52">
        <v>0</v>
      </c>
      <c r="L660" s="53">
        <v>200000</v>
      </c>
      <c r="M660" s="218" t="s">
        <v>173</v>
      </c>
      <c r="N660" s="53" t="s">
        <v>128</v>
      </c>
      <c r="O660" s="219" t="s">
        <v>215</v>
      </c>
      <c r="P660" s="221" t="str">
        <f>IFERROR(VLOOKUP(C660,TD!$B$33:$F$37,2,0)," ")</f>
        <v>O230117</v>
      </c>
      <c r="Q660" s="221" t="str">
        <f>IFERROR(VLOOKUP(C660,TD!$B$33:$F$37,3,0)," ")</f>
        <v>4599</v>
      </c>
      <c r="R660" s="221">
        <f>IFERROR(VLOOKUP(C660,TD!$B$33:$F$37,4,0)," ")</f>
        <v>20240207</v>
      </c>
      <c r="S660" s="219" t="s">
        <v>179</v>
      </c>
      <c r="T660" s="221" t="str">
        <f>IFERROR(VLOOKUP(S660,TD!$J$34:$K$44,2,0)," ")</f>
        <v>Infraestructura Tecnológica   (Sistemas de Información y Tecnologia)</v>
      </c>
      <c r="U660" s="222" t="str">
        <f t="shared" si="42"/>
        <v>11-Infraestructura Tecnológica   (Sistemas de Información y Tecnologia)</v>
      </c>
      <c r="V660" s="219" t="s">
        <v>239</v>
      </c>
      <c r="W660" s="221" t="str">
        <f>IFERROR(VLOOKUP(V660,TD!$N$34:$O$46,2,0)," ")</f>
        <v>Servicios tecnológicos</v>
      </c>
      <c r="X660" s="222" t="str">
        <f t="shared" si="43"/>
        <v>007_Servicios tecnológicos</v>
      </c>
      <c r="Y660" s="222" t="str">
        <f t="shared" si="44"/>
        <v>11-Infraestructura Tecnológica   (Sistemas de Información y Tecnologia) 007_Servicios tecnológicos</v>
      </c>
      <c r="Z660" s="221" t="str">
        <f t="shared" si="45"/>
        <v>O23011745992024020711007</v>
      </c>
      <c r="AA660" s="221" t="str">
        <f>IFERROR(VLOOKUP(Y660,TD!$K$47:$L$65,2,0)," ")</f>
        <v>PM/0131/0111/45990070207</v>
      </c>
      <c r="AB660" s="53" t="s">
        <v>138</v>
      </c>
      <c r="AC660" s="223" t="s">
        <v>205</v>
      </c>
    </row>
    <row r="661" spans="2:29" s="28" customFormat="1" ht="99" customHeight="1" x14ac:dyDescent="0.35">
      <c r="B661" s="77">
        <v>20250679</v>
      </c>
      <c r="C661" s="50" t="s">
        <v>208</v>
      </c>
      <c r="D661" s="218" t="s">
        <v>162</v>
      </c>
      <c r="E661" s="219" t="s">
        <v>355</v>
      </c>
      <c r="F661" s="218" t="s">
        <v>908</v>
      </c>
      <c r="G661" s="218" t="s">
        <v>137</v>
      </c>
      <c r="H661" s="93">
        <v>80111600</v>
      </c>
      <c r="I661" s="220">
        <v>4</v>
      </c>
      <c r="J661" s="220">
        <v>1</v>
      </c>
      <c r="K661" s="52">
        <v>0</v>
      </c>
      <c r="L661" s="53">
        <v>133333</v>
      </c>
      <c r="M661" s="218" t="s">
        <v>173</v>
      </c>
      <c r="N661" s="53" t="s">
        <v>128</v>
      </c>
      <c r="O661" s="219" t="s">
        <v>215</v>
      </c>
      <c r="P661" s="221" t="str">
        <f>IFERROR(VLOOKUP(C661,TD!$B$33:$F$37,2,0)," ")</f>
        <v>O230117</v>
      </c>
      <c r="Q661" s="221" t="str">
        <f>IFERROR(VLOOKUP(C661,TD!$B$33:$F$37,3,0)," ")</f>
        <v>4599</v>
      </c>
      <c r="R661" s="221">
        <f>IFERROR(VLOOKUP(C661,TD!$B$33:$F$37,4,0)," ")</f>
        <v>20240207</v>
      </c>
      <c r="S661" s="219" t="s">
        <v>179</v>
      </c>
      <c r="T661" s="221" t="str">
        <f>IFERROR(VLOOKUP(S661,TD!$J$34:$K$44,2,0)," ")</f>
        <v>Infraestructura Tecnológica   (Sistemas de Información y Tecnologia)</v>
      </c>
      <c r="U661" s="222" t="str">
        <f t="shared" si="42"/>
        <v>11-Infraestructura Tecnológica   (Sistemas de Información y Tecnologia)</v>
      </c>
      <c r="V661" s="219" t="s">
        <v>239</v>
      </c>
      <c r="W661" s="221" t="str">
        <f>IFERROR(VLOOKUP(V661,TD!$N$34:$O$46,2,0)," ")</f>
        <v>Servicios tecnológicos</v>
      </c>
      <c r="X661" s="222" t="str">
        <f t="shared" si="43"/>
        <v>007_Servicios tecnológicos</v>
      </c>
      <c r="Y661" s="222" t="str">
        <f t="shared" si="44"/>
        <v>11-Infraestructura Tecnológica   (Sistemas de Información y Tecnologia) 007_Servicios tecnológicos</v>
      </c>
      <c r="Z661" s="221" t="str">
        <f t="shared" si="45"/>
        <v>O23011745992024020711007</v>
      </c>
      <c r="AA661" s="221" t="str">
        <f>IFERROR(VLOOKUP(Y661,TD!$K$47:$L$65,2,0)," ")</f>
        <v>PM/0131/0111/45990070207</v>
      </c>
      <c r="AB661" s="53" t="s">
        <v>138</v>
      </c>
      <c r="AC661" s="223" t="s">
        <v>205</v>
      </c>
    </row>
    <row r="662" spans="2:29" s="28" customFormat="1" ht="99" customHeight="1" x14ac:dyDescent="0.35">
      <c r="B662" s="77">
        <v>20250680</v>
      </c>
      <c r="C662" s="50" t="s">
        <v>208</v>
      </c>
      <c r="D662" s="218" t="s">
        <v>162</v>
      </c>
      <c r="E662" s="219" t="s">
        <v>355</v>
      </c>
      <c r="F662" s="218" t="s">
        <v>909</v>
      </c>
      <c r="G662" s="218" t="s">
        <v>154</v>
      </c>
      <c r="H662" s="93" t="s">
        <v>554</v>
      </c>
      <c r="I662" s="220">
        <v>4</v>
      </c>
      <c r="J662" s="220">
        <v>9</v>
      </c>
      <c r="K662" s="52">
        <v>0</v>
      </c>
      <c r="L662" s="53">
        <v>18504500</v>
      </c>
      <c r="M662" s="218" t="s">
        <v>465</v>
      </c>
      <c r="N662" s="53" t="s">
        <v>113</v>
      </c>
      <c r="O662" s="219" t="s">
        <v>214</v>
      </c>
      <c r="P662" s="221" t="str">
        <f>IFERROR(VLOOKUP(C662,TD!$B$33:$F$37,2,0)," ")</f>
        <v>O230117</v>
      </c>
      <c r="Q662" s="221" t="str">
        <f>IFERROR(VLOOKUP(C662,TD!$B$33:$F$37,3,0)," ")</f>
        <v>4599</v>
      </c>
      <c r="R662" s="221">
        <f>IFERROR(VLOOKUP(C662,TD!$B$33:$F$37,4,0)," ")</f>
        <v>20240207</v>
      </c>
      <c r="S662" s="219" t="s">
        <v>179</v>
      </c>
      <c r="T662" s="221" t="str">
        <f>IFERROR(VLOOKUP(S662,TD!$J$34:$K$44,2,0)," ")</f>
        <v>Infraestructura Tecnológica   (Sistemas de Información y Tecnologia)</v>
      </c>
      <c r="U662" s="222" t="str">
        <f t="shared" si="42"/>
        <v>11-Infraestructura Tecnológica   (Sistemas de Información y Tecnologia)</v>
      </c>
      <c r="V662" s="219" t="s">
        <v>239</v>
      </c>
      <c r="W662" s="221" t="str">
        <f>IFERROR(VLOOKUP(V662,TD!$N$34:$O$46,2,0)," ")</f>
        <v>Servicios tecnológicos</v>
      </c>
      <c r="X662" s="222" t="str">
        <f t="shared" si="43"/>
        <v>007_Servicios tecnológicos</v>
      </c>
      <c r="Y662" s="222" t="str">
        <f t="shared" si="44"/>
        <v>11-Infraestructura Tecnológica   (Sistemas de Información y Tecnologia) 007_Servicios tecnológicos</v>
      </c>
      <c r="Z662" s="221" t="str">
        <f t="shared" si="45"/>
        <v>O23011745992024020711007</v>
      </c>
      <c r="AA662" s="221" t="str">
        <f>IFERROR(VLOOKUP(Y662,TD!$K$47:$L$65,2,0)," ")</f>
        <v>PM/0131/0111/45990070207</v>
      </c>
      <c r="AB662" s="53" t="s">
        <v>125</v>
      </c>
      <c r="AC662" s="223" t="s">
        <v>204</v>
      </c>
    </row>
    <row r="663" spans="2:29" s="28" customFormat="1" ht="99" customHeight="1" x14ac:dyDescent="0.35">
      <c r="B663" s="77">
        <v>20250681</v>
      </c>
      <c r="C663" s="50" t="s">
        <v>208</v>
      </c>
      <c r="D663" s="218" t="s">
        <v>162</v>
      </c>
      <c r="E663" s="219" t="s">
        <v>355</v>
      </c>
      <c r="F663" s="218" t="s">
        <v>965</v>
      </c>
      <c r="G663" s="218" t="s">
        <v>137</v>
      </c>
      <c r="H663" s="93">
        <v>43233200</v>
      </c>
      <c r="I663" s="220">
        <v>3</v>
      </c>
      <c r="J663" s="220">
        <v>9</v>
      </c>
      <c r="K663" s="52">
        <v>0</v>
      </c>
      <c r="L663" s="53">
        <v>9556238</v>
      </c>
      <c r="M663" s="218" t="s">
        <v>173</v>
      </c>
      <c r="N663" s="53" t="s">
        <v>128</v>
      </c>
      <c r="O663" s="219" t="s">
        <v>217</v>
      </c>
      <c r="P663" s="221" t="str">
        <f>IFERROR(VLOOKUP(C663,TD!$B$33:$F$37,2,0)," ")</f>
        <v>O230117</v>
      </c>
      <c r="Q663" s="221" t="str">
        <f>IFERROR(VLOOKUP(C663,TD!$B$33:$F$37,3,0)," ")</f>
        <v>4599</v>
      </c>
      <c r="R663" s="221">
        <f>IFERROR(VLOOKUP(C663,TD!$B$33:$F$37,4,0)," ")</f>
        <v>20240207</v>
      </c>
      <c r="S663" s="219" t="s">
        <v>179</v>
      </c>
      <c r="T663" s="221" t="str">
        <f>IFERROR(VLOOKUP(S663,TD!$J$34:$K$44,2,0)," ")</f>
        <v>Infraestructura Tecnológica   (Sistemas de Información y Tecnologia)</v>
      </c>
      <c r="U663" s="222" t="str">
        <f t="shared" si="42"/>
        <v>11-Infraestructura Tecnológica   (Sistemas de Información y Tecnologia)</v>
      </c>
      <c r="V663" s="219" t="s">
        <v>239</v>
      </c>
      <c r="W663" s="221" t="str">
        <f>IFERROR(VLOOKUP(V663,TD!$N$34:$O$46,2,0)," ")</f>
        <v>Servicios tecnológicos</v>
      </c>
      <c r="X663" s="222" t="str">
        <f t="shared" si="43"/>
        <v>007_Servicios tecnológicos</v>
      </c>
      <c r="Y663" s="222" t="str">
        <f t="shared" si="44"/>
        <v>11-Infraestructura Tecnológica   (Sistemas de Información y Tecnologia) 007_Servicios tecnológicos</v>
      </c>
      <c r="Z663" s="221" t="str">
        <f t="shared" si="45"/>
        <v>O23011745992024020711007</v>
      </c>
      <c r="AA663" s="221" t="str">
        <f>IFERROR(VLOOKUP(Y663,TD!$K$47:$L$65,2,0)," ")</f>
        <v>PM/0131/0111/45990070207</v>
      </c>
      <c r="AB663" s="53" t="s">
        <v>125</v>
      </c>
      <c r="AC663" s="223" t="s">
        <v>205</v>
      </c>
    </row>
    <row r="664" spans="2:29" s="28" customFormat="1" ht="99" customHeight="1" x14ac:dyDescent="0.35">
      <c r="B664" s="130">
        <v>20250682</v>
      </c>
      <c r="C664" s="132" t="s">
        <v>209</v>
      </c>
      <c r="D664" s="224" t="s">
        <v>165</v>
      </c>
      <c r="E664" s="225" t="s">
        <v>486</v>
      </c>
      <c r="F664" s="224" t="s">
        <v>992</v>
      </c>
      <c r="G664" s="224" t="s">
        <v>155</v>
      </c>
      <c r="H664" s="133">
        <v>80111600</v>
      </c>
      <c r="I664" s="226">
        <v>4</v>
      </c>
      <c r="J664" s="226">
        <v>8</v>
      </c>
      <c r="K664" s="129">
        <v>0</v>
      </c>
      <c r="L664" s="128">
        <f>65000000-17000000</f>
        <v>48000000</v>
      </c>
      <c r="M664" s="224" t="s">
        <v>465</v>
      </c>
      <c r="N664" s="128" t="s">
        <v>113</v>
      </c>
      <c r="O664" s="225" t="s">
        <v>229</v>
      </c>
      <c r="P664" s="227" t="str">
        <f>IFERROR(VLOOKUP(C664,TD!$B$33:$F$37,2,0)," ")</f>
        <v>O230117</v>
      </c>
      <c r="Q664" s="227" t="str">
        <f>IFERROR(VLOOKUP(C664,TD!$B$33:$F$37,3,0)," ")</f>
        <v>4503</v>
      </c>
      <c r="R664" s="227">
        <f>IFERROR(VLOOKUP(C664,TD!$B$33:$F$37,4,0)," ")</f>
        <v>20240255</v>
      </c>
      <c r="S664" s="225" t="s">
        <v>183</v>
      </c>
      <c r="T664" s="227" t="str">
        <f>IFERROR(VLOOKUP(S664,TD!$J$34:$K$44,2,0)," ")</f>
        <v>Servicio de formación en gestión del riesgo de incendios para el personal UAECOB</v>
      </c>
      <c r="U664" s="222" t="str">
        <f t="shared" si="42"/>
        <v>07-Servicio de formación en gestión del riesgo de incendios para el personal UAECOB</v>
      </c>
      <c r="V664" s="225" t="s">
        <v>233</v>
      </c>
      <c r="W664" s="227" t="str">
        <f>IFERROR(VLOOKUP(V664,TD!$N$34:$O$46,2,0)," ")</f>
        <v>Servicio de educación informal</v>
      </c>
      <c r="X664" s="222" t="str">
        <f t="shared" si="43"/>
        <v>002_Servicio de educación informal</v>
      </c>
      <c r="Y664" s="222" t="str">
        <f t="shared" si="44"/>
        <v>07-Servicio de formación en gestión del riesgo de incendios para el personal UAECOB 002_Servicio de educación informal</v>
      </c>
      <c r="Z664" s="227" t="str">
        <f t="shared" si="45"/>
        <v>O23011745032024025507002</v>
      </c>
      <c r="AA664" s="227" t="str">
        <f>IFERROR(VLOOKUP(Y664,TD!$K$47:$L$65,2,0)," ")</f>
        <v>PM/0131/0107/45030020255</v>
      </c>
      <c r="AB664" s="128" t="s">
        <v>138</v>
      </c>
      <c r="AC664" s="228" t="s">
        <v>204</v>
      </c>
    </row>
    <row r="665" spans="2:29" s="28" customFormat="1" ht="99" customHeight="1" x14ac:dyDescent="0.35">
      <c r="B665" s="77">
        <v>20250683</v>
      </c>
      <c r="C665" s="50" t="s">
        <v>209</v>
      </c>
      <c r="D665" s="218" t="s">
        <v>165</v>
      </c>
      <c r="E665" s="219" t="s">
        <v>486</v>
      </c>
      <c r="F665" s="218" t="s">
        <v>910</v>
      </c>
      <c r="G665" s="218" t="s">
        <v>155</v>
      </c>
      <c r="H665" s="93">
        <v>80111600</v>
      </c>
      <c r="I665" s="220">
        <v>4</v>
      </c>
      <c r="J665" s="220">
        <v>8</v>
      </c>
      <c r="K665" s="52">
        <v>0</v>
      </c>
      <c r="L665" s="53">
        <f>74000000-400000</f>
        <v>73600000</v>
      </c>
      <c r="M665" s="218" t="s">
        <v>465</v>
      </c>
      <c r="N665" s="53" t="s">
        <v>113</v>
      </c>
      <c r="O665" s="219" t="s">
        <v>229</v>
      </c>
      <c r="P665" s="221" t="str">
        <f>IFERROR(VLOOKUP(C665,TD!$B$33:$F$37,2,0)," ")</f>
        <v>O230117</v>
      </c>
      <c r="Q665" s="221" t="str">
        <f>IFERROR(VLOOKUP(C665,TD!$B$33:$F$37,3,0)," ")</f>
        <v>4503</v>
      </c>
      <c r="R665" s="221">
        <f>IFERROR(VLOOKUP(C665,TD!$B$33:$F$37,4,0)," ")</f>
        <v>20240255</v>
      </c>
      <c r="S665" s="219" t="s">
        <v>183</v>
      </c>
      <c r="T665" s="221" t="str">
        <f>IFERROR(VLOOKUP(S665,TD!$J$34:$K$44,2,0)," ")</f>
        <v>Servicio de formación en gestión del riesgo de incendios para el personal UAECOB</v>
      </c>
      <c r="U665" s="222" t="str">
        <f t="shared" si="42"/>
        <v>07-Servicio de formación en gestión del riesgo de incendios para el personal UAECOB</v>
      </c>
      <c r="V665" s="219" t="s">
        <v>233</v>
      </c>
      <c r="W665" s="221" t="str">
        <f>IFERROR(VLOOKUP(V665,TD!$N$34:$O$46,2,0)," ")</f>
        <v>Servicio de educación informal</v>
      </c>
      <c r="X665" s="222" t="str">
        <f t="shared" si="43"/>
        <v>002_Servicio de educación informal</v>
      </c>
      <c r="Y665" s="222" t="str">
        <f t="shared" si="44"/>
        <v>07-Servicio de formación en gestión del riesgo de incendios para el personal UAECOB 002_Servicio de educación informal</v>
      </c>
      <c r="Z665" s="221" t="str">
        <f t="shared" si="45"/>
        <v>O23011745032024025507002</v>
      </c>
      <c r="AA665" s="221" t="str">
        <f>IFERROR(VLOOKUP(Y665,TD!$K$47:$L$65,2,0)," ")</f>
        <v>PM/0131/0107/45030020255</v>
      </c>
      <c r="AB665" s="53" t="s">
        <v>138</v>
      </c>
      <c r="AC665" s="223" t="s">
        <v>204</v>
      </c>
    </row>
    <row r="666" spans="2:29" s="28" customFormat="1" ht="99" customHeight="1" x14ac:dyDescent="0.35">
      <c r="B666" s="77">
        <v>20250684</v>
      </c>
      <c r="C666" s="50" t="s">
        <v>209</v>
      </c>
      <c r="D666" s="218" t="s">
        <v>168</v>
      </c>
      <c r="E666" s="219" t="s">
        <v>611</v>
      </c>
      <c r="F666" s="218" t="s">
        <v>913</v>
      </c>
      <c r="G666" s="218" t="s">
        <v>119</v>
      </c>
      <c r="H666" s="93" t="s">
        <v>427</v>
      </c>
      <c r="I666" s="220">
        <v>3</v>
      </c>
      <c r="J666" s="220">
        <v>2</v>
      </c>
      <c r="K666" s="52">
        <v>0</v>
      </c>
      <c r="L666" s="53">
        <v>25000000</v>
      </c>
      <c r="M666" s="218" t="s">
        <v>465</v>
      </c>
      <c r="N666" s="53" t="s">
        <v>95</v>
      </c>
      <c r="O666" s="219" t="s">
        <v>224</v>
      </c>
      <c r="P666" s="221" t="str">
        <f>IFERROR(VLOOKUP(C666,TD!$B$33:$F$37,2,0)," ")</f>
        <v>O230117</v>
      </c>
      <c r="Q666" s="221" t="str">
        <f>IFERROR(VLOOKUP(C666,TD!$B$33:$F$37,3,0)," ")</f>
        <v>4503</v>
      </c>
      <c r="R666" s="221">
        <f>IFERROR(VLOOKUP(C666,TD!$B$33:$F$37,4,0)," ")</f>
        <v>20240255</v>
      </c>
      <c r="S666" s="219" t="s">
        <v>187</v>
      </c>
      <c r="T666" s="221" t="str">
        <f>IFERROR(VLOOKUP(S666,TD!$J$34:$K$44,2,0)," ")</f>
        <v>Servicio de mantenimiento, dotación (HEA´s y equipo menor) y adquisición de vehiculos   especializados para la atención de emergencias.</v>
      </c>
      <c r="U666" s="222" t="str">
        <f t="shared" si="42"/>
        <v>09-Servicio de mantenimiento, dotación (HEA´s y equipo menor) y adquisición de vehiculos   especializados para la atención de emergencias.</v>
      </c>
      <c r="V666" s="219" t="s">
        <v>232</v>
      </c>
      <c r="W666" s="221" t="str">
        <f>IFERROR(VLOOKUP(V666,TD!$N$34:$O$46,2,0)," ")</f>
        <v>Servicio de atención a emergencias y desastres</v>
      </c>
      <c r="X666" s="222" t="str">
        <f t="shared" si="43"/>
        <v>004_Servicio de atención a emergencias y desastres</v>
      </c>
      <c r="Y666" s="222" t="str">
        <f t="shared" si="44"/>
        <v>09-Servicio de mantenimiento, dotación (HEA´s y equipo menor) y adquisición de vehiculos   especializados para la atención de emergencias. 004_Servicio de atención a emergencias y desastres</v>
      </c>
      <c r="Z666" s="221" t="str">
        <f t="shared" si="45"/>
        <v>O23011745032024025509004</v>
      </c>
      <c r="AA666" s="221" t="str">
        <f>IFERROR(VLOOKUP(Y666,TD!$K$47:$L$65,2,0)," ")</f>
        <v>PM/0131/0109/45030040255</v>
      </c>
      <c r="AB666" s="53" t="s">
        <v>87</v>
      </c>
      <c r="AC666" s="223" t="s">
        <v>205</v>
      </c>
    </row>
    <row r="667" spans="2:29" s="28" customFormat="1" ht="99" customHeight="1" x14ac:dyDescent="0.35">
      <c r="B667" s="77">
        <v>20250685</v>
      </c>
      <c r="C667" s="50" t="s">
        <v>346</v>
      </c>
      <c r="D667" s="218" t="s">
        <v>166</v>
      </c>
      <c r="E667" s="219" t="s">
        <v>565</v>
      </c>
      <c r="F667" s="218" t="s">
        <v>587</v>
      </c>
      <c r="G667" s="218" t="s">
        <v>96</v>
      </c>
      <c r="H667" s="93" t="s">
        <v>638</v>
      </c>
      <c r="I667" s="220">
        <v>8</v>
      </c>
      <c r="J667" s="220">
        <v>4</v>
      </c>
      <c r="K667" s="52">
        <v>15</v>
      </c>
      <c r="L667" s="53">
        <f>148197000+151803000</f>
        <v>300000000</v>
      </c>
      <c r="M667" s="218" t="s">
        <v>172</v>
      </c>
      <c r="N667" s="53" t="s">
        <v>85</v>
      </c>
      <c r="O667" s="219" t="s">
        <v>347</v>
      </c>
      <c r="P667" s="221" t="str">
        <f>IFERROR(VLOOKUP(C667,TD!$B$33:$F$37,2,0)," ")</f>
        <v>NA</v>
      </c>
      <c r="Q667" s="221" t="str">
        <f>IFERROR(VLOOKUP(C667,TD!$B$33:$F$37,3,0)," ")</f>
        <v>NA</v>
      </c>
      <c r="R667" s="221" t="str">
        <f>IFERROR(VLOOKUP(C667,TD!$B$33:$F$37,4,0)," ")</f>
        <v>NA</v>
      </c>
      <c r="S667" s="219" t="s">
        <v>406</v>
      </c>
      <c r="T667" s="221" t="str">
        <f>IFERROR(VLOOKUP(S667,TD!$J$34:$K$44,2,0)," ")</f>
        <v>N/A</v>
      </c>
      <c r="U667" s="222" t="str">
        <f t="shared" si="42"/>
        <v>N/A-N/A</v>
      </c>
      <c r="V667" s="219" t="s">
        <v>406</v>
      </c>
      <c r="W667" s="221" t="str">
        <f>IFERROR(VLOOKUP(V667,TD!$N$34:$O$46,2,0)," ")</f>
        <v>N/A</v>
      </c>
      <c r="X667" s="222" t="str">
        <f t="shared" si="43"/>
        <v>N/A_N/A</v>
      </c>
      <c r="Y667" s="222" t="str">
        <f t="shared" si="44"/>
        <v>N/A-N/A N/A_N/A</v>
      </c>
      <c r="Z667" s="221" t="str">
        <f t="shared" si="45"/>
        <v>NANANAN/AN/A</v>
      </c>
      <c r="AA667" s="221" t="str">
        <f>IFERROR(VLOOKUP(Y667,TD!$K$47:$L$65,2,0)," ")</f>
        <v>N/A</v>
      </c>
      <c r="AB667" s="53" t="s">
        <v>348</v>
      </c>
      <c r="AC667" s="223" t="s">
        <v>204</v>
      </c>
    </row>
    <row r="668" spans="2:29" s="28" customFormat="1" ht="99" customHeight="1" x14ac:dyDescent="0.35">
      <c r="B668" s="77">
        <v>20250686</v>
      </c>
      <c r="C668" s="50" t="s">
        <v>208</v>
      </c>
      <c r="D668" s="218" t="s">
        <v>166</v>
      </c>
      <c r="E668" s="219" t="s">
        <v>565</v>
      </c>
      <c r="F668" s="218" t="s">
        <v>587</v>
      </c>
      <c r="G668" s="218" t="s">
        <v>96</v>
      </c>
      <c r="H668" s="93" t="s">
        <v>638</v>
      </c>
      <c r="I668" s="220">
        <v>8</v>
      </c>
      <c r="J668" s="220">
        <v>4</v>
      </c>
      <c r="K668" s="52">
        <v>15</v>
      </c>
      <c r="L668" s="53">
        <v>666192913</v>
      </c>
      <c r="M668" s="218" t="s">
        <v>465</v>
      </c>
      <c r="N668" s="53" t="s">
        <v>85</v>
      </c>
      <c r="O668" s="219" t="s">
        <v>218</v>
      </c>
      <c r="P668" s="221" t="str">
        <f>IFERROR(VLOOKUP(C668,TD!$B$33:$F$37,2,0)," ")</f>
        <v>O230117</v>
      </c>
      <c r="Q668" s="221" t="str">
        <f>IFERROR(VLOOKUP(C668,TD!$B$33:$F$37,3,0)," ")</f>
        <v>4599</v>
      </c>
      <c r="R668" s="221">
        <f>IFERROR(VLOOKUP(C668,TD!$B$33:$F$37,4,0)," ")</f>
        <v>20240207</v>
      </c>
      <c r="S668" s="219" t="s">
        <v>185</v>
      </c>
      <c r="T668" s="221" t="str">
        <f>IFERROR(VLOOKUP(S668,TD!$J$34:$K$44,2,0)," ")</f>
        <v>Infraestructura física, mantenimiento y dotación (Sedes construidas, mantenidas reforzadas)</v>
      </c>
      <c r="U668" s="222" t="str">
        <f t="shared" si="42"/>
        <v>08-Infraestructura física, mantenimiento y dotación (Sedes construidas, mantenidas reforzadas)</v>
      </c>
      <c r="V668" s="219" t="s">
        <v>238</v>
      </c>
      <c r="W668" s="221" t="str">
        <f>IFERROR(VLOOKUP(V668,TD!$N$34:$O$46,2,0)," ")</f>
        <v>Sedes mantenidas</v>
      </c>
      <c r="X668" s="222" t="str">
        <f t="shared" si="43"/>
        <v>016_Sedes mantenidas</v>
      </c>
      <c r="Y668" s="222" t="str">
        <f t="shared" si="44"/>
        <v>08-Infraestructura física, mantenimiento y dotación (Sedes construidas, mantenidas reforzadas) 016_Sedes mantenidas</v>
      </c>
      <c r="Z668" s="221" t="str">
        <f t="shared" si="45"/>
        <v>O23011745992024020708016</v>
      </c>
      <c r="AA668" s="221" t="str">
        <f>IFERROR(VLOOKUP(Y668,TD!$K$47:$L$65,2,0)," ")</f>
        <v>PM/0131/0108/45990160207</v>
      </c>
      <c r="AB668" s="53" t="s">
        <v>141</v>
      </c>
      <c r="AC668" s="223" t="s">
        <v>204</v>
      </c>
    </row>
    <row r="669" spans="2:29" s="28" customFormat="1" ht="99" customHeight="1" x14ac:dyDescent="0.35">
      <c r="B669" s="77">
        <v>20250687</v>
      </c>
      <c r="C669" s="50" t="s">
        <v>209</v>
      </c>
      <c r="D669" s="218" t="s">
        <v>167</v>
      </c>
      <c r="E669" s="219" t="s">
        <v>509</v>
      </c>
      <c r="F669" s="218" t="s">
        <v>916</v>
      </c>
      <c r="G669" s="218" t="s">
        <v>96</v>
      </c>
      <c r="H669" s="93" t="s">
        <v>917</v>
      </c>
      <c r="I669" s="220">
        <v>4</v>
      </c>
      <c r="J669" s="220">
        <v>4</v>
      </c>
      <c r="K669" s="52">
        <v>0</v>
      </c>
      <c r="L669" s="53">
        <v>19086500</v>
      </c>
      <c r="M669" s="218" t="s">
        <v>465</v>
      </c>
      <c r="N669" s="53" t="s">
        <v>100</v>
      </c>
      <c r="O669" s="219" t="s">
        <v>225</v>
      </c>
      <c r="P669" s="221" t="str">
        <f>IFERROR(VLOOKUP(C669,TD!$B$33:$F$37,2,0)," ")</f>
        <v>O230117</v>
      </c>
      <c r="Q669" s="221" t="str">
        <f>IFERROR(VLOOKUP(C669,TD!$B$33:$F$37,3,0)," ")</f>
        <v>4503</v>
      </c>
      <c r="R669" s="221">
        <f>IFERROR(VLOOKUP(C669,TD!$B$33:$F$37,4,0)," ")</f>
        <v>20240255</v>
      </c>
      <c r="S669" s="219" t="s">
        <v>179</v>
      </c>
      <c r="T669" s="221" t="str">
        <f>IFERROR(VLOOKUP(S669,TD!$J$34:$K$44,2,0)," ")</f>
        <v>Infraestructura Tecnológica   (Sistemas de Información y Tecnologia)</v>
      </c>
      <c r="U669" s="222" t="str">
        <f t="shared" si="42"/>
        <v>11-Infraestructura Tecnológica   (Sistemas de Información y Tecnologia)</v>
      </c>
      <c r="V669" s="219" t="s">
        <v>235</v>
      </c>
      <c r="W669" s="221" t="str">
        <f>IFERROR(VLOOKUP(V669,TD!$N$34:$O$46,2,0)," ")</f>
        <v>"Servicio de monitoreo y seguimiento para la gestión del riesgo"</v>
      </c>
      <c r="X669" s="222" t="str">
        <f t="shared" si="43"/>
        <v>018_"Servicio de monitoreo y seguimiento para la gestión del riesgo"</v>
      </c>
      <c r="Y669" s="222" t="str">
        <f t="shared" si="44"/>
        <v>11-Infraestructura Tecnológica   (Sistemas de Información y Tecnologia) 018_"Servicio de monitoreo y seguimiento para la gestión del riesgo"</v>
      </c>
      <c r="Z669" s="221" t="str">
        <f t="shared" si="45"/>
        <v>O23011745032024025511018</v>
      </c>
      <c r="AA669" s="221" t="str">
        <f>IFERROR(VLOOKUP(Y669,TD!$K$47:$L$65,2,0)," ")</f>
        <v>PM/0131/0111/45030180255</v>
      </c>
      <c r="AB669" s="53" t="s">
        <v>138</v>
      </c>
      <c r="AC669" s="223" t="s">
        <v>205</v>
      </c>
    </row>
    <row r="670" spans="2:29" s="28" customFormat="1" ht="99" customHeight="1" x14ac:dyDescent="0.35">
      <c r="B670" s="77">
        <v>20250688</v>
      </c>
      <c r="C670" s="50" t="s">
        <v>209</v>
      </c>
      <c r="D670" s="218" t="s">
        <v>167</v>
      </c>
      <c r="E670" s="219" t="s">
        <v>509</v>
      </c>
      <c r="F670" s="218" t="s">
        <v>918</v>
      </c>
      <c r="G670" s="218" t="s">
        <v>109</v>
      </c>
      <c r="H670" s="93" t="s">
        <v>945</v>
      </c>
      <c r="I670" s="220">
        <v>5</v>
      </c>
      <c r="J670" s="220">
        <v>4</v>
      </c>
      <c r="K670" s="52">
        <v>0</v>
      </c>
      <c r="L670" s="53">
        <v>5000000</v>
      </c>
      <c r="M670" s="218" t="s">
        <v>465</v>
      </c>
      <c r="N670" s="53" t="s">
        <v>100</v>
      </c>
      <c r="O670" s="219" t="s">
        <v>221</v>
      </c>
      <c r="P670" s="221" t="str">
        <f>IFERROR(VLOOKUP(C670,TD!$B$33:$F$37,2,0)," ")</f>
        <v>O230117</v>
      </c>
      <c r="Q670" s="221" t="str">
        <f>IFERROR(VLOOKUP(C670,TD!$B$33:$F$37,3,0)," ")</f>
        <v>4503</v>
      </c>
      <c r="R670" s="221">
        <f>IFERROR(VLOOKUP(C670,TD!$B$33:$F$37,4,0)," ")</f>
        <v>20240255</v>
      </c>
      <c r="S670" s="219" t="s">
        <v>179</v>
      </c>
      <c r="T670" s="221" t="str">
        <f>IFERROR(VLOOKUP(S670,TD!$J$34:$K$44,2,0)," ")</f>
        <v>Infraestructura Tecnológica   (Sistemas de Información y Tecnologia)</v>
      </c>
      <c r="U670" s="222" t="str">
        <f t="shared" si="42"/>
        <v>11-Infraestructura Tecnológica   (Sistemas de Información y Tecnologia)</v>
      </c>
      <c r="V670" s="219" t="s">
        <v>235</v>
      </c>
      <c r="W670" s="221" t="str">
        <f>IFERROR(VLOOKUP(V670,TD!$N$34:$O$46,2,0)," ")</f>
        <v>"Servicio de monitoreo y seguimiento para la gestión del riesgo"</v>
      </c>
      <c r="X670" s="222" t="str">
        <f t="shared" si="43"/>
        <v>018_"Servicio de monitoreo y seguimiento para la gestión del riesgo"</v>
      </c>
      <c r="Y670" s="222" t="str">
        <f t="shared" si="44"/>
        <v>11-Infraestructura Tecnológica   (Sistemas de Información y Tecnologia) 018_"Servicio de monitoreo y seguimiento para la gestión del riesgo"</v>
      </c>
      <c r="Z670" s="221" t="str">
        <f t="shared" si="45"/>
        <v>O23011745032024025511018</v>
      </c>
      <c r="AA670" s="221" t="str">
        <f>IFERROR(VLOOKUP(Y670,TD!$K$47:$L$65,2,0)," ")</f>
        <v>PM/0131/0111/45030180255</v>
      </c>
      <c r="AB670" s="53" t="s">
        <v>138</v>
      </c>
      <c r="AC670" s="223" t="s">
        <v>204</v>
      </c>
    </row>
    <row r="671" spans="2:29" s="28" customFormat="1" ht="99" customHeight="1" x14ac:dyDescent="0.35">
      <c r="B671" s="77">
        <v>20250690</v>
      </c>
      <c r="C671" s="50" t="s">
        <v>208</v>
      </c>
      <c r="D671" s="218" t="s">
        <v>162</v>
      </c>
      <c r="E671" s="219" t="s">
        <v>355</v>
      </c>
      <c r="F671" s="218" t="s">
        <v>920</v>
      </c>
      <c r="G671" s="218" t="s">
        <v>155</v>
      </c>
      <c r="H671" s="93">
        <v>80111600</v>
      </c>
      <c r="I671" s="220">
        <v>4</v>
      </c>
      <c r="J671" s="220">
        <v>9</v>
      </c>
      <c r="K671" s="52">
        <v>0</v>
      </c>
      <c r="L671" s="53">
        <v>67050000</v>
      </c>
      <c r="M671" s="218" t="s">
        <v>465</v>
      </c>
      <c r="N671" s="53" t="s">
        <v>113</v>
      </c>
      <c r="O671" s="219" t="s">
        <v>215</v>
      </c>
      <c r="P671" s="221" t="str">
        <f>IFERROR(VLOOKUP(C671,TD!$B$33:$F$37,2,0)," ")</f>
        <v>O230117</v>
      </c>
      <c r="Q671" s="221" t="str">
        <f>IFERROR(VLOOKUP(C671,TD!$B$33:$F$37,3,0)," ")</f>
        <v>4599</v>
      </c>
      <c r="R671" s="221">
        <f>IFERROR(VLOOKUP(C671,TD!$B$33:$F$37,4,0)," ")</f>
        <v>20240207</v>
      </c>
      <c r="S671" s="219" t="s">
        <v>179</v>
      </c>
      <c r="T671" s="221" t="str">
        <f>IFERROR(VLOOKUP(S671,TD!$J$34:$K$44,2,0)," ")</f>
        <v>Infraestructura Tecnológica   (Sistemas de Información y Tecnologia)</v>
      </c>
      <c r="U671" s="222" t="str">
        <f t="shared" si="42"/>
        <v>11-Infraestructura Tecnológica   (Sistemas de Información y Tecnologia)</v>
      </c>
      <c r="V671" s="219" t="s">
        <v>239</v>
      </c>
      <c r="W671" s="221" t="str">
        <f>IFERROR(VLOOKUP(V671,TD!$N$34:$O$46,2,0)," ")</f>
        <v>Servicios tecnológicos</v>
      </c>
      <c r="X671" s="222" t="str">
        <f t="shared" si="43"/>
        <v>007_Servicios tecnológicos</v>
      </c>
      <c r="Y671" s="222" t="str">
        <f t="shared" si="44"/>
        <v>11-Infraestructura Tecnológica   (Sistemas de Información y Tecnologia) 007_Servicios tecnológicos</v>
      </c>
      <c r="Z671" s="221" t="str">
        <f t="shared" si="45"/>
        <v>O23011745992024020711007</v>
      </c>
      <c r="AA671" s="221" t="str">
        <f>IFERROR(VLOOKUP(Y671,TD!$K$47:$L$65,2,0)," ")</f>
        <v>PM/0131/0111/45990070207</v>
      </c>
      <c r="AB671" s="53" t="s">
        <v>138</v>
      </c>
      <c r="AC671" s="223" t="s">
        <v>204</v>
      </c>
    </row>
    <row r="672" spans="2:29" s="28" customFormat="1" ht="99" customHeight="1" x14ac:dyDescent="0.35">
      <c r="B672" s="77">
        <v>20250693</v>
      </c>
      <c r="C672" s="50" t="s">
        <v>346</v>
      </c>
      <c r="D672" s="218" t="s">
        <v>166</v>
      </c>
      <c r="E672" s="219" t="s">
        <v>565</v>
      </c>
      <c r="F672" s="50" t="s">
        <v>921</v>
      </c>
      <c r="G672" s="218" t="s">
        <v>133</v>
      </c>
      <c r="H672" s="93" t="s">
        <v>627</v>
      </c>
      <c r="I672" s="220">
        <v>4</v>
      </c>
      <c r="J672" s="220">
        <v>4</v>
      </c>
      <c r="K672" s="52">
        <v>0</v>
      </c>
      <c r="L672" s="53">
        <v>18003072</v>
      </c>
      <c r="M672" s="218" t="s">
        <v>172</v>
      </c>
      <c r="N672" s="53" t="s">
        <v>85</v>
      </c>
      <c r="O672" s="219" t="s">
        <v>347</v>
      </c>
      <c r="P672" s="221" t="str">
        <f>IFERROR(VLOOKUP(C672,TD!$B$33:$F$37,2,0)," ")</f>
        <v>NA</v>
      </c>
      <c r="Q672" s="221" t="str">
        <f>IFERROR(VLOOKUP(C672,TD!$B$33:$F$37,3,0)," ")</f>
        <v>NA</v>
      </c>
      <c r="R672" s="221" t="str">
        <f>IFERROR(VLOOKUP(C672,TD!$B$33:$F$37,4,0)," ")</f>
        <v>NA</v>
      </c>
      <c r="S672" s="219" t="s">
        <v>406</v>
      </c>
      <c r="T672" s="221" t="str">
        <f>IFERROR(VLOOKUP(S672,TD!$J$34:$K$44,2,0)," ")</f>
        <v>N/A</v>
      </c>
      <c r="U672" s="222" t="str">
        <f t="shared" si="42"/>
        <v>N/A-N/A</v>
      </c>
      <c r="V672" s="219" t="s">
        <v>406</v>
      </c>
      <c r="W672" s="221" t="str">
        <f>IFERROR(VLOOKUP(V672,TD!$N$34:$O$46,2,0)," ")</f>
        <v>N/A</v>
      </c>
      <c r="X672" s="222" t="str">
        <f t="shared" si="43"/>
        <v>N/A_N/A</v>
      </c>
      <c r="Y672" s="222" t="str">
        <f t="shared" si="44"/>
        <v>N/A-N/A N/A_N/A</v>
      </c>
      <c r="Z672" s="221" t="str">
        <f t="shared" si="45"/>
        <v>NANANAN/AN/A</v>
      </c>
      <c r="AA672" s="221" t="str">
        <f>IFERROR(VLOOKUP(Y672,TD!$K$47:$L$65,2,0)," ")</f>
        <v>N/A</v>
      </c>
      <c r="AB672" s="53" t="s">
        <v>348</v>
      </c>
      <c r="AC672" s="223" t="s">
        <v>205</v>
      </c>
    </row>
    <row r="673" spans="2:29" s="28" customFormat="1" ht="99" customHeight="1" x14ac:dyDescent="0.35">
      <c r="B673" s="77">
        <v>20250694</v>
      </c>
      <c r="C673" s="50" t="s">
        <v>209</v>
      </c>
      <c r="D673" s="218" t="s">
        <v>167</v>
      </c>
      <c r="E673" s="219" t="s">
        <v>509</v>
      </c>
      <c r="F673" s="218" t="s">
        <v>711</v>
      </c>
      <c r="G673" s="218" t="s">
        <v>156</v>
      </c>
      <c r="H673" s="93">
        <v>80111600</v>
      </c>
      <c r="I673" s="220">
        <v>6</v>
      </c>
      <c r="J673" s="220">
        <v>8</v>
      </c>
      <c r="K673" s="52">
        <v>0</v>
      </c>
      <c r="L673" s="53">
        <v>39500000</v>
      </c>
      <c r="M673" s="218" t="s">
        <v>465</v>
      </c>
      <c r="N673" s="53" t="s">
        <v>113</v>
      </c>
      <c r="O673" s="219" t="s">
        <v>221</v>
      </c>
      <c r="P673" s="221" t="str">
        <f>IFERROR(VLOOKUP(C673,TD!$B$33:$F$37,2,0)," ")</f>
        <v>O230117</v>
      </c>
      <c r="Q673" s="221" t="str">
        <f>IFERROR(VLOOKUP(C673,TD!$B$33:$F$37,3,0)," ")</f>
        <v>4503</v>
      </c>
      <c r="R673" s="221">
        <f>IFERROR(VLOOKUP(C673,TD!$B$33:$F$37,4,0)," ")</f>
        <v>20240255</v>
      </c>
      <c r="S673" s="219" t="s">
        <v>177</v>
      </c>
      <c r="T673" s="221" t="str">
        <f>IFERROR(VLOOKUP(S673,TD!$J$34:$K$44,2,0)," ")</f>
        <v>Servicio de capacitaciones en gestión del riesgo de incendios  a la ciudadania.</v>
      </c>
      <c r="U673" s="222" t="str">
        <f t="shared" si="42"/>
        <v>05-Servicio de capacitaciones en gestión del riesgo de incendios  a la ciudadania.</v>
      </c>
      <c r="V673" s="219" t="s">
        <v>233</v>
      </c>
      <c r="W673" s="221" t="str">
        <f>IFERROR(VLOOKUP(V673,TD!$N$34:$O$46,2,0)," ")</f>
        <v>Servicio de educación informal</v>
      </c>
      <c r="X673" s="222" t="str">
        <f t="shared" si="43"/>
        <v>002_Servicio de educación informal</v>
      </c>
      <c r="Y673" s="222" t="str">
        <f t="shared" si="44"/>
        <v>05-Servicio de capacitaciones en gestión del riesgo de incendios  a la ciudadania. 002_Servicio de educación informal</v>
      </c>
      <c r="Z673" s="221" t="str">
        <f t="shared" si="45"/>
        <v>O23011745032024025505002</v>
      </c>
      <c r="AA673" s="221" t="str">
        <f>IFERROR(VLOOKUP(Y673,TD!$K$47:$L$65,2,0)," ")</f>
        <v>PM/0131/0105/45030020255</v>
      </c>
      <c r="AB673" s="53" t="s">
        <v>138</v>
      </c>
      <c r="AC673" s="223" t="s">
        <v>204</v>
      </c>
    </row>
    <row r="674" spans="2:29" s="28" customFormat="1" ht="99" customHeight="1" x14ac:dyDescent="0.35">
      <c r="B674" s="130">
        <v>20250695</v>
      </c>
      <c r="C674" s="132" t="s">
        <v>209</v>
      </c>
      <c r="D674" s="224" t="s">
        <v>165</v>
      </c>
      <c r="E674" s="225" t="s">
        <v>486</v>
      </c>
      <c r="F674" s="224" t="s">
        <v>993</v>
      </c>
      <c r="G674" s="224" t="s">
        <v>155</v>
      </c>
      <c r="H674" s="133">
        <v>80111600</v>
      </c>
      <c r="I674" s="226">
        <v>5</v>
      </c>
      <c r="J674" s="226">
        <v>4</v>
      </c>
      <c r="K674" s="129">
        <v>0</v>
      </c>
      <c r="L674" s="128">
        <v>20644000</v>
      </c>
      <c r="M674" s="224" t="s">
        <v>465</v>
      </c>
      <c r="N674" s="128" t="s">
        <v>113</v>
      </c>
      <c r="O674" s="225" t="s">
        <v>229</v>
      </c>
      <c r="P674" s="227" t="str">
        <f>IFERROR(VLOOKUP(C674,TD!$B$33:$F$37,2,0)," ")</f>
        <v>O230117</v>
      </c>
      <c r="Q674" s="227" t="str">
        <f>IFERROR(VLOOKUP(C674,TD!$B$33:$F$37,3,0)," ")</f>
        <v>4503</v>
      </c>
      <c r="R674" s="227">
        <f>IFERROR(VLOOKUP(C674,TD!$B$33:$F$37,4,0)," ")</f>
        <v>20240255</v>
      </c>
      <c r="S674" s="225" t="s">
        <v>183</v>
      </c>
      <c r="T674" s="227" t="str">
        <f>IFERROR(VLOOKUP(S674,TD!$J$34:$K$44,2,0)," ")</f>
        <v>Servicio de formación en gestión del riesgo de incendios para el personal UAECOB</v>
      </c>
      <c r="U674" s="222" t="str">
        <f t="shared" si="42"/>
        <v>07-Servicio de formación en gestión del riesgo de incendios para el personal UAECOB</v>
      </c>
      <c r="V674" s="225" t="s">
        <v>233</v>
      </c>
      <c r="W674" s="227" t="str">
        <f>IFERROR(VLOOKUP(V674,TD!$N$34:$O$46,2,0)," ")</f>
        <v>Servicio de educación informal</v>
      </c>
      <c r="X674" s="222" t="str">
        <f t="shared" si="43"/>
        <v>002_Servicio de educación informal</v>
      </c>
      <c r="Y674" s="222" t="str">
        <f t="shared" si="44"/>
        <v>07-Servicio de formación en gestión del riesgo de incendios para el personal UAECOB 002_Servicio de educación informal</v>
      </c>
      <c r="Z674" s="227" t="str">
        <f t="shared" si="45"/>
        <v>O23011745032024025507002</v>
      </c>
      <c r="AA674" s="227" t="str">
        <f>IFERROR(VLOOKUP(Y674,TD!$K$47:$L$65,2,0)," ")</f>
        <v>PM/0131/0107/45030020255</v>
      </c>
      <c r="AB674" s="128" t="s">
        <v>138</v>
      </c>
      <c r="AC674" s="228" t="s">
        <v>204</v>
      </c>
    </row>
    <row r="675" spans="2:29" s="28" customFormat="1" ht="99" customHeight="1" x14ac:dyDescent="0.35">
      <c r="B675" s="130">
        <v>20250696</v>
      </c>
      <c r="C675" s="132" t="s">
        <v>209</v>
      </c>
      <c r="D675" s="224" t="s">
        <v>165</v>
      </c>
      <c r="E675" s="225" t="s">
        <v>486</v>
      </c>
      <c r="F675" s="224" t="s">
        <v>993</v>
      </c>
      <c r="G675" s="224" t="s">
        <v>155</v>
      </c>
      <c r="H675" s="133">
        <v>80111600</v>
      </c>
      <c r="I675" s="226">
        <v>5</v>
      </c>
      <c r="J675" s="226">
        <v>4</v>
      </c>
      <c r="K675" s="129">
        <v>0</v>
      </c>
      <c r="L675" s="128">
        <v>20644000</v>
      </c>
      <c r="M675" s="224" t="s">
        <v>465</v>
      </c>
      <c r="N675" s="128" t="s">
        <v>113</v>
      </c>
      <c r="O675" s="225" t="s">
        <v>229</v>
      </c>
      <c r="P675" s="227" t="str">
        <f>IFERROR(VLOOKUP(C675,TD!$B$33:$F$37,2,0)," ")</f>
        <v>O230117</v>
      </c>
      <c r="Q675" s="227" t="str">
        <f>IFERROR(VLOOKUP(C675,TD!$B$33:$F$37,3,0)," ")</f>
        <v>4503</v>
      </c>
      <c r="R675" s="227">
        <f>IFERROR(VLOOKUP(C675,TD!$B$33:$F$37,4,0)," ")</f>
        <v>20240255</v>
      </c>
      <c r="S675" s="225" t="s">
        <v>183</v>
      </c>
      <c r="T675" s="227" t="str">
        <f>IFERROR(VLOOKUP(S675,TD!$J$34:$K$44,2,0)," ")</f>
        <v>Servicio de formación en gestión del riesgo de incendios para el personal UAECOB</v>
      </c>
      <c r="U675" s="222" t="str">
        <f t="shared" si="42"/>
        <v>07-Servicio de formación en gestión del riesgo de incendios para el personal UAECOB</v>
      </c>
      <c r="V675" s="225" t="s">
        <v>233</v>
      </c>
      <c r="W675" s="227" t="str">
        <f>IFERROR(VLOOKUP(V675,TD!$N$34:$O$46,2,0)," ")</f>
        <v>Servicio de educación informal</v>
      </c>
      <c r="X675" s="222" t="str">
        <f t="shared" si="43"/>
        <v>002_Servicio de educación informal</v>
      </c>
      <c r="Y675" s="222" t="str">
        <f t="shared" si="44"/>
        <v>07-Servicio de formación en gestión del riesgo de incendios para el personal UAECOB 002_Servicio de educación informal</v>
      </c>
      <c r="Z675" s="227" t="str">
        <f t="shared" si="45"/>
        <v>O23011745032024025507002</v>
      </c>
      <c r="AA675" s="227" t="str">
        <f>IFERROR(VLOOKUP(Y675,TD!$K$47:$L$65,2,0)," ")</f>
        <v>PM/0131/0107/45030020255</v>
      </c>
      <c r="AB675" s="128" t="s">
        <v>138</v>
      </c>
      <c r="AC675" s="228" t="s">
        <v>204</v>
      </c>
    </row>
    <row r="676" spans="2:29" s="28" customFormat="1" ht="99" customHeight="1" x14ac:dyDescent="0.35">
      <c r="B676" s="130">
        <v>20250697</v>
      </c>
      <c r="C676" s="132" t="s">
        <v>209</v>
      </c>
      <c r="D676" s="224" t="s">
        <v>165</v>
      </c>
      <c r="E676" s="225" t="s">
        <v>486</v>
      </c>
      <c r="F676" s="224" t="s">
        <v>993</v>
      </c>
      <c r="G676" s="224" t="s">
        <v>155</v>
      </c>
      <c r="H676" s="133">
        <v>80111600</v>
      </c>
      <c r="I676" s="226">
        <v>5</v>
      </c>
      <c r="J676" s="226">
        <v>4</v>
      </c>
      <c r="K676" s="129">
        <v>0</v>
      </c>
      <c r="L676" s="128">
        <v>20644000</v>
      </c>
      <c r="M676" s="224" t="s">
        <v>465</v>
      </c>
      <c r="N676" s="128" t="s">
        <v>113</v>
      </c>
      <c r="O676" s="225" t="s">
        <v>229</v>
      </c>
      <c r="P676" s="227" t="str">
        <f>IFERROR(VLOOKUP(C676,TD!$B$33:$F$37,2,0)," ")</f>
        <v>O230117</v>
      </c>
      <c r="Q676" s="227" t="str">
        <f>IFERROR(VLOOKUP(C676,TD!$B$33:$F$37,3,0)," ")</f>
        <v>4503</v>
      </c>
      <c r="R676" s="227">
        <f>IFERROR(VLOOKUP(C676,TD!$B$33:$F$37,4,0)," ")</f>
        <v>20240255</v>
      </c>
      <c r="S676" s="225" t="s">
        <v>183</v>
      </c>
      <c r="T676" s="227" t="str">
        <f>IFERROR(VLOOKUP(S676,TD!$J$34:$K$44,2,0)," ")</f>
        <v>Servicio de formación en gestión del riesgo de incendios para el personal UAECOB</v>
      </c>
      <c r="U676" s="222" t="str">
        <f t="shared" si="42"/>
        <v>07-Servicio de formación en gestión del riesgo de incendios para el personal UAECOB</v>
      </c>
      <c r="V676" s="225" t="s">
        <v>233</v>
      </c>
      <c r="W676" s="227" t="str">
        <f>IFERROR(VLOOKUP(V676,TD!$N$34:$O$46,2,0)," ")</f>
        <v>Servicio de educación informal</v>
      </c>
      <c r="X676" s="222" t="str">
        <f t="shared" si="43"/>
        <v>002_Servicio de educación informal</v>
      </c>
      <c r="Y676" s="222" t="str">
        <f t="shared" si="44"/>
        <v>07-Servicio de formación en gestión del riesgo de incendios para el personal UAECOB 002_Servicio de educación informal</v>
      </c>
      <c r="Z676" s="227" t="str">
        <f t="shared" si="45"/>
        <v>O23011745032024025507002</v>
      </c>
      <c r="AA676" s="227" t="str">
        <f>IFERROR(VLOOKUP(Y676,TD!$K$47:$L$65,2,0)," ")</f>
        <v>PM/0131/0107/45030020255</v>
      </c>
      <c r="AB676" s="128" t="s">
        <v>138</v>
      </c>
      <c r="AC676" s="228" t="s">
        <v>204</v>
      </c>
    </row>
    <row r="677" spans="2:29" ht="99" customHeight="1" x14ac:dyDescent="0.35">
      <c r="B677" s="141">
        <v>20250700</v>
      </c>
      <c r="C677" s="142" t="s">
        <v>209</v>
      </c>
      <c r="D677" s="247" t="s">
        <v>165</v>
      </c>
      <c r="E677" s="225" t="s">
        <v>486</v>
      </c>
      <c r="F677" s="247" t="s">
        <v>994</v>
      </c>
      <c r="G677" s="247" t="s">
        <v>155</v>
      </c>
      <c r="H677" s="143">
        <v>80111600</v>
      </c>
      <c r="I677" s="248">
        <v>5</v>
      </c>
      <c r="J677" s="248">
        <v>3</v>
      </c>
      <c r="K677" s="144">
        <v>0</v>
      </c>
      <c r="L677" s="145">
        <v>15483000</v>
      </c>
      <c r="M677" s="247" t="s">
        <v>465</v>
      </c>
      <c r="N677" s="145" t="s">
        <v>113</v>
      </c>
      <c r="O677" s="225" t="s">
        <v>229</v>
      </c>
      <c r="P677" s="249" t="str">
        <f>IFERROR(VLOOKUP(C677,TD!$B$33:$F$37,2,0)," ")</f>
        <v>O230117</v>
      </c>
      <c r="Q677" s="249" t="str">
        <f>IFERROR(VLOOKUP(C677,TD!$B$33:$F$37,3,0)," ")</f>
        <v>4503</v>
      </c>
      <c r="R677" s="249">
        <f>IFERROR(VLOOKUP(C677,TD!$B$33:$F$37,4,0)," ")</f>
        <v>20240255</v>
      </c>
      <c r="S677" s="250" t="s">
        <v>183</v>
      </c>
      <c r="T677" s="227" t="str">
        <f>IFERROR(VLOOKUP(S677,TD!$J$34:$K$44,2,0)," ")</f>
        <v>Servicio de formación en gestión del riesgo de incendios para el personal UAECOB</v>
      </c>
      <c r="U677" s="251" t="str">
        <f t="shared" si="42"/>
        <v>07-Servicio de formación en gestión del riesgo de incendios para el personal UAECOB</v>
      </c>
      <c r="V677" s="250" t="s">
        <v>233</v>
      </c>
      <c r="W677" s="227" t="str">
        <f>IFERROR(VLOOKUP(V677,TD!$N$34:$O$46,2,0)," ")</f>
        <v>Servicio de educación informal</v>
      </c>
      <c r="X677" s="251" t="str">
        <f t="shared" si="43"/>
        <v>002_Servicio de educación informal</v>
      </c>
      <c r="Y677" s="251" t="str">
        <f t="shared" si="44"/>
        <v>07-Servicio de formación en gestión del riesgo de incendios para el personal UAECOB 002_Servicio de educación informal</v>
      </c>
      <c r="Z677" s="249" t="str">
        <f t="shared" si="45"/>
        <v>O23011745032024025507002</v>
      </c>
      <c r="AA677" s="249" t="str">
        <f>IFERROR(VLOOKUP(Y677,TD!$K$47:$L$65,2,0)," ")</f>
        <v>PM/0131/0107/45030020255</v>
      </c>
      <c r="AB677" s="145" t="s">
        <v>138</v>
      </c>
      <c r="AC677" s="252" t="s">
        <v>204</v>
      </c>
    </row>
    <row r="678" spans="2:29" ht="99" customHeight="1" x14ac:dyDescent="0.35">
      <c r="B678" s="77">
        <v>20250701</v>
      </c>
      <c r="C678" s="50" t="s">
        <v>209</v>
      </c>
      <c r="D678" s="218" t="s">
        <v>168</v>
      </c>
      <c r="E678" s="219" t="s">
        <v>611</v>
      </c>
      <c r="F678" s="218" t="s">
        <v>927</v>
      </c>
      <c r="G678" s="218" t="s">
        <v>146</v>
      </c>
      <c r="H678" s="93">
        <v>78181500</v>
      </c>
      <c r="I678" s="220">
        <v>6</v>
      </c>
      <c r="J678" s="220">
        <v>4</v>
      </c>
      <c r="K678" s="52">
        <v>0</v>
      </c>
      <c r="L678" s="53">
        <f>16285658-16000000</f>
        <v>285658</v>
      </c>
      <c r="M678" s="218" t="s">
        <v>465</v>
      </c>
      <c r="N678" s="53" t="s">
        <v>85</v>
      </c>
      <c r="O678" s="219" t="s">
        <v>224</v>
      </c>
      <c r="P678" s="221" t="str">
        <f>IFERROR(VLOOKUP(C678,TD!$B$33:$F$37,2,0)," ")</f>
        <v>O230117</v>
      </c>
      <c r="Q678" s="221" t="str">
        <f>IFERROR(VLOOKUP(C678,TD!$B$33:$F$37,3,0)," ")</f>
        <v>4503</v>
      </c>
      <c r="R678" s="221">
        <f>IFERROR(VLOOKUP(C678,TD!$B$33:$F$37,4,0)," ")</f>
        <v>20240255</v>
      </c>
      <c r="S678" s="219" t="s">
        <v>187</v>
      </c>
      <c r="T678" s="221" t="str">
        <f>IFERROR(VLOOKUP(S678,TD!$J$34:$K$44,2,0)," ")</f>
        <v>Servicio de mantenimiento, dotación (HEA´s y equipo menor) y adquisición de vehiculos   especializados para la atención de emergencias.</v>
      </c>
      <c r="U678" s="222" t="str">
        <f t="shared" si="42"/>
        <v>09-Servicio de mantenimiento, dotación (HEA´s y equipo menor) y adquisición de vehiculos   especializados para la atención de emergencias.</v>
      </c>
      <c r="V678" s="253" t="s">
        <v>232</v>
      </c>
      <c r="W678" s="221" t="str">
        <f>IFERROR(VLOOKUP(V678,TD!$N$34:$O$46,2,0)," ")</f>
        <v>Servicio de atención a emergencias y desastres</v>
      </c>
      <c r="X678" s="222" t="str">
        <f t="shared" si="43"/>
        <v>004_Servicio de atención a emergencias y desastres</v>
      </c>
      <c r="Y678" s="222" t="str">
        <f t="shared" si="44"/>
        <v>09-Servicio de mantenimiento, dotación (HEA´s y equipo menor) y adquisición de vehiculos   especializados para la atención de emergencias. 004_Servicio de atención a emergencias y desastres</v>
      </c>
      <c r="Z678" s="221" t="str">
        <f t="shared" si="45"/>
        <v>O23011745032024025509004</v>
      </c>
      <c r="AA678" s="221" t="str">
        <f>IFERROR(VLOOKUP(Y678,TD!$K$47:$L$65,2,0)," ")</f>
        <v>PM/0131/0109/45030040255</v>
      </c>
      <c r="AB678" s="53" t="s">
        <v>145</v>
      </c>
      <c r="AC678" s="219" t="s">
        <v>204</v>
      </c>
    </row>
    <row r="679" spans="2:29" ht="99" customHeight="1" x14ac:dyDescent="0.35">
      <c r="B679" s="136">
        <v>20250702</v>
      </c>
      <c r="C679" s="137" t="s">
        <v>209</v>
      </c>
      <c r="D679" s="218" t="s">
        <v>168</v>
      </c>
      <c r="E679" s="219" t="s">
        <v>611</v>
      </c>
      <c r="F679" s="254" t="s">
        <v>928</v>
      </c>
      <c r="G679" s="254" t="s">
        <v>146</v>
      </c>
      <c r="H679" s="138">
        <v>78181500</v>
      </c>
      <c r="I679" s="255">
        <v>8</v>
      </c>
      <c r="J679" s="255">
        <v>12</v>
      </c>
      <c r="K679" s="139">
        <v>0</v>
      </c>
      <c r="L679" s="135">
        <v>200000000</v>
      </c>
      <c r="M679" s="254" t="s">
        <v>465</v>
      </c>
      <c r="N679" s="135" t="s">
        <v>85</v>
      </c>
      <c r="O679" s="219" t="s">
        <v>224</v>
      </c>
      <c r="P679" s="256" t="str">
        <f>IFERROR(VLOOKUP(C679,TD!$B$33:$F$37,2,0)," ")</f>
        <v>O230117</v>
      </c>
      <c r="Q679" s="256" t="str">
        <f>IFERROR(VLOOKUP(C679,TD!$B$33:$F$37,3,0)," ")</f>
        <v>4503</v>
      </c>
      <c r="R679" s="256">
        <f>IFERROR(VLOOKUP(C679,TD!$B$33:$F$37,4,0)," ")</f>
        <v>20240255</v>
      </c>
      <c r="S679" s="253" t="s">
        <v>187</v>
      </c>
      <c r="T679" s="221" t="str">
        <f>IFERROR(VLOOKUP(S679,TD!$J$34:$K$44,2,0)," ")</f>
        <v>Servicio de mantenimiento, dotación (HEA´s y equipo menor) y adquisición de vehiculos   especializados para la atención de emergencias.</v>
      </c>
      <c r="U679" s="251" t="str">
        <f t="shared" si="42"/>
        <v>09-Servicio de mantenimiento, dotación (HEA´s y equipo menor) y adquisición de vehiculos   especializados para la atención de emergencias.</v>
      </c>
      <c r="V679" s="253" t="s">
        <v>232</v>
      </c>
      <c r="W679" s="221" t="str">
        <f>IFERROR(VLOOKUP(V679,TD!$N$34:$O$46,2,0)," ")</f>
        <v>Servicio de atención a emergencias y desastres</v>
      </c>
      <c r="X679" s="251" t="str">
        <f t="shared" si="43"/>
        <v>004_Servicio de atención a emergencias y desastres</v>
      </c>
      <c r="Y679" s="251" t="str">
        <f t="shared" si="44"/>
        <v>09-Servicio de mantenimiento, dotación (HEA´s y equipo menor) y adquisición de vehiculos   especializados para la atención de emergencias. 004_Servicio de atención a emergencias y desastres</v>
      </c>
      <c r="Z679" s="256" t="str">
        <f t="shared" si="45"/>
        <v>O23011745032024025509004</v>
      </c>
      <c r="AA679" s="256" t="str">
        <f>IFERROR(VLOOKUP(Y679,TD!$K$47:$L$65,2,0)," ")</f>
        <v>PM/0131/0109/45030040255</v>
      </c>
      <c r="AB679" s="135" t="s">
        <v>145</v>
      </c>
      <c r="AC679" s="223" t="s">
        <v>205</v>
      </c>
    </row>
    <row r="680" spans="2:29" ht="99" customHeight="1" x14ac:dyDescent="0.35">
      <c r="B680" s="136">
        <v>20250703</v>
      </c>
      <c r="C680" s="50" t="s">
        <v>209</v>
      </c>
      <c r="D680" s="218" t="s">
        <v>168</v>
      </c>
      <c r="E680" s="219" t="s">
        <v>611</v>
      </c>
      <c r="F680" s="218" t="s">
        <v>929</v>
      </c>
      <c r="G680" s="218" t="s">
        <v>119</v>
      </c>
      <c r="H680" s="93" t="s">
        <v>425</v>
      </c>
      <c r="I680" s="220">
        <v>4</v>
      </c>
      <c r="J680" s="220">
        <v>12</v>
      </c>
      <c r="K680" s="52">
        <v>0</v>
      </c>
      <c r="L680" s="53">
        <v>15000000</v>
      </c>
      <c r="M680" s="218" t="s">
        <v>465</v>
      </c>
      <c r="N680" s="53" t="s">
        <v>95</v>
      </c>
      <c r="O680" s="219" t="s">
        <v>224</v>
      </c>
      <c r="P680" s="221" t="str">
        <f>IFERROR(VLOOKUP(C680,TD!$B$33:$F$37,2,0)," ")</f>
        <v>O230117</v>
      </c>
      <c r="Q680" s="221" t="str">
        <f>IFERROR(VLOOKUP(C680,TD!$B$33:$F$37,3,0)," ")</f>
        <v>4503</v>
      </c>
      <c r="R680" s="221">
        <f>IFERROR(VLOOKUP(C680,TD!$B$33:$F$37,4,0)," ")</f>
        <v>20240255</v>
      </c>
      <c r="S680" s="219" t="s">
        <v>191</v>
      </c>
      <c r="T680" s="221" t="str">
        <f>IFERROR(VLOOKUP(S680,TD!$J$34:$K$44,2,0)," ")</f>
        <v>Servicio de apoyo   logístico  en eventos operativos y/o emergencias.</v>
      </c>
      <c r="U680" s="222" t="str">
        <f t="shared" si="42"/>
        <v>12-Servicio de apoyo   logístico  en eventos operativos y/o emergencias.</v>
      </c>
      <c r="V680" s="219" t="s">
        <v>232</v>
      </c>
      <c r="W680" s="221" t="str">
        <f>IFERROR(VLOOKUP(V680,TD!$N$34:$O$46,2,0)," ")</f>
        <v>Servicio de atención a emergencias y desastres</v>
      </c>
      <c r="X680" s="222" t="str">
        <f t="shared" si="43"/>
        <v>004_Servicio de atención a emergencias y desastres</v>
      </c>
      <c r="Y680" s="222" t="str">
        <f t="shared" si="44"/>
        <v>12-Servicio de apoyo   logístico  en eventos operativos y/o emergencias. 004_Servicio de atención a emergencias y desastres</v>
      </c>
      <c r="Z680" s="221" t="str">
        <f t="shared" si="45"/>
        <v>O23011745032024025512004</v>
      </c>
      <c r="AA680" s="221" t="str">
        <f>IFERROR(VLOOKUP(Y680,TD!$K$47:$L$65,2,0)," ")</f>
        <v>PM/0131/0112/45030040255</v>
      </c>
      <c r="AB680" s="53" t="s">
        <v>134</v>
      </c>
      <c r="AC680" s="223" t="s">
        <v>205</v>
      </c>
    </row>
    <row r="681" spans="2:29" ht="99" customHeight="1" x14ac:dyDescent="0.35">
      <c r="B681" s="77">
        <v>20250704</v>
      </c>
      <c r="C681" s="50" t="s">
        <v>209</v>
      </c>
      <c r="D681" s="218" t="s">
        <v>168</v>
      </c>
      <c r="E681" s="219" t="s">
        <v>611</v>
      </c>
      <c r="F681" s="254" t="s">
        <v>500</v>
      </c>
      <c r="G681" s="254" t="s">
        <v>119</v>
      </c>
      <c r="H681" s="138" t="s">
        <v>930</v>
      </c>
      <c r="I681" s="255">
        <v>9</v>
      </c>
      <c r="J681" s="255">
        <v>6</v>
      </c>
      <c r="K681" s="139">
        <v>0</v>
      </c>
      <c r="L681" s="135">
        <v>50000000</v>
      </c>
      <c r="M681" s="218" t="s">
        <v>465</v>
      </c>
      <c r="N681" s="135" t="s">
        <v>95</v>
      </c>
      <c r="O681" s="219" t="s">
        <v>224</v>
      </c>
      <c r="P681" s="256" t="str">
        <f>IFERROR(VLOOKUP(C681,TD!$B$33:$F$37,2,0)," ")</f>
        <v>O230117</v>
      </c>
      <c r="Q681" s="256" t="str">
        <f>IFERROR(VLOOKUP(C681,TD!$B$33:$F$37,3,0)," ")</f>
        <v>4503</v>
      </c>
      <c r="R681" s="256">
        <f>IFERROR(VLOOKUP(C681,TD!$B$33:$F$37,4,0)," ")</f>
        <v>20240255</v>
      </c>
      <c r="S681" s="219" t="s">
        <v>191</v>
      </c>
      <c r="T681" s="221" t="str">
        <f>IFERROR(VLOOKUP(S681,TD!$J$34:$K$44,2,0)," ")</f>
        <v>Servicio de apoyo   logístico  en eventos operativos y/o emergencias.</v>
      </c>
      <c r="U681" s="251" t="str">
        <f t="shared" si="42"/>
        <v>12-Servicio de apoyo   logístico  en eventos operativos y/o emergencias.</v>
      </c>
      <c r="V681" s="219" t="s">
        <v>232</v>
      </c>
      <c r="W681" s="221" t="str">
        <f>IFERROR(VLOOKUP(V681,TD!$N$34:$O$46,2,0)," ")</f>
        <v>Servicio de atención a emergencias y desastres</v>
      </c>
      <c r="X681" s="251" t="str">
        <f t="shared" si="43"/>
        <v>004_Servicio de atención a emergencias y desastres</v>
      </c>
      <c r="Y681" s="251" t="str">
        <f t="shared" si="44"/>
        <v>12-Servicio de apoyo   logístico  en eventos operativos y/o emergencias. 004_Servicio de atención a emergencias y desastres</v>
      </c>
      <c r="Z681" s="256" t="str">
        <f t="shared" si="45"/>
        <v>O23011745032024025512004</v>
      </c>
      <c r="AA681" s="256" t="str">
        <f>IFERROR(VLOOKUP(Y681,TD!$K$47:$L$65,2,0)," ")</f>
        <v>PM/0131/0112/45030040255</v>
      </c>
      <c r="AB681" s="53" t="s">
        <v>87</v>
      </c>
      <c r="AC681" s="257" t="s">
        <v>204</v>
      </c>
    </row>
    <row r="682" spans="2:29" ht="99" customHeight="1" x14ac:dyDescent="0.35">
      <c r="B682" s="136">
        <v>20250705</v>
      </c>
      <c r="C682" s="50" t="s">
        <v>208</v>
      </c>
      <c r="D682" s="218" t="s">
        <v>36</v>
      </c>
      <c r="E682" s="219" t="s">
        <v>378</v>
      </c>
      <c r="F682" s="254" t="s">
        <v>936</v>
      </c>
      <c r="G682" s="254" t="s">
        <v>155</v>
      </c>
      <c r="H682" s="138">
        <v>80111600</v>
      </c>
      <c r="I682" s="255">
        <v>0</v>
      </c>
      <c r="J682" s="255">
        <v>0</v>
      </c>
      <c r="K682" s="139">
        <v>0</v>
      </c>
      <c r="L682" s="135">
        <v>333333</v>
      </c>
      <c r="M682" s="218" t="s">
        <v>173</v>
      </c>
      <c r="N682" s="135" t="s">
        <v>128</v>
      </c>
      <c r="O682" s="219" t="s">
        <v>211</v>
      </c>
      <c r="P682" s="256" t="str">
        <f>IFERROR(VLOOKUP(C682,TD!$B$33:$F$37,2,0)," ")</f>
        <v>O230117</v>
      </c>
      <c r="Q682" s="256" t="str">
        <f>IFERROR(VLOOKUP(C682,TD!$B$33:$F$37,3,0)," ")</f>
        <v>4599</v>
      </c>
      <c r="R682" s="256">
        <f>IFERROR(VLOOKUP(C682,TD!$B$33:$F$37,4,0)," ")</f>
        <v>20240207</v>
      </c>
      <c r="S682" s="219" t="s">
        <v>193</v>
      </c>
      <c r="T682" s="221" t="str">
        <f>IFERROR(VLOOKUP(S682,TD!$J$34:$K$44,2,0)," ")</f>
        <v>Servicios para la planeación y sistemas de gestión y comunicación estratégica</v>
      </c>
      <c r="U682" s="251" t="str">
        <f t="shared" si="42"/>
        <v>13-Servicios para la planeación y sistemas de gestión y comunicación estratégica</v>
      </c>
      <c r="V682" s="219" t="s">
        <v>241</v>
      </c>
      <c r="W682" s="221" t="str">
        <f>IFERROR(VLOOKUP(V682,TD!$N$34:$O$46,2,0)," ")</f>
        <v>Servicio de Implementación Sistemas de Gestión</v>
      </c>
      <c r="X682" s="251" t="str">
        <f t="shared" si="43"/>
        <v>023_Servicio de Implementación Sistemas de Gestión</v>
      </c>
      <c r="Y682" s="251" t="str">
        <f t="shared" si="44"/>
        <v>13-Servicios para la planeación y sistemas de gestión y comunicación estratégica 023_Servicio de Implementación Sistemas de Gestión</v>
      </c>
      <c r="Z682" s="256" t="str">
        <f t="shared" si="45"/>
        <v>O23011745992024020713023</v>
      </c>
      <c r="AA682" s="256" t="str">
        <f>IFERROR(VLOOKUP(Y682,TD!$K$47:$L$65,2,0)," ")</f>
        <v>PM/0131/0113/45990230207</v>
      </c>
      <c r="AB682" s="53" t="s">
        <v>138</v>
      </c>
      <c r="AC682" s="257" t="s">
        <v>205</v>
      </c>
    </row>
    <row r="683" spans="2:29" ht="99" customHeight="1" x14ac:dyDescent="0.35">
      <c r="B683" s="136">
        <v>20250706</v>
      </c>
      <c r="C683" s="137" t="s">
        <v>208</v>
      </c>
      <c r="D683" s="218" t="s">
        <v>36</v>
      </c>
      <c r="E683" s="219" t="s">
        <v>378</v>
      </c>
      <c r="F683" s="254" t="s">
        <v>932</v>
      </c>
      <c r="G683" s="254" t="s">
        <v>155</v>
      </c>
      <c r="H683" s="138">
        <v>80111600</v>
      </c>
      <c r="I683" s="255">
        <v>0</v>
      </c>
      <c r="J683" s="255">
        <v>0</v>
      </c>
      <c r="K683" s="139">
        <v>0</v>
      </c>
      <c r="L683" s="135">
        <v>2100000</v>
      </c>
      <c r="M683" s="254" t="s">
        <v>173</v>
      </c>
      <c r="N683" s="135" t="s">
        <v>128</v>
      </c>
      <c r="O683" s="219" t="s">
        <v>211</v>
      </c>
      <c r="P683" s="256" t="str">
        <f>IFERROR(VLOOKUP(C683,TD!$B$33:$F$37,2,0)," ")</f>
        <v>O230117</v>
      </c>
      <c r="Q683" s="256" t="str">
        <f>IFERROR(VLOOKUP(C683,TD!$B$33:$F$37,3,0)," ")</f>
        <v>4599</v>
      </c>
      <c r="R683" s="256">
        <f>IFERROR(VLOOKUP(C683,TD!$B$33:$F$37,4,0)," ")</f>
        <v>20240207</v>
      </c>
      <c r="S683" s="253" t="s">
        <v>193</v>
      </c>
      <c r="T683" s="221" t="str">
        <f>IFERROR(VLOOKUP(S683,TD!$J$34:$K$44,2,0)," ")</f>
        <v>Servicios para la planeación y sistemas de gestión y comunicación estratégica</v>
      </c>
      <c r="U683" s="251" t="str">
        <f t="shared" si="42"/>
        <v>13-Servicios para la planeación y sistemas de gestión y comunicación estratégica</v>
      </c>
      <c r="V683" s="219" t="s">
        <v>241</v>
      </c>
      <c r="W683" s="221" t="str">
        <f>IFERROR(VLOOKUP(V683,TD!$N$34:$O$46,2,0)," ")</f>
        <v>Servicio de Implementación Sistemas de Gestión</v>
      </c>
      <c r="X683" s="251" t="str">
        <f t="shared" si="43"/>
        <v>023_Servicio de Implementación Sistemas de Gestión</v>
      </c>
      <c r="Y683" s="251" t="str">
        <f t="shared" si="44"/>
        <v>13-Servicios para la planeación y sistemas de gestión y comunicación estratégica 023_Servicio de Implementación Sistemas de Gestión</v>
      </c>
      <c r="Z683" s="256" t="str">
        <f t="shared" si="45"/>
        <v>O23011745992024020713023</v>
      </c>
      <c r="AA683" s="256" t="str">
        <f>IFERROR(VLOOKUP(Y683,TD!$K$47:$L$65,2,0)," ")</f>
        <v>PM/0131/0113/45990230207</v>
      </c>
      <c r="AB683" s="135" t="s">
        <v>138</v>
      </c>
      <c r="AC683" s="257" t="s">
        <v>205</v>
      </c>
    </row>
    <row r="684" spans="2:29" ht="99" customHeight="1" x14ac:dyDescent="0.35">
      <c r="B684" s="136">
        <v>20250707</v>
      </c>
      <c r="C684" s="137" t="s">
        <v>208</v>
      </c>
      <c r="D684" s="218" t="s">
        <v>36</v>
      </c>
      <c r="E684" s="219" t="s">
        <v>378</v>
      </c>
      <c r="F684" s="254" t="s">
        <v>933</v>
      </c>
      <c r="G684" s="254" t="s">
        <v>155</v>
      </c>
      <c r="H684" s="138">
        <v>80111600</v>
      </c>
      <c r="I684" s="255">
        <v>0</v>
      </c>
      <c r="J684" s="255">
        <v>0</v>
      </c>
      <c r="K684" s="139">
        <v>0</v>
      </c>
      <c r="L684" s="135">
        <v>283334</v>
      </c>
      <c r="M684" s="254" t="s">
        <v>173</v>
      </c>
      <c r="N684" s="135" t="s">
        <v>128</v>
      </c>
      <c r="O684" s="219" t="s">
        <v>211</v>
      </c>
      <c r="P684" s="256" t="str">
        <f>IFERROR(VLOOKUP(C684,TD!$B$33:$F$37,2,0)," ")</f>
        <v>O230117</v>
      </c>
      <c r="Q684" s="256" t="str">
        <f>IFERROR(VLOOKUP(C684,TD!$B$33:$F$37,3,0)," ")</f>
        <v>4599</v>
      </c>
      <c r="R684" s="256">
        <f>IFERROR(VLOOKUP(C684,TD!$B$33:$F$37,4,0)," ")</f>
        <v>20240207</v>
      </c>
      <c r="S684" s="253" t="s">
        <v>193</v>
      </c>
      <c r="T684" s="221" t="str">
        <f>IFERROR(VLOOKUP(S684,TD!$J$34:$K$44,2,0)," ")</f>
        <v>Servicios para la planeación y sistemas de gestión y comunicación estratégica</v>
      </c>
      <c r="U684" s="251" t="str">
        <f t="shared" si="42"/>
        <v>13-Servicios para la planeación y sistemas de gestión y comunicación estratégica</v>
      </c>
      <c r="V684" s="219" t="s">
        <v>240</v>
      </c>
      <c r="W684" s="221" t="str">
        <f>IFERROR(VLOOKUP(V684,TD!$N$34:$O$46,2,0)," ")</f>
        <v>Servicio de asistencia técnica</v>
      </c>
      <c r="X684" s="251" t="str">
        <f t="shared" si="43"/>
        <v>031_Servicio de asistencia técnica</v>
      </c>
      <c r="Y684" s="251" t="str">
        <f t="shared" si="44"/>
        <v>13-Servicios para la planeación y sistemas de gestión y comunicación estratégica 031_Servicio de asistencia técnica</v>
      </c>
      <c r="Z684" s="256" t="str">
        <f t="shared" si="45"/>
        <v>O23011745992024020713031</v>
      </c>
      <c r="AA684" s="256" t="str">
        <f>IFERROR(VLOOKUP(Y684,TD!$K$47:$L$65,2,0)," ")</f>
        <v>PM/0131/0113/45990310207</v>
      </c>
      <c r="AB684" s="135" t="s">
        <v>138</v>
      </c>
      <c r="AC684" s="257" t="s">
        <v>205</v>
      </c>
    </row>
    <row r="685" spans="2:29" ht="99" customHeight="1" x14ac:dyDescent="0.35">
      <c r="B685" s="136">
        <v>20250708</v>
      </c>
      <c r="C685" s="50" t="s">
        <v>208</v>
      </c>
      <c r="D685" s="218" t="s">
        <v>36</v>
      </c>
      <c r="E685" s="219" t="s">
        <v>378</v>
      </c>
      <c r="F685" s="218" t="s">
        <v>934</v>
      </c>
      <c r="G685" s="218" t="s">
        <v>155</v>
      </c>
      <c r="H685" s="93">
        <v>80111600</v>
      </c>
      <c r="I685" s="220">
        <v>0</v>
      </c>
      <c r="J685" s="220">
        <v>0</v>
      </c>
      <c r="K685" s="52">
        <v>0</v>
      </c>
      <c r="L685" s="53">
        <v>800000</v>
      </c>
      <c r="M685" s="218" t="s">
        <v>173</v>
      </c>
      <c r="N685" s="53" t="s">
        <v>128</v>
      </c>
      <c r="O685" s="219" t="s">
        <v>211</v>
      </c>
      <c r="P685" s="221" t="str">
        <f>IFERROR(VLOOKUP(C685,TD!$B$33:$F$37,2,0)," ")</f>
        <v>O230117</v>
      </c>
      <c r="Q685" s="221" t="str">
        <f>IFERROR(VLOOKUP(C685,TD!$B$33:$F$37,3,0)," ")</f>
        <v>4599</v>
      </c>
      <c r="R685" s="221">
        <f>IFERROR(VLOOKUP(C685,TD!$B$33:$F$37,4,0)," ")</f>
        <v>20240207</v>
      </c>
      <c r="S685" s="253" t="s">
        <v>193</v>
      </c>
      <c r="T685" s="221" t="str">
        <f>IFERROR(VLOOKUP(S685,TD!$J$34:$K$44,2,0)," ")</f>
        <v>Servicios para la planeación y sistemas de gestión y comunicación estratégica</v>
      </c>
      <c r="U685" s="222" t="str">
        <f t="shared" si="42"/>
        <v>13-Servicios para la planeación y sistemas de gestión y comunicación estratégica</v>
      </c>
      <c r="V685" s="219" t="s">
        <v>241</v>
      </c>
      <c r="W685" s="221" t="str">
        <f>IFERROR(VLOOKUP(V685,TD!$N$34:$O$46,2,0)," ")</f>
        <v>Servicio de Implementación Sistemas de Gestión</v>
      </c>
      <c r="X685" s="222" t="str">
        <f t="shared" si="43"/>
        <v>023_Servicio de Implementación Sistemas de Gestión</v>
      </c>
      <c r="Y685" s="222" t="str">
        <f t="shared" si="44"/>
        <v>13-Servicios para la planeación y sistemas de gestión y comunicación estratégica 023_Servicio de Implementación Sistemas de Gestión</v>
      </c>
      <c r="Z685" s="221" t="str">
        <f t="shared" si="45"/>
        <v>O23011745992024020713023</v>
      </c>
      <c r="AA685" s="221" t="str">
        <f>IFERROR(VLOOKUP(Y685,TD!$K$47:$L$65,2,0)," ")</f>
        <v>PM/0131/0113/45990230207</v>
      </c>
      <c r="AB685" s="53" t="s">
        <v>138</v>
      </c>
      <c r="AC685" s="223" t="s">
        <v>205</v>
      </c>
    </row>
    <row r="686" spans="2:29" ht="99" customHeight="1" x14ac:dyDescent="0.35">
      <c r="B686" s="136">
        <v>20250709</v>
      </c>
      <c r="C686" s="137" t="s">
        <v>208</v>
      </c>
      <c r="D686" s="218" t="s">
        <v>36</v>
      </c>
      <c r="E686" s="219" t="s">
        <v>378</v>
      </c>
      <c r="F686" s="254" t="s">
        <v>935</v>
      </c>
      <c r="G686" s="254" t="s">
        <v>156</v>
      </c>
      <c r="H686" s="138">
        <v>80111600</v>
      </c>
      <c r="I686" s="255">
        <v>5</v>
      </c>
      <c r="J686" s="255">
        <v>7</v>
      </c>
      <c r="K686" s="139">
        <v>0</v>
      </c>
      <c r="L686" s="135">
        <v>31435712</v>
      </c>
      <c r="M686" s="254" t="s">
        <v>465</v>
      </c>
      <c r="N686" s="53" t="s">
        <v>113</v>
      </c>
      <c r="O686" s="219" t="s">
        <v>211</v>
      </c>
      <c r="P686" s="256" t="str">
        <f>IFERROR(VLOOKUP(C686,TD!$B$33:$F$37,2,0)," ")</f>
        <v>O230117</v>
      </c>
      <c r="Q686" s="256" t="str">
        <f>IFERROR(VLOOKUP(C686,TD!$B$33:$F$37,3,0)," ")</f>
        <v>4599</v>
      </c>
      <c r="R686" s="256">
        <f>IFERROR(VLOOKUP(C686,TD!$B$33:$F$37,4,0)," ")</f>
        <v>20240207</v>
      </c>
      <c r="S686" s="253" t="s">
        <v>193</v>
      </c>
      <c r="T686" s="221" t="str">
        <f>IFERROR(VLOOKUP(S686,TD!$J$34:$K$44,2,0)," ")</f>
        <v>Servicios para la planeación y sistemas de gestión y comunicación estratégica</v>
      </c>
      <c r="U686" s="251" t="str">
        <f t="shared" si="42"/>
        <v>13-Servicios para la planeación y sistemas de gestión y comunicación estratégica</v>
      </c>
      <c r="V686" s="219" t="s">
        <v>241</v>
      </c>
      <c r="W686" s="221" t="str">
        <f>IFERROR(VLOOKUP(V686,TD!$N$34:$O$46,2,0)," ")</f>
        <v>Servicio de Implementación Sistemas de Gestión</v>
      </c>
      <c r="X686" s="251" t="str">
        <f t="shared" si="43"/>
        <v>023_Servicio de Implementación Sistemas de Gestión</v>
      </c>
      <c r="Y686" s="251" t="str">
        <f t="shared" si="44"/>
        <v>13-Servicios para la planeación y sistemas de gestión y comunicación estratégica 023_Servicio de Implementación Sistemas de Gestión</v>
      </c>
      <c r="Z686" s="256" t="str">
        <f t="shared" si="45"/>
        <v>O23011745992024020713023</v>
      </c>
      <c r="AA686" s="256" t="str">
        <f>IFERROR(VLOOKUP(Y686,TD!$K$47:$L$65,2,0)," ")</f>
        <v>PM/0131/0113/45990230207</v>
      </c>
      <c r="AB686" s="135" t="s">
        <v>138</v>
      </c>
      <c r="AC686" s="223" t="s">
        <v>204</v>
      </c>
    </row>
    <row r="687" spans="2:29" ht="99" customHeight="1" x14ac:dyDescent="0.35">
      <c r="B687" s="136">
        <v>20250710</v>
      </c>
      <c r="C687" s="137" t="s">
        <v>208</v>
      </c>
      <c r="D687" s="218" t="s">
        <v>164</v>
      </c>
      <c r="E687" s="219" t="s">
        <v>389</v>
      </c>
      <c r="F687" s="254" t="s">
        <v>937</v>
      </c>
      <c r="G687" s="254" t="s">
        <v>155</v>
      </c>
      <c r="H687" s="138">
        <v>80111600</v>
      </c>
      <c r="I687" s="255">
        <v>6</v>
      </c>
      <c r="J687" s="255">
        <v>2</v>
      </c>
      <c r="K687" s="139">
        <v>0</v>
      </c>
      <c r="L687" s="135">
        <v>21000000</v>
      </c>
      <c r="M687" s="254" t="s">
        <v>465</v>
      </c>
      <c r="N687" s="53" t="s">
        <v>113</v>
      </c>
      <c r="O687" s="219" t="s">
        <v>219</v>
      </c>
      <c r="P687" s="256" t="str">
        <f>IFERROR(VLOOKUP(C687,TD!$B$33:$F$37,2,0)," ")</f>
        <v>O230117</v>
      </c>
      <c r="Q687" s="256" t="str">
        <f>IFERROR(VLOOKUP(C687,TD!$B$33:$F$37,3,0)," ")</f>
        <v>4599</v>
      </c>
      <c r="R687" s="256">
        <f>IFERROR(VLOOKUP(C687,TD!$B$33:$F$37,4,0)," ")</f>
        <v>20240207</v>
      </c>
      <c r="S687" s="253" t="s">
        <v>185</v>
      </c>
      <c r="T687" s="221" t="str">
        <f>IFERROR(VLOOKUP(S687,TD!$J$34:$K$44,2,0)," ")</f>
        <v>Infraestructura física, mantenimiento y dotación (Sedes construidas, mantenidas reforzadas)</v>
      </c>
      <c r="U687" s="251" t="str">
        <f t="shared" si="42"/>
        <v>08-Infraestructura física, mantenimiento y dotación (Sedes construidas, mantenidas reforzadas)</v>
      </c>
      <c r="V687" s="219" t="s">
        <v>238</v>
      </c>
      <c r="W687" s="221" t="str">
        <f>IFERROR(VLOOKUP(V687,TD!$N$34:$O$46,2,0)," ")</f>
        <v>Sedes mantenidas</v>
      </c>
      <c r="X687" s="251" t="str">
        <f t="shared" si="43"/>
        <v>016_Sedes mantenidas</v>
      </c>
      <c r="Y687" s="251" t="str">
        <f t="shared" si="44"/>
        <v>08-Infraestructura física, mantenimiento y dotación (Sedes construidas, mantenidas reforzadas) 016_Sedes mantenidas</v>
      </c>
      <c r="Z687" s="256" t="str">
        <f t="shared" si="45"/>
        <v>O23011745992024020708016</v>
      </c>
      <c r="AA687" s="256" t="str">
        <f>IFERROR(VLOOKUP(Y687,TD!$K$47:$L$65,2,0)," ")</f>
        <v>PM/0131/0108/45990160207</v>
      </c>
      <c r="AB687" s="135" t="s">
        <v>120</v>
      </c>
      <c r="AC687" s="223" t="s">
        <v>204</v>
      </c>
    </row>
    <row r="688" spans="2:29" ht="99" customHeight="1" x14ac:dyDescent="0.35">
      <c r="B688" s="136">
        <v>20250712</v>
      </c>
      <c r="C688" s="137" t="s">
        <v>208</v>
      </c>
      <c r="D688" s="218" t="s">
        <v>162</v>
      </c>
      <c r="E688" s="219" t="s">
        <v>355</v>
      </c>
      <c r="F688" s="254" t="s">
        <v>938</v>
      </c>
      <c r="G688" s="254" t="s">
        <v>124</v>
      </c>
      <c r="H688" s="138" t="s">
        <v>939</v>
      </c>
      <c r="I688" s="255">
        <v>6</v>
      </c>
      <c r="J688" s="255">
        <v>12</v>
      </c>
      <c r="K688" s="139">
        <v>0</v>
      </c>
      <c r="L688" s="135">
        <v>650000000</v>
      </c>
      <c r="M688" s="254" t="s">
        <v>465</v>
      </c>
      <c r="N688" s="135" t="s">
        <v>113</v>
      </c>
      <c r="O688" s="219" t="s">
        <v>214</v>
      </c>
      <c r="P688" s="256" t="str">
        <f>IFERROR(VLOOKUP(C688,TD!$B$33:$F$37,2,0)," ")</f>
        <v>O230117</v>
      </c>
      <c r="Q688" s="256" t="str">
        <f>IFERROR(VLOOKUP(C688,TD!$B$33:$F$37,3,0)," ")</f>
        <v>4599</v>
      </c>
      <c r="R688" s="256">
        <f>IFERROR(VLOOKUP(C688,TD!$B$33:$F$37,4,0)," ")</f>
        <v>20240207</v>
      </c>
      <c r="S688" s="253" t="s">
        <v>179</v>
      </c>
      <c r="T688" s="221" t="str">
        <f>IFERROR(VLOOKUP(S688,TD!$J$34:$K$44,2,0)," ")</f>
        <v>Infraestructura Tecnológica   (Sistemas de Información y Tecnologia)</v>
      </c>
      <c r="U688" s="251" t="str">
        <f t="shared" si="42"/>
        <v>11-Infraestructura Tecnológica   (Sistemas de Información y Tecnologia)</v>
      </c>
      <c r="V688" s="219" t="s">
        <v>239</v>
      </c>
      <c r="W688" s="221" t="str">
        <f>IFERROR(VLOOKUP(V688,TD!$N$34:$O$46,2,0)," ")</f>
        <v>Servicios tecnológicos</v>
      </c>
      <c r="X688" s="251" t="str">
        <f t="shared" si="43"/>
        <v>007_Servicios tecnológicos</v>
      </c>
      <c r="Y688" s="251" t="str">
        <f t="shared" si="44"/>
        <v>11-Infraestructura Tecnológica   (Sistemas de Información y Tecnologia) 007_Servicios tecnológicos</v>
      </c>
      <c r="Z688" s="256" t="str">
        <f t="shared" si="45"/>
        <v>O23011745992024020711007</v>
      </c>
      <c r="AA688" s="256" t="str">
        <f>IFERROR(VLOOKUP(Y688,TD!$K$47:$L$65,2,0)," ")</f>
        <v>PM/0131/0111/45990070207</v>
      </c>
      <c r="AB688" s="135" t="s">
        <v>125</v>
      </c>
      <c r="AC688" s="223" t="s">
        <v>204</v>
      </c>
    </row>
    <row r="689" spans="2:29" ht="99" customHeight="1" x14ac:dyDescent="0.35">
      <c r="B689" s="136">
        <v>20250713</v>
      </c>
      <c r="C689" s="137" t="s">
        <v>209</v>
      </c>
      <c r="D689" s="218" t="s">
        <v>168</v>
      </c>
      <c r="E689" s="219" t="s">
        <v>611</v>
      </c>
      <c r="F689" s="254" t="s">
        <v>941</v>
      </c>
      <c r="G689" s="254" t="s">
        <v>119</v>
      </c>
      <c r="H689" s="138" t="s">
        <v>930</v>
      </c>
      <c r="I689" s="255">
        <v>5</v>
      </c>
      <c r="J689" s="255">
        <v>2</v>
      </c>
      <c r="K689" s="139">
        <v>0</v>
      </c>
      <c r="L689" s="135">
        <v>5000000</v>
      </c>
      <c r="M689" s="254" t="s">
        <v>465</v>
      </c>
      <c r="N689" s="135" t="s">
        <v>100</v>
      </c>
      <c r="O689" s="219" t="s">
        <v>224</v>
      </c>
      <c r="P689" s="256" t="str">
        <f>IFERROR(VLOOKUP(C689,TD!$B$33:$F$37,2,0)," ")</f>
        <v>O230117</v>
      </c>
      <c r="Q689" s="256" t="str">
        <f>IFERROR(VLOOKUP(C689,TD!$B$33:$F$37,3,0)," ")</f>
        <v>4503</v>
      </c>
      <c r="R689" s="256">
        <f>IFERROR(VLOOKUP(C689,TD!$B$33:$F$37,4,0)," ")</f>
        <v>20240255</v>
      </c>
      <c r="S689" s="253" t="s">
        <v>191</v>
      </c>
      <c r="T689" s="221" t="str">
        <f>IFERROR(VLOOKUP(S689,TD!$J$34:$K$44,2,0)," ")</f>
        <v>Servicio de apoyo   logístico  en eventos operativos y/o emergencias.</v>
      </c>
      <c r="U689" s="251" t="str">
        <f t="shared" si="42"/>
        <v>12-Servicio de apoyo   logístico  en eventos operativos y/o emergencias.</v>
      </c>
      <c r="V689" s="219" t="s">
        <v>232</v>
      </c>
      <c r="W689" s="221" t="str">
        <f>IFERROR(VLOOKUP(V689,TD!$N$34:$O$46,2,0)," ")</f>
        <v>Servicio de atención a emergencias y desastres</v>
      </c>
      <c r="X689" s="251" t="str">
        <f t="shared" si="43"/>
        <v>004_Servicio de atención a emergencias y desastres</v>
      </c>
      <c r="Y689" s="251" t="str">
        <f t="shared" si="44"/>
        <v>12-Servicio de apoyo   logístico  en eventos operativos y/o emergencias. 004_Servicio de atención a emergencias y desastres</v>
      </c>
      <c r="Z689" s="256" t="str">
        <f t="shared" si="45"/>
        <v>O23011745032024025512004</v>
      </c>
      <c r="AA689" s="256" t="str">
        <f>IFERROR(VLOOKUP(Y689,TD!$K$47:$L$65,2,0)," ")</f>
        <v>PM/0131/0112/45030040255</v>
      </c>
      <c r="AB689" s="135" t="s">
        <v>87</v>
      </c>
      <c r="AC689" s="223" t="s">
        <v>204</v>
      </c>
    </row>
    <row r="690" spans="2:29" ht="99" customHeight="1" x14ac:dyDescent="0.35">
      <c r="B690" s="136">
        <v>20250714</v>
      </c>
      <c r="C690" s="137" t="s">
        <v>208</v>
      </c>
      <c r="D690" s="218" t="s">
        <v>166</v>
      </c>
      <c r="E690" s="219" t="s">
        <v>565</v>
      </c>
      <c r="F690" s="254" t="s">
        <v>946</v>
      </c>
      <c r="G690" s="254" t="s">
        <v>137</v>
      </c>
      <c r="H690" s="138" t="s">
        <v>406</v>
      </c>
      <c r="I690" s="255" t="s">
        <v>406</v>
      </c>
      <c r="J690" s="255" t="s">
        <v>406</v>
      </c>
      <c r="K690" s="139" t="s">
        <v>406</v>
      </c>
      <c r="L690" s="135">
        <v>513333</v>
      </c>
      <c r="M690" s="254" t="s">
        <v>173</v>
      </c>
      <c r="N690" s="135" t="s">
        <v>128</v>
      </c>
      <c r="O690" s="219" t="s">
        <v>219</v>
      </c>
      <c r="P690" s="256" t="str">
        <f>IFERROR(VLOOKUP(C690,TD!$B$33:$F$37,2,0)," ")</f>
        <v>O230117</v>
      </c>
      <c r="Q690" s="256" t="str">
        <f>IFERROR(VLOOKUP(C690,TD!$B$33:$F$37,3,0)," ")</f>
        <v>4599</v>
      </c>
      <c r="R690" s="256">
        <f>IFERROR(VLOOKUP(C690,TD!$B$33:$F$37,4,0)," ")</f>
        <v>20240207</v>
      </c>
      <c r="S690" s="253" t="s">
        <v>185</v>
      </c>
      <c r="T690" s="221" t="str">
        <f>IFERROR(VLOOKUP(S690,TD!$J$34:$K$44,2,0)," ")</f>
        <v>Infraestructura física, mantenimiento y dotación (Sedes construidas, mantenidas reforzadas)</v>
      </c>
      <c r="U690" s="251" t="str">
        <f t="shared" si="42"/>
        <v>08-Infraestructura física, mantenimiento y dotación (Sedes construidas, mantenidas reforzadas)</v>
      </c>
      <c r="V690" s="219" t="s">
        <v>238</v>
      </c>
      <c r="W690" s="221" t="str">
        <f>IFERROR(VLOOKUP(V690,TD!$N$34:$O$46,2,0)," ")</f>
        <v>Sedes mantenidas</v>
      </c>
      <c r="X690" s="251" t="str">
        <f t="shared" si="43"/>
        <v>016_Sedes mantenidas</v>
      </c>
      <c r="Y690" s="251" t="str">
        <f t="shared" si="44"/>
        <v>08-Infraestructura física, mantenimiento y dotación (Sedes construidas, mantenidas reforzadas) 016_Sedes mantenidas</v>
      </c>
      <c r="Z690" s="256" t="str">
        <f t="shared" si="45"/>
        <v>O23011745992024020708016</v>
      </c>
      <c r="AA690" s="256" t="str">
        <f>IFERROR(VLOOKUP(Y690,TD!$K$47:$L$65,2,0)," ")</f>
        <v>PM/0131/0108/45990160207</v>
      </c>
      <c r="AB690" s="135" t="s">
        <v>138</v>
      </c>
      <c r="AC690" s="223" t="s">
        <v>205</v>
      </c>
    </row>
    <row r="691" spans="2:29" ht="99" customHeight="1" x14ac:dyDescent="0.35">
      <c r="B691" s="136">
        <v>20250715</v>
      </c>
      <c r="C691" s="137" t="s">
        <v>208</v>
      </c>
      <c r="D691" s="254" t="s">
        <v>166</v>
      </c>
      <c r="E691" s="253" t="s">
        <v>565</v>
      </c>
      <c r="F691" s="254" t="s">
        <v>947</v>
      </c>
      <c r="G691" s="254" t="s">
        <v>137</v>
      </c>
      <c r="H691" s="138" t="s">
        <v>406</v>
      </c>
      <c r="I691" s="255" t="s">
        <v>406</v>
      </c>
      <c r="J691" s="255" t="s">
        <v>406</v>
      </c>
      <c r="K691" s="139" t="s">
        <v>406</v>
      </c>
      <c r="L691" s="135">
        <v>1100000</v>
      </c>
      <c r="M691" s="254" t="s">
        <v>173</v>
      </c>
      <c r="N691" s="135" t="s">
        <v>128</v>
      </c>
      <c r="O691" s="219" t="s">
        <v>219</v>
      </c>
      <c r="P691" s="256" t="str">
        <f>IFERROR(VLOOKUP(C691,TD!$B$33:$F$37,2,0)," ")</f>
        <v>O230117</v>
      </c>
      <c r="Q691" s="256" t="str">
        <f>IFERROR(VLOOKUP(C691,TD!$B$33:$F$37,3,0)," ")</f>
        <v>4599</v>
      </c>
      <c r="R691" s="256">
        <f>IFERROR(VLOOKUP(C691,TD!$B$33:$F$37,4,0)," ")</f>
        <v>20240207</v>
      </c>
      <c r="S691" s="253" t="s">
        <v>185</v>
      </c>
      <c r="T691" s="221" t="str">
        <f>IFERROR(VLOOKUP(S691,TD!$J$34:$K$44,2,0)," ")</f>
        <v>Infraestructura física, mantenimiento y dotación (Sedes construidas, mantenidas reforzadas)</v>
      </c>
      <c r="U691" s="251" t="str">
        <f t="shared" si="42"/>
        <v>08-Infraestructura física, mantenimiento y dotación (Sedes construidas, mantenidas reforzadas)</v>
      </c>
      <c r="V691" s="219" t="s">
        <v>238</v>
      </c>
      <c r="W691" s="221" t="str">
        <f>IFERROR(VLOOKUP(V691,TD!$N$34:$O$46,2,0)," ")</f>
        <v>Sedes mantenidas</v>
      </c>
      <c r="X691" s="251" t="str">
        <f t="shared" si="43"/>
        <v>016_Sedes mantenidas</v>
      </c>
      <c r="Y691" s="251" t="str">
        <f t="shared" si="44"/>
        <v>08-Infraestructura física, mantenimiento y dotación (Sedes construidas, mantenidas reforzadas) 016_Sedes mantenidas</v>
      </c>
      <c r="Z691" s="256" t="str">
        <f t="shared" si="45"/>
        <v>O23011745992024020708016</v>
      </c>
      <c r="AA691" s="256" t="str">
        <f>IFERROR(VLOOKUP(Y691,TD!$K$47:$L$65,2,0)," ")</f>
        <v>PM/0131/0108/45990160207</v>
      </c>
      <c r="AB691" s="135" t="s">
        <v>120</v>
      </c>
      <c r="AC691" s="257" t="s">
        <v>205</v>
      </c>
    </row>
    <row r="692" spans="2:29" ht="99" customHeight="1" x14ac:dyDescent="0.35">
      <c r="B692" s="136">
        <v>20250716</v>
      </c>
      <c r="C692" s="137" t="s">
        <v>209</v>
      </c>
      <c r="D692" s="254" t="s">
        <v>166</v>
      </c>
      <c r="E692" s="253" t="s">
        <v>565</v>
      </c>
      <c r="F692" s="254" t="s">
        <v>948</v>
      </c>
      <c r="G692" s="254" t="s">
        <v>137</v>
      </c>
      <c r="H692" s="138" t="s">
        <v>406</v>
      </c>
      <c r="I692" s="255" t="s">
        <v>406</v>
      </c>
      <c r="J692" s="255" t="s">
        <v>406</v>
      </c>
      <c r="K692" s="139" t="s">
        <v>406</v>
      </c>
      <c r="L692" s="135">
        <v>80100864</v>
      </c>
      <c r="M692" s="254" t="s">
        <v>173</v>
      </c>
      <c r="N692" s="135" t="s">
        <v>128</v>
      </c>
      <c r="O692" s="219" t="s">
        <v>227</v>
      </c>
      <c r="P692" s="256" t="str">
        <f>IFERROR(VLOOKUP(C692,TD!$B$33:$F$37,2,0)," ")</f>
        <v>O230117</v>
      </c>
      <c r="Q692" s="256" t="str">
        <f>IFERROR(VLOOKUP(C692,TD!$B$33:$F$37,3,0)," ")</f>
        <v>4503</v>
      </c>
      <c r="R692" s="256">
        <f>IFERROR(VLOOKUP(C692,TD!$B$33:$F$37,4,0)," ")</f>
        <v>20240255</v>
      </c>
      <c r="S692" s="253" t="s">
        <v>185</v>
      </c>
      <c r="T692" s="221" t="str">
        <f>IFERROR(VLOOKUP(S692,TD!$J$34:$K$44,2,0)," ")</f>
        <v>Infraestructura física, mantenimiento y dotación (Sedes construidas, mantenidas reforzadas)</v>
      </c>
      <c r="U692" s="251" t="str">
        <f t="shared" si="42"/>
        <v>08-Infraestructura física, mantenimiento y dotación (Sedes construidas, mantenidas reforzadas)</v>
      </c>
      <c r="V692" s="219" t="s">
        <v>236</v>
      </c>
      <c r="W692" s="221" t="str">
        <f>IFERROR(VLOOKUP(V692,TD!$N$34:$O$46,2,0)," ")</f>
        <v>Estaciones de bomberos adecuadas</v>
      </c>
      <c r="X692" s="251" t="str">
        <f t="shared" si="43"/>
        <v>014_Estaciones de bomberos adecuadas</v>
      </c>
      <c r="Y692" s="251" t="str">
        <f t="shared" si="44"/>
        <v>08-Infraestructura física, mantenimiento y dotación (Sedes construidas, mantenidas reforzadas) 014_Estaciones de bomberos adecuadas</v>
      </c>
      <c r="Z692" s="256" t="str">
        <f t="shared" si="45"/>
        <v>O23011745032024025508014</v>
      </c>
      <c r="AA692" s="256" t="str">
        <f>IFERROR(VLOOKUP(Y692,TD!$K$47:$L$65,2,0)," ")</f>
        <v>PM/0131/0108/45030140255</v>
      </c>
      <c r="AB692" s="135" t="s">
        <v>102</v>
      </c>
      <c r="AC692" s="257" t="s">
        <v>205</v>
      </c>
    </row>
    <row r="693" spans="2:29" ht="99" customHeight="1" x14ac:dyDescent="0.35">
      <c r="B693" s="136">
        <v>20250717</v>
      </c>
      <c r="C693" s="137" t="s">
        <v>209</v>
      </c>
      <c r="D693" s="254" t="s">
        <v>166</v>
      </c>
      <c r="E693" s="253" t="s">
        <v>565</v>
      </c>
      <c r="F693" s="254" t="s">
        <v>949</v>
      </c>
      <c r="G693" s="254" t="s">
        <v>137</v>
      </c>
      <c r="H693" s="138" t="s">
        <v>406</v>
      </c>
      <c r="I693" s="255" t="s">
        <v>406</v>
      </c>
      <c r="J693" s="255" t="s">
        <v>406</v>
      </c>
      <c r="K693" s="139" t="s">
        <v>406</v>
      </c>
      <c r="L693" s="135">
        <v>35774826</v>
      </c>
      <c r="M693" s="254" t="s">
        <v>173</v>
      </c>
      <c r="N693" s="135" t="s">
        <v>128</v>
      </c>
      <c r="O693" s="219" t="s">
        <v>227</v>
      </c>
      <c r="P693" s="256" t="str">
        <f>IFERROR(VLOOKUP(C693,TD!$B$33:$F$37,2,0)," ")</f>
        <v>O230117</v>
      </c>
      <c r="Q693" s="256" t="str">
        <f>IFERROR(VLOOKUP(C693,TD!$B$33:$F$37,3,0)," ")</f>
        <v>4503</v>
      </c>
      <c r="R693" s="256">
        <f>IFERROR(VLOOKUP(C693,TD!$B$33:$F$37,4,0)," ")</f>
        <v>20240255</v>
      </c>
      <c r="S693" s="253" t="s">
        <v>185</v>
      </c>
      <c r="T693" s="221" t="str">
        <f>IFERROR(VLOOKUP(S693,TD!$J$34:$K$44,2,0)," ")</f>
        <v>Infraestructura física, mantenimiento y dotación (Sedes construidas, mantenidas reforzadas)</v>
      </c>
      <c r="U693" s="251" t="str">
        <f t="shared" si="42"/>
        <v>08-Infraestructura física, mantenimiento y dotación (Sedes construidas, mantenidas reforzadas)</v>
      </c>
      <c r="V693" s="219" t="s">
        <v>236</v>
      </c>
      <c r="W693" s="221" t="str">
        <f>IFERROR(VLOOKUP(V693,TD!$N$34:$O$46,2,0)," ")</f>
        <v>Estaciones de bomberos adecuadas</v>
      </c>
      <c r="X693" s="251" t="str">
        <f t="shared" si="43"/>
        <v>014_Estaciones de bomberos adecuadas</v>
      </c>
      <c r="Y693" s="251" t="str">
        <f t="shared" si="44"/>
        <v>08-Infraestructura física, mantenimiento y dotación (Sedes construidas, mantenidas reforzadas) 014_Estaciones de bomberos adecuadas</v>
      </c>
      <c r="Z693" s="256" t="str">
        <f t="shared" si="45"/>
        <v>O23011745032024025508014</v>
      </c>
      <c r="AA693" s="256" t="str">
        <f>IFERROR(VLOOKUP(Y693,TD!$K$47:$L$65,2,0)," ")</f>
        <v>PM/0131/0108/45030140255</v>
      </c>
      <c r="AB693" s="135" t="s">
        <v>102</v>
      </c>
      <c r="AC693" s="257" t="s">
        <v>205</v>
      </c>
    </row>
    <row r="694" spans="2:29" ht="99" customHeight="1" x14ac:dyDescent="0.35">
      <c r="B694" s="136">
        <v>20250718</v>
      </c>
      <c r="C694" s="137" t="s">
        <v>209</v>
      </c>
      <c r="D694" s="254" t="s">
        <v>166</v>
      </c>
      <c r="E694" s="253" t="s">
        <v>565</v>
      </c>
      <c r="F694" s="254" t="s">
        <v>950</v>
      </c>
      <c r="G694" s="254" t="s">
        <v>137</v>
      </c>
      <c r="H694" s="138" t="s">
        <v>406</v>
      </c>
      <c r="I694" s="255" t="s">
        <v>406</v>
      </c>
      <c r="J694" s="255" t="s">
        <v>406</v>
      </c>
      <c r="K694" s="139" t="s">
        <v>406</v>
      </c>
      <c r="L694" s="135">
        <v>2450000</v>
      </c>
      <c r="M694" s="254" t="s">
        <v>173</v>
      </c>
      <c r="N694" s="135" t="s">
        <v>128</v>
      </c>
      <c r="O694" s="219" t="s">
        <v>227</v>
      </c>
      <c r="P694" s="256" t="str">
        <f>IFERROR(VLOOKUP(C694,TD!$B$33:$F$37,2,0)," ")</f>
        <v>O230117</v>
      </c>
      <c r="Q694" s="256" t="str">
        <f>IFERROR(VLOOKUP(C694,TD!$B$33:$F$37,3,0)," ")</f>
        <v>4503</v>
      </c>
      <c r="R694" s="256">
        <f>IFERROR(VLOOKUP(C694,TD!$B$33:$F$37,4,0)," ")</f>
        <v>20240255</v>
      </c>
      <c r="S694" s="253" t="s">
        <v>185</v>
      </c>
      <c r="T694" s="221" t="str">
        <f>IFERROR(VLOOKUP(S694,TD!$J$34:$K$44,2,0)," ")</f>
        <v>Infraestructura física, mantenimiento y dotación (Sedes construidas, mantenidas reforzadas)</v>
      </c>
      <c r="U694" s="251" t="str">
        <f t="shared" si="42"/>
        <v>08-Infraestructura física, mantenimiento y dotación (Sedes construidas, mantenidas reforzadas)</v>
      </c>
      <c r="V694" s="219" t="s">
        <v>236</v>
      </c>
      <c r="W694" s="221" t="str">
        <f>IFERROR(VLOOKUP(V694,TD!$N$34:$O$46,2,0)," ")</f>
        <v>Estaciones de bomberos adecuadas</v>
      </c>
      <c r="X694" s="251" t="str">
        <f t="shared" si="43"/>
        <v>014_Estaciones de bomberos adecuadas</v>
      </c>
      <c r="Y694" s="251" t="str">
        <f t="shared" si="44"/>
        <v>08-Infraestructura física, mantenimiento y dotación (Sedes construidas, mantenidas reforzadas) 014_Estaciones de bomberos adecuadas</v>
      </c>
      <c r="Z694" s="256" t="str">
        <f t="shared" si="45"/>
        <v>O23011745032024025508014</v>
      </c>
      <c r="AA694" s="256" t="str">
        <f>IFERROR(VLOOKUP(Y694,TD!$K$47:$L$65,2,0)," ")</f>
        <v>PM/0131/0108/45030140255</v>
      </c>
      <c r="AB694" s="135" t="s">
        <v>138</v>
      </c>
      <c r="AC694" s="257" t="s">
        <v>205</v>
      </c>
    </row>
    <row r="695" spans="2:29" ht="99" customHeight="1" x14ac:dyDescent="0.35">
      <c r="B695" s="136">
        <v>20250719</v>
      </c>
      <c r="C695" s="137" t="s">
        <v>209</v>
      </c>
      <c r="D695" s="254" t="s">
        <v>166</v>
      </c>
      <c r="E695" s="253" t="s">
        <v>565</v>
      </c>
      <c r="F695" s="254" t="s">
        <v>951</v>
      </c>
      <c r="G695" s="254" t="s">
        <v>137</v>
      </c>
      <c r="H695" s="138" t="s">
        <v>406</v>
      </c>
      <c r="I695" s="255" t="s">
        <v>406</v>
      </c>
      <c r="J695" s="255" t="s">
        <v>406</v>
      </c>
      <c r="K695" s="139" t="s">
        <v>406</v>
      </c>
      <c r="L695" s="135">
        <v>95749143</v>
      </c>
      <c r="M695" s="254" t="s">
        <v>173</v>
      </c>
      <c r="N695" s="135" t="s">
        <v>128</v>
      </c>
      <c r="O695" s="219" t="s">
        <v>227</v>
      </c>
      <c r="P695" s="256" t="str">
        <f>IFERROR(VLOOKUP(C695,TD!$B$33:$F$37,2,0)," ")</f>
        <v>O230117</v>
      </c>
      <c r="Q695" s="256" t="str">
        <f>IFERROR(VLOOKUP(C695,TD!$B$33:$F$37,3,0)," ")</f>
        <v>4503</v>
      </c>
      <c r="R695" s="256">
        <f>IFERROR(VLOOKUP(C695,TD!$B$33:$F$37,4,0)," ")</f>
        <v>20240255</v>
      </c>
      <c r="S695" s="253" t="s">
        <v>185</v>
      </c>
      <c r="T695" s="221" t="str">
        <f>IFERROR(VLOOKUP(S695,TD!$J$34:$K$44,2,0)," ")</f>
        <v>Infraestructura física, mantenimiento y dotación (Sedes construidas, mantenidas reforzadas)</v>
      </c>
      <c r="U695" s="251" t="str">
        <f t="shared" si="42"/>
        <v>08-Infraestructura física, mantenimiento y dotación (Sedes construidas, mantenidas reforzadas)</v>
      </c>
      <c r="V695" s="219" t="s">
        <v>236</v>
      </c>
      <c r="W695" s="221" t="str">
        <f>IFERROR(VLOOKUP(V695,TD!$N$34:$O$46,2,0)," ")</f>
        <v>Estaciones de bomberos adecuadas</v>
      </c>
      <c r="X695" s="251" t="str">
        <f t="shared" si="43"/>
        <v>014_Estaciones de bomberos adecuadas</v>
      </c>
      <c r="Y695" s="251" t="str">
        <f t="shared" si="44"/>
        <v>08-Infraestructura física, mantenimiento y dotación (Sedes construidas, mantenidas reforzadas) 014_Estaciones de bomberos adecuadas</v>
      </c>
      <c r="Z695" s="256" t="str">
        <f t="shared" si="45"/>
        <v>O23011745032024025508014</v>
      </c>
      <c r="AA695" s="256" t="str">
        <f>IFERROR(VLOOKUP(Y695,TD!$K$47:$L$65,2,0)," ")</f>
        <v>PM/0131/0108/45030140255</v>
      </c>
      <c r="AB695" s="135" t="s">
        <v>102</v>
      </c>
      <c r="AC695" s="257" t="s">
        <v>205</v>
      </c>
    </row>
    <row r="696" spans="2:29" ht="99" customHeight="1" x14ac:dyDescent="0.35">
      <c r="B696" s="136">
        <v>20250720</v>
      </c>
      <c r="C696" s="137" t="s">
        <v>209</v>
      </c>
      <c r="D696" s="254" t="s">
        <v>166</v>
      </c>
      <c r="E696" s="253" t="s">
        <v>565</v>
      </c>
      <c r="F696" s="254" t="s">
        <v>952</v>
      </c>
      <c r="G696" s="254" t="s">
        <v>137</v>
      </c>
      <c r="H696" s="138" t="s">
        <v>406</v>
      </c>
      <c r="I696" s="255" t="s">
        <v>406</v>
      </c>
      <c r="J696" s="255" t="s">
        <v>406</v>
      </c>
      <c r="K696" s="139" t="s">
        <v>406</v>
      </c>
      <c r="L696" s="135">
        <v>10284691</v>
      </c>
      <c r="M696" s="254" t="s">
        <v>173</v>
      </c>
      <c r="N696" s="135" t="s">
        <v>128</v>
      </c>
      <c r="O696" s="219" t="s">
        <v>227</v>
      </c>
      <c r="P696" s="256" t="str">
        <f>IFERROR(VLOOKUP(C696,TD!$B$33:$F$37,2,0)," ")</f>
        <v>O230117</v>
      </c>
      <c r="Q696" s="256" t="str">
        <f>IFERROR(VLOOKUP(C696,TD!$B$33:$F$37,3,0)," ")</f>
        <v>4503</v>
      </c>
      <c r="R696" s="256">
        <f>IFERROR(VLOOKUP(C696,TD!$B$33:$F$37,4,0)," ")</f>
        <v>20240255</v>
      </c>
      <c r="S696" s="253" t="s">
        <v>185</v>
      </c>
      <c r="T696" s="221" t="str">
        <f>IFERROR(VLOOKUP(S696,TD!$J$34:$K$44,2,0)," ")</f>
        <v>Infraestructura física, mantenimiento y dotación (Sedes construidas, mantenidas reforzadas)</v>
      </c>
      <c r="U696" s="251" t="str">
        <f t="shared" si="42"/>
        <v>08-Infraestructura física, mantenimiento y dotación (Sedes construidas, mantenidas reforzadas)</v>
      </c>
      <c r="V696" s="219" t="s">
        <v>236</v>
      </c>
      <c r="W696" s="221" t="str">
        <f>IFERROR(VLOOKUP(V696,TD!$N$34:$O$46,2,0)," ")</f>
        <v>Estaciones de bomberos adecuadas</v>
      </c>
      <c r="X696" s="251" t="str">
        <f t="shared" si="43"/>
        <v>014_Estaciones de bomberos adecuadas</v>
      </c>
      <c r="Y696" s="251" t="str">
        <f t="shared" si="44"/>
        <v>08-Infraestructura física, mantenimiento y dotación (Sedes construidas, mantenidas reforzadas) 014_Estaciones de bomberos adecuadas</v>
      </c>
      <c r="Z696" s="256" t="str">
        <f t="shared" si="45"/>
        <v>O23011745032024025508014</v>
      </c>
      <c r="AA696" s="256" t="str">
        <f>IFERROR(VLOOKUP(Y696,TD!$K$47:$L$65,2,0)," ")</f>
        <v>PM/0131/0108/45030140255</v>
      </c>
      <c r="AB696" s="135" t="s">
        <v>102</v>
      </c>
      <c r="AC696" s="257" t="s">
        <v>205</v>
      </c>
    </row>
    <row r="697" spans="2:29" ht="99" customHeight="1" x14ac:dyDescent="0.35">
      <c r="B697" s="136">
        <v>20250721</v>
      </c>
      <c r="C697" s="137" t="s">
        <v>346</v>
      </c>
      <c r="D697" s="254" t="s">
        <v>166</v>
      </c>
      <c r="E697" s="253" t="s">
        <v>565</v>
      </c>
      <c r="F697" s="254" t="s">
        <v>953</v>
      </c>
      <c r="G697" s="254" t="s">
        <v>137</v>
      </c>
      <c r="H697" s="138" t="s">
        <v>406</v>
      </c>
      <c r="I697" s="255" t="s">
        <v>406</v>
      </c>
      <c r="J697" s="255" t="s">
        <v>406</v>
      </c>
      <c r="K697" s="139" t="s">
        <v>406</v>
      </c>
      <c r="L697" s="135">
        <v>1732849</v>
      </c>
      <c r="M697" s="254" t="s">
        <v>173</v>
      </c>
      <c r="N697" s="135" t="s">
        <v>128</v>
      </c>
      <c r="O697" s="219" t="s">
        <v>347</v>
      </c>
      <c r="P697" s="256" t="str">
        <f>IFERROR(VLOOKUP(C697,TD!$B$33:$F$37,2,0)," ")</f>
        <v>NA</v>
      </c>
      <c r="Q697" s="256" t="str">
        <f>IFERROR(VLOOKUP(C697,TD!$B$33:$F$37,3,0)," ")</f>
        <v>NA</v>
      </c>
      <c r="R697" s="256" t="str">
        <f>IFERROR(VLOOKUP(C697,TD!$B$33:$F$37,4,0)," ")</f>
        <v>NA</v>
      </c>
      <c r="S697" s="253" t="s">
        <v>406</v>
      </c>
      <c r="T697" s="221" t="str">
        <f>IFERROR(VLOOKUP(S697,TD!$J$34:$K$44,2,0)," ")</f>
        <v>N/A</v>
      </c>
      <c r="U697" s="251" t="str">
        <f t="shared" si="42"/>
        <v>N/A-N/A</v>
      </c>
      <c r="V697" s="219" t="s">
        <v>406</v>
      </c>
      <c r="W697" s="221" t="str">
        <f>IFERROR(VLOOKUP(V697,TD!$N$34:$O$46,2,0)," ")</f>
        <v>N/A</v>
      </c>
      <c r="X697" s="251" t="str">
        <f t="shared" si="43"/>
        <v>N/A_N/A</v>
      </c>
      <c r="Y697" s="251" t="str">
        <f t="shared" si="44"/>
        <v>N/A-N/A N/A_N/A</v>
      </c>
      <c r="Z697" s="256" t="str">
        <f t="shared" si="45"/>
        <v>NANANAN/AN/A</v>
      </c>
      <c r="AA697" s="256" t="str">
        <f>IFERROR(VLOOKUP(Y697,TD!$K$47:$L$65,2,0)," ")</f>
        <v>N/A</v>
      </c>
      <c r="AB697" s="135" t="s">
        <v>675</v>
      </c>
      <c r="AC697" s="257" t="s">
        <v>205</v>
      </c>
    </row>
    <row r="698" spans="2:29" ht="99" customHeight="1" x14ac:dyDescent="0.35">
      <c r="B698" s="141">
        <v>20250722</v>
      </c>
      <c r="C698" s="142" t="s">
        <v>208</v>
      </c>
      <c r="D698" s="247" t="s">
        <v>162</v>
      </c>
      <c r="E698" s="250" t="s">
        <v>355</v>
      </c>
      <c r="F698" s="247" t="s">
        <v>956</v>
      </c>
      <c r="G698" s="247" t="s">
        <v>149</v>
      </c>
      <c r="H698" s="143" t="s">
        <v>960</v>
      </c>
      <c r="I698" s="248">
        <v>6</v>
      </c>
      <c r="J698" s="248">
        <v>12</v>
      </c>
      <c r="K698" s="144">
        <v>0</v>
      </c>
      <c r="L698" s="145">
        <v>187921000</v>
      </c>
      <c r="M698" s="247" t="s">
        <v>465</v>
      </c>
      <c r="N698" s="145" t="s">
        <v>113</v>
      </c>
      <c r="O698" s="225" t="s">
        <v>214</v>
      </c>
      <c r="P698" s="249" t="str">
        <f>IFERROR(VLOOKUP(C698,TD!$B$33:$F$37,2,0)," ")</f>
        <v>O230117</v>
      </c>
      <c r="Q698" s="249" t="str">
        <f>IFERROR(VLOOKUP(C698,TD!$B$33:$F$37,3,0)," ")</f>
        <v>4599</v>
      </c>
      <c r="R698" s="249">
        <f>IFERROR(VLOOKUP(C698,TD!$B$33:$F$37,4,0)," ")</f>
        <v>20240207</v>
      </c>
      <c r="S698" s="250" t="s">
        <v>179</v>
      </c>
      <c r="T698" s="227" t="str">
        <f>IFERROR(VLOOKUP(S698,TD!$J$34:$K$44,2,0)," ")</f>
        <v>Infraestructura Tecnológica   (Sistemas de Información y Tecnologia)</v>
      </c>
      <c r="U698" s="251" t="str">
        <f t="shared" si="42"/>
        <v>11-Infraestructura Tecnológica   (Sistemas de Información y Tecnologia)</v>
      </c>
      <c r="V698" s="225" t="s">
        <v>239</v>
      </c>
      <c r="W698" s="227" t="str">
        <f>IFERROR(VLOOKUP(V698,TD!$N$34:$O$46,2,0)," ")</f>
        <v>Servicios tecnológicos</v>
      </c>
      <c r="X698" s="251" t="str">
        <f t="shared" si="43"/>
        <v>007_Servicios tecnológicos</v>
      </c>
      <c r="Y698" s="251" t="str">
        <f t="shared" si="44"/>
        <v>11-Infraestructura Tecnológica   (Sistemas de Información y Tecnologia) 007_Servicios tecnológicos</v>
      </c>
      <c r="Z698" s="249" t="str">
        <f t="shared" si="45"/>
        <v>O23011745992024020711007</v>
      </c>
      <c r="AA698" s="249" t="str">
        <f>IFERROR(VLOOKUP(Y698,TD!$K$47:$L$65,2,0)," ")</f>
        <v>PM/0131/0111/45990070207</v>
      </c>
      <c r="AB698" s="145" t="s">
        <v>125</v>
      </c>
      <c r="AC698" s="252" t="s">
        <v>204</v>
      </c>
    </row>
    <row r="699" spans="2:29" ht="99" customHeight="1" x14ac:dyDescent="0.35">
      <c r="B699" s="136">
        <v>20250723</v>
      </c>
      <c r="C699" s="137" t="s">
        <v>208</v>
      </c>
      <c r="D699" s="254" t="s">
        <v>162</v>
      </c>
      <c r="E699" s="253" t="s">
        <v>355</v>
      </c>
      <c r="F699" s="254" t="s">
        <v>957</v>
      </c>
      <c r="G699" s="254" t="s">
        <v>137</v>
      </c>
      <c r="H699" s="138">
        <v>80111600</v>
      </c>
      <c r="I699" s="255">
        <v>6</v>
      </c>
      <c r="J699" s="255">
        <v>6</v>
      </c>
      <c r="K699" s="139">
        <v>0</v>
      </c>
      <c r="L699" s="135">
        <v>200000</v>
      </c>
      <c r="M699" s="254" t="s">
        <v>173</v>
      </c>
      <c r="N699" s="135" t="s">
        <v>128</v>
      </c>
      <c r="O699" s="219" t="s">
        <v>217</v>
      </c>
      <c r="P699" s="256" t="str">
        <f>IFERROR(VLOOKUP(C699,TD!$B$33:$F$37,2,0)," ")</f>
        <v>O230117</v>
      </c>
      <c r="Q699" s="256" t="str">
        <f>IFERROR(VLOOKUP(C699,TD!$B$33:$F$37,3,0)," ")</f>
        <v>4599</v>
      </c>
      <c r="R699" s="256">
        <f>IFERROR(VLOOKUP(C699,TD!$B$33:$F$37,4,0)," ")</f>
        <v>20240207</v>
      </c>
      <c r="S699" s="253" t="s">
        <v>179</v>
      </c>
      <c r="T699" s="221" t="str">
        <f>IFERROR(VLOOKUP(S699,TD!$J$34:$K$44,2,0)," ")</f>
        <v>Infraestructura Tecnológica   (Sistemas de Información y Tecnologia)</v>
      </c>
      <c r="U699" s="251" t="str">
        <f t="shared" si="42"/>
        <v>11-Infraestructura Tecnológica   (Sistemas de Información y Tecnologia)</v>
      </c>
      <c r="V699" s="219" t="s">
        <v>239</v>
      </c>
      <c r="W699" s="221" t="str">
        <f>IFERROR(VLOOKUP(V699,TD!$N$34:$O$46,2,0)," ")</f>
        <v>Servicios tecnológicos</v>
      </c>
      <c r="X699" s="251" t="str">
        <f t="shared" si="43"/>
        <v>007_Servicios tecnológicos</v>
      </c>
      <c r="Y699" s="251" t="str">
        <f t="shared" si="44"/>
        <v>11-Infraestructura Tecnológica   (Sistemas de Información y Tecnologia) 007_Servicios tecnológicos</v>
      </c>
      <c r="Z699" s="256" t="str">
        <f t="shared" si="45"/>
        <v>O23011745992024020711007</v>
      </c>
      <c r="AA699" s="256" t="str">
        <f>IFERROR(VLOOKUP(Y699,TD!$K$47:$L$65,2,0)," ")</f>
        <v>PM/0131/0111/45990070207</v>
      </c>
      <c r="AB699" s="135" t="s">
        <v>125</v>
      </c>
      <c r="AC699" s="257" t="s">
        <v>205</v>
      </c>
    </row>
    <row r="700" spans="2:29" ht="99" customHeight="1" x14ac:dyDescent="0.35">
      <c r="B700" s="136">
        <v>20250724</v>
      </c>
      <c r="C700" s="137" t="s">
        <v>208</v>
      </c>
      <c r="D700" s="254" t="s">
        <v>162</v>
      </c>
      <c r="E700" s="253" t="s">
        <v>355</v>
      </c>
      <c r="F700" s="254" t="s">
        <v>958</v>
      </c>
      <c r="G700" s="254" t="s">
        <v>137</v>
      </c>
      <c r="H700" s="138">
        <v>80111600</v>
      </c>
      <c r="I700" s="255">
        <v>6</v>
      </c>
      <c r="J700" s="255">
        <v>6</v>
      </c>
      <c r="K700" s="139">
        <v>0</v>
      </c>
      <c r="L700" s="135">
        <v>213334</v>
      </c>
      <c r="M700" s="254" t="s">
        <v>173</v>
      </c>
      <c r="N700" s="135" t="s">
        <v>128</v>
      </c>
      <c r="O700" s="219" t="s">
        <v>217</v>
      </c>
      <c r="P700" s="256" t="str">
        <f>IFERROR(VLOOKUP(C700,TD!$B$33:$F$37,2,0)," ")</f>
        <v>O230117</v>
      </c>
      <c r="Q700" s="256" t="str">
        <f>IFERROR(VLOOKUP(C700,TD!$B$33:$F$37,3,0)," ")</f>
        <v>4599</v>
      </c>
      <c r="R700" s="256">
        <f>IFERROR(VLOOKUP(C700,TD!$B$33:$F$37,4,0)," ")</f>
        <v>20240207</v>
      </c>
      <c r="S700" s="253" t="s">
        <v>179</v>
      </c>
      <c r="T700" s="221" t="str">
        <f>IFERROR(VLOOKUP(S700,TD!$J$34:$K$44,2,0)," ")</f>
        <v>Infraestructura Tecnológica   (Sistemas de Información y Tecnologia)</v>
      </c>
      <c r="U700" s="251" t="str">
        <f t="shared" si="42"/>
        <v>11-Infraestructura Tecnológica   (Sistemas de Información y Tecnologia)</v>
      </c>
      <c r="V700" s="219" t="s">
        <v>239</v>
      </c>
      <c r="W700" s="221" t="str">
        <f>IFERROR(VLOOKUP(V700,TD!$N$34:$O$46,2,0)," ")</f>
        <v>Servicios tecnológicos</v>
      </c>
      <c r="X700" s="251" t="str">
        <f t="shared" si="43"/>
        <v>007_Servicios tecnológicos</v>
      </c>
      <c r="Y700" s="251" t="str">
        <f t="shared" si="44"/>
        <v>11-Infraestructura Tecnológica   (Sistemas de Información y Tecnologia) 007_Servicios tecnológicos</v>
      </c>
      <c r="Z700" s="256" t="str">
        <f t="shared" si="45"/>
        <v>O23011745992024020711007</v>
      </c>
      <c r="AA700" s="256" t="str">
        <f>IFERROR(VLOOKUP(Y700,TD!$K$47:$L$65,2,0)," ")</f>
        <v>PM/0131/0111/45990070207</v>
      </c>
      <c r="AB700" s="135" t="s">
        <v>125</v>
      </c>
      <c r="AC700" s="257" t="s">
        <v>205</v>
      </c>
    </row>
    <row r="701" spans="2:29" ht="99" customHeight="1" x14ac:dyDescent="0.35">
      <c r="B701" s="136">
        <v>20250725</v>
      </c>
      <c r="C701" s="137" t="s">
        <v>208</v>
      </c>
      <c r="D701" s="254" t="s">
        <v>162</v>
      </c>
      <c r="E701" s="253" t="s">
        <v>355</v>
      </c>
      <c r="F701" s="254" t="s">
        <v>959</v>
      </c>
      <c r="G701" s="254" t="s">
        <v>137</v>
      </c>
      <c r="H701" s="138">
        <v>80111600</v>
      </c>
      <c r="I701" s="255">
        <v>6</v>
      </c>
      <c r="J701" s="255">
        <v>6</v>
      </c>
      <c r="K701" s="139">
        <v>0</v>
      </c>
      <c r="L701" s="135">
        <v>213333</v>
      </c>
      <c r="M701" s="254" t="s">
        <v>173</v>
      </c>
      <c r="N701" s="135" t="s">
        <v>128</v>
      </c>
      <c r="O701" s="219" t="s">
        <v>217</v>
      </c>
      <c r="P701" s="256" t="str">
        <f>IFERROR(VLOOKUP(C701,TD!$B$33:$F$37,2,0)," ")</f>
        <v>O230117</v>
      </c>
      <c r="Q701" s="256" t="str">
        <f>IFERROR(VLOOKUP(C701,TD!$B$33:$F$37,3,0)," ")</f>
        <v>4599</v>
      </c>
      <c r="R701" s="256">
        <f>IFERROR(VLOOKUP(C701,TD!$B$33:$F$37,4,0)," ")</f>
        <v>20240207</v>
      </c>
      <c r="S701" s="253" t="s">
        <v>179</v>
      </c>
      <c r="T701" s="221" t="str">
        <f>IFERROR(VLOOKUP(S701,TD!$J$34:$K$44,2,0)," ")</f>
        <v>Infraestructura Tecnológica   (Sistemas de Información y Tecnologia)</v>
      </c>
      <c r="U701" s="251" t="str">
        <f t="shared" si="42"/>
        <v>11-Infraestructura Tecnológica   (Sistemas de Información y Tecnologia)</v>
      </c>
      <c r="V701" s="219" t="s">
        <v>239</v>
      </c>
      <c r="W701" s="221" t="str">
        <f>IFERROR(VLOOKUP(V701,TD!$N$34:$O$46,2,0)," ")</f>
        <v>Servicios tecnológicos</v>
      </c>
      <c r="X701" s="251" t="str">
        <f t="shared" si="43"/>
        <v>007_Servicios tecnológicos</v>
      </c>
      <c r="Y701" s="251" t="str">
        <f t="shared" si="44"/>
        <v>11-Infraestructura Tecnológica   (Sistemas de Información y Tecnologia) 007_Servicios tecnológicos</v>
      </c>
      <c r="Z701" s="256" t="str">
        <f t="shared" si="45"/>
        <v>O23011745992024020711007</v>
      </c>
      <c r="AA701" s="256" t="str">
        <f>IFERROR(VLOOKUP(Y701,TD!$K$47:$L$65,2,0)," ")</f>
        <v>PM/0131/0111/45990070207</v>
      </c>
      <c r="AB701" s="135" t="s">
        <v>125</v>
      </c>
      <c r="AC701" s="257" t="s">
        <v>205</v>
      </c>
    </row>
    <row r="702" spans="2:29" ht="99" customHeight="1" x14ac:dyDescent="0.35">
      <c r="B702" s="136">
        <v>20250726</v>
      </c>
      <c r="C702" s="137" t="s">
        <v>208</v>
      </c>
      <c r="D702" s="254" t="s">
        <v>164</v>
      </c>
      <c r="E702" s="253" t="s">
        <v>389</v>
      </c>
      <c r="F702" s="254" t="s">
        <v>963</v>
      </c>
      <c r="G702" s="254" t="s">
        <v>155</v>
      </c>
      <c r="H702" s="138">
        <v>80111600</v>
      </c>
      <c r="I702" s="255">
        <v>6</v>
      </c>
      <c r="J702" s="255">
        <v>1</v>
      </c>
      <c r="K702" s="139">
        <v>0</v>
      </c>
      <c r="L702" s="135">
        <v>7500000</v>
      </c>
      <c r="M702" s="254" t="s">
        <v>465</v>
      </c>
      <c r="N702" s="135" t="s">
        <v>113</v>
      </c>
      <c r="O702" s="219" t="s">
        <v>219</v>
      </c>
      <c r="P702" s="256" t="str">
        <f>IFERROR(VLOOKUP(C702,TD!$B$33:$F$37,2,0)," ")</f>
        <v>O230117</v>
      </c>
      <c r="Q702" s="256" t="str">
        <f>IFERROR(VLOOKUP(C702,TD!$B$33:$F$37,3,0)," ")</f>
        <v>4599</v>
      </c>
      <c r="R702" s="256">
        <f>IFERROR(VLOOKUP(C702,TD!$B$33:$F$37,4,0)," ")</f>
        <v>20240207</v>
      </c>
      <c r="S702" s="253" t="s">
        <v>185</v>
      </c>
      <c r="T702" s="221" t="str">
        <f>IFERROR(VLOOKUP(S702,TD!$J$34:$K$44,2,0)," ")</f>
        <v>Infraestructura física, mantenimiento y dotación (Sedes construidas, mantenidas reforzadas)</v>
      </c>
      <c r="U702" s="251" t="str">
        <f t="shared" si="42"/>
        <v>08-Infraestructura física, mantenimiento y dotación (Sedes construidas, mantenidas reforzadas)</v>
      </c>
      <c r="V702" s="219" t="s">
        <v>238</v>
      </c>
      <c r="W702" s="221" t="str">
        <f>IFERROR(VLOOKUP(V702,TD!$N$34:$O$46,2,0)," ")</f>
        <v>Sedes mantenidas</v>
      </c>
      <c r="X702" s="251" t="str">
        <f t="shared" si="43"/>
        <v>016_Sedes mantenidas</v>
      </c>
      <c r="Y702" s="251" t="str">
        <f t="shared" si="44"/>
        <v>08-Infraestructura física, mantenimiento y dotación (Sedes construidas, mantenidas reforzadas) 016_Sedes mantenidas</v>
      </c>
      <c r="Z702" s="256" t="str">
        <f t="shared" si="45"/>
        <v>O23011745992024020708016</v>
      </c>
      <c r="AA702" s="256" t="str">
        <f>IFERROR(VLOOKUP(Y702,TD!$K$47:$L$65,2,0)," ")</f>
        <v>PM/0131/0108/45990160207</v>
      </c>
      <c r="AB702" s="135" t="s">
        <v>120</v>
      </c>
      <c r="AC702" s="257" t="s">
        <v>205</v>
      </c>
    </row>
    <row r="703" spans="2:29" ht="99" customHeight="1" x14ac:dyDescent="0.35">
      <c r="B703" s="136">
        <v>20250727</v>
      </c>
      <c r="C703" s="137" t="s">
        <v>208</v>
      </c>
      <c r="D703" s="254" t="s">
        <v>164</v>
      </c>
      <c r="E703" s="253" t="s">
        <v>389</v>
      </c>
      <c r="F703" s="254" t="s">
        <v>964</v>
      </c>
      <c r="G703" s="254" t="s">
        <v>155</v>
      </c>
      <c r="H703" s="138">
        <v>80111600</v>
      </c>
      <c r="I703" s="255">
        <v>2</v>
      </c>
      <c r="J703" s="255">
        <v>11</v>
      </c>
      <c r="K703" s="139">
        <v>0</v>
      </c>
      <c r="L703" s="135">
        <v>15000000</v>
      </c>
      <c r="M703" s="254" t="s">
        <v>465</v>
      </c>
      <c r="N703" s="135" t="s">
        <v>113</v>
      </c>
      <c r="O703" s="219" t="s">
        <v>219</v>
      </c>
      <c r="P703" s="256" t="str">
        <f>IFERROR(VLOOKUP(C703,TD!$B$33:$F$37,2,0)," ")</f>
        <v>O230117</v>
      </c>
      <c r="Q703" s="256" t="str">
        <f>IFERROR(VLOOKUP(C703,TD!$B$33:$F$37,3,0)," ")</f>
        <v>4599</v>
      </c>
      <c r="R703" s="256">
        <f>IFERROR(VLOOKUP(C703,TD!$B$33:$F$37,4,0)," ")</f>
        <v>20240207</v>
      </c>
      <c r="S703" s="253" t="s">
        <v>185</v>
      </c>
      <c r="T703" s="221" t="str">
        <f>IFERROR(VLOOKUP(S703,TD!$J$34:$K$44,2,0)," ")</f>
        <v>Infraestructura física, mantenimiento y dotación (Sedes construidas, mantenidas reforzadas)</v>
      </c>
      <c r="U703" s="251" t="str">
        <f t="shared" si="42"/>
        <v>08-Infraestructura física, mantenimiento y dotación (Sedes construidas, mantenidas reforzadas)</v>
      </c>
      <c r="V703" s="219" t="s">
        <v>238</v>
      </c>
      <c r="W703" s="221" t="str">
        <f>IFERROR(VLOOKUP(V703,TD!$N$34:$O$46,2,0)," ")</f>
        <v>Sedes mantenidas</v>
      </c>
      <c r="X703" s="251" t="str">
        <f t="shared" si="43"/>
        <v>016_Sedes mantenidas</v>
      </c>
      <c r="Y703" s="251" t="str">
        <f t="shared" si="44"/>
        <v>08-Infraestructura física, mantenimiento y dotación (Sedes construidas, mantenidas reforzadas) 016_Sedes mantenidas</v>
      </c>
      <c r="Z703" s="256" t="str">
        <f t="shared" si="45"/>
        <v>O23011745992024020708016</v>
      </c>
      <c r="AA703" s="256" t="str">
        <f>IFERROR(VLOOKUP(Y703,TD!$K$47:$L$65,2,0)," ")</f>
        <v>PM/0131/0108/45990160207</v>
      </c>
      <c r="AB703" s="135" t="s">
        <v>120</v>
      </c>
      <c r="AC703" s="257" t="s">
        <v>205</v>
      </c>
    </row>
    <row r="704" spans="2:29" ht="122.15" customHeight="1" x14ac:dyDescent="0.35">
      <c r="B704" s="136">
        <v>20250728</v>
      </c>
      <c r="C704" s="137" t="s">
        <v>209</v>
      </c>
      <c r="D704" s="254" t="s">
        <v>169</v>
      </c>
      <c r="E704" s="253" t="s">
        <v>466</v>
      </c>
      <c r="F704" s="254" t="s">
        <v>906</v>
      </c>
      <c r="G704" s="254" t="s">
        <v>109</v>
      </c>
      <c r="H704" s="138" t="s">
        <v>968</v>
      </c>
      <c r="I704" s="255">
        <v>6</v>
      </c>
      <c r="J704" s="255">
        <v>6</v>
      </c>
      <c r="K704" s="139">
        <v>0</v>
      </c>
      <c r="L704" s="135">
        <v>5607172370</v>
      </c>
      <c r="M704" s="146" t="s">
        <v>465</v>
      </c>
      <c r="N704" s="135" t="s">
        <v>95</v>
      </c>
      <c r="O704" s="219" t="s">
        <v>222</v>
      </c>
      <c r="P704" s="256" t="str">
        <f>IFERROR(VLOOKUP(C704,TD!$B$33:$F$37,2,0)," ")</f>
        <v>O230117</v>
      </c>
      <c r="Q704" s="256" t="str">
        <f>IFERROR(VLOOKUP(C704,TD!$B$33:$F$37,3,0)," ")</f>
        <v>4503</v>
      </c>
      <c r="R704" s="256">
        <f>IFERROR(VLOOKUP(C704,TD!$B$33:$F$37,4,0)," ")</f>
        <v>20240255</v>
      </c>
      <c r="S704" s="253" t="s">
        <v>175</v>
      </c>
      <c r="T704" s="221" t="str">
        <f>IFERROR(VLOOKUP(S704,TD!$J$34:$K$44,2,0)," ")</f>
        <v>Servicio de atención a incidentes y emergencias.</v>
      </c>
      <c r="U704" s="251" t="str">
        <f t="shared" si="42"/>
        <v>04-Servicio de atención a incidentes y emergencias.</v>
      </c>
      <c r="V704" s="219" t="s">
        <v>232</v>
      </c>
      <c r="W704" s="221" t="str">
        <f>IFERROR(VLOOKUP(V704,TD!$N$34:$O$46,2,0)," ")</f>
        <v>Servicio de atención a emergencias y desastres</v>
      </c>
      <c r="X704" s="251" t="str">
        <f t="shared" si="43"/>
        <v>004_Servicio de atención a emergencias y desastres</v>
      </c>
      <c r="Y704" s="251" t="str">
        <f t="shared" si="44"/>
        <v>04-Servicio de atención a incidentes y emergencias. 004_Servicio de atención a emergencias y desastres</v>
      </c>
      <c r="Z704" s="256" t="str">
        <f t="shared" si="45"/>
        <v>O23011745032024025504004</v>
      </c>
      <c r="AA704" s="256" t="str">
        <f>IFERROR(VLOOKUP(Y704,TD!$K$47:$L$65,2,0)," ")</f>
        <v>PM/0131/0104/45030040255</v>
      </c>
      <c r="AB704" s="135" t="s">
        <v>97</v>
      </c>
      <c r="AC704" s="257" t="s">
        <v>204</v>
      </c>
    </row>
    <row r="705" spans="2:29" ht="99" customHeight="1" x14ac:dyDescent="0.35">
      <c r="B705" s="136">
        <v>20250729</v>
      </c>
      <c r="C705" s="137" t="s">
        <v>209</v>
      </c>
      <c r="D705" s="254" t="s">
        <v>168</v>
      </c>
      <c r="E705" s="253" t="s">
        <v>611</v>
      </c>
      <c r="F705" s="254" t="s">
        <v>970</v>
      </c>
      <c r="G705" s="254" t="s">
        <v>96</v>
      </c>
      <c r="H705" s="138">
        <v>72101509</v>
      </c>
      <c r="I705" s="255">
        <v>6</v>
      </c>
      <c r="J705" s="255">
        <v>2</v>
      </c>
      <c r="K705" s="139">
        <v>0</v>
      </c>
      <c r="L705" s="135">
        <v>30000000</v>
      </c>
      <c r="M705" s="146" t="s">
        <v>465</v>
      </c>
      <c r="N705" s="135" t="s">
        <v>113</v>
      </c>
      <c r="O705" s="219" t="s">
        <v>224</v>
      </c>
      <c r="P705" s="256" t="str">
        <f>IFERROR(VLOOKUP(C705,TD!$B$33:$F$37,2,0)," ")</f>
        <v>O230117</v>
      </c>
      <c r="Q705" s="256" t="str">
        <f>IFERROR(VLOOKUP(C705,TD!$B$33:$F$37,3,0)," ")</f>
        <v>4503</v>
      </c>
      <c r="R705" s="256">
        <f>IFERROR(VLOOKUP(C705,TD!$B$33:$F$37,4,0)," ")</f>
        <v>20240255</v>
      </c>
      <c r="S705" s="253" t="s">
        <v>187</v>
      </c>
      <c r="T705" s="221" t="str">
        <f>IFERROR(VLOOKUP(S705,TD!$J$34:$K$44,2,0)," ")</f>
        <v>Servicio de mantenimiento, dotación (HEA´s y equipo menor) y adquisición de vehiculos   especializados para la atención de emergencias.</v>
      </c>
      <c r="U705" s="251" t="str">
        <f t="shared" si="42"/>
        <v>09-Servicio de mantenimiento, dotación (HEA´s y equipo menor) y adquisición de vehiculos   especializados para la atención de emergencias.</v>
      </c>
      <c r="V705" s="219" t="s">
        <v>232</v>
      </c>
      <c r="W705" s="221" t="str">
        <f>IFERROR(VLOOKUP(V705,TD!$N$34:$O$46,2,0)," ")</f>
        <v>Servicio de atención a emergencias y desastres</v>
      </c>
      <c r="X705" s="251" t="str">
        <f t="shared" si="43"/>
        <v>004_Servicio de atención a emergencias y desastres</v>
      </c>
      <c r="Y705" s="251" t="str">
        <f t="shared" si="44"/>
        <v>09-Servicio de mantenimiento, dotación (HEA´s y equipo menor) y adquisición de vehiculos   especializados para la atención de emergencias. 004_Servicio de atención a emergencias y desastres</v>
      </c>
      <c r="Z705" s="256" t="str">
        <f t="shared" si="45"/>
        <v>O23011745032024025509004</v>
      </c>
      <c r="AA705" s="256" t="str">
        <f>IFERROR(VLOOKUP(Y705,TD!$K$47:$L$65,2,0)," ")</f>
        <v>PM/0131/0109/45030040255</v>
      </c>
      <c r="AB705" s="135" t="s">
        <v>87</v>
      </c>
      <c r="AC705" s="257" t="s">
        <v>205</v>
      </c>
    </row>
    <row r="706" spans="2:29" ht="99" customHeight="1" x14ac:dyDescent="0.35">
      <c r="B706" s="136">
        <v>20250730</v>
      </c>
      <c r="C706" s="137" t="s">
        <v>209</v>
      </c>
      <c r="D706" s="254" t="s">
        <v>168</v>
      </c>
      <c r="E706" s="253" t="s">
        <v>611</v>
      </c>
      <c r="F706" s="254" t="s">
        <v>971</v>
      </c>
      <c r="G706" s="254" t="s">
        <v>119</v>
      </c>
      <c r="H706" s="138" t="s">
        <v>387</v>
      </c>
      <c r="I706" s="255">
        <v>6</v>
      </c>
      <c r="J706" s="255">
        <v>12</v>
      </c>
      <c r="K706" s="139">
        <v>0</v>
      </c>
      <c r="L706" s="135">
        <v>60000000</v>
      </c>
      <c r="M706" s="146" t="s">
        <v>465</v>
      </c>
      <c r="N706" s="135" t="s">
        <v>95</v>
      </c>
      <c r="O706" s="219" t="s">
        <v>224</v>
      </c>
      <c r="P706" s="256" t="str">
        <f>IFERROR(VLOOKUP(C706,TD!$B$33:$F$37,2,0)," ")</f>
        <v>O230117</v>
      </c>
      <c r="Q706" s="256" t="str">
        <f>IFERROR(VLOOKUP(C706,TD!$B$33:$F$37,3,0)," ")</f>
        <v>4503</v>
      </c>
      <c r="R706" s="256">
        <f>IFERROR(VLOOKUP(C706,TD!$B$33:$F$37,4,0)," ")</f>
        <v>20240255</v>
      </c>
      <c r="S706" s="253" t="s">
        <v>191</v>
      </c>
      <c r="T706" s="221" t="str">
        <f>IFERROR(VLOOKUP(S706,TD!$J$34:$K$44,2,0)," ")</f>
        <v>Servicio de apoyo   logístico  en eventos operativos y/o emergencias.</v>
      </c>
      <c r="U706" s="251" t="str">
        <f t="shared" si="42"/>
        <v>12-Servicio de apoyo   logístico  en eventos operativos y/o emergencias.</v>
      </c>
      <c r="V706" s="219" t="s">
        <v>232</v>
      </c>
      <c r="W706" s="221" t="str">
        <f>IFERROR(VLOOKUP(V706,TD!$N$34:$O$46,2,0)," ")</f>
        <v>Servicio de atención a emergencias y desastres</v>
      </c>
      <c r="X706" s="251" t="str">
        <f t="shared" si="43"/>
        <v>004_Servicio de atención a emergencias y desastres</v>
      </c>
      <c r="Y706" s="251" t="str">
        <f t="shared" si="44"/>
        <v>12-Servicio de apoyo   logístico  en eventos operativos y/o emergencias. 004_Servicio de atención a emergencias y desastres</v>
      </c>
      <c r="Z706" s="256" t="str">
        <f t="shared" si="45"/>
        <v>O23011745032024025512004</v>
      </c>
      <c r="AA706" s="256" t="str">
        <f>IFERROR(VLOOKUP(Y706,TD!$K$47:$L$65,2,0)," ")</f>
        <v>PM/0131/0112/45030040255</v>
      </c>
      <c r="AB706" s="135" t="s">
        <v>110</v>
      </c>
      <c r="AC706" s="257" t="s">
        <v>205</v>
      </c>
    </row>
    <row r="707" spans="2:29" ht="99" customHeight="1" x14ac:dyDescent="0.35">
      <c r="B707" s="136">
        <v>20250731</v>
      </c>
      <c r="C707" s="137" t="s">
        <v>208</v>
      </c>
      <c r="D707" s="254" t="s">
        <v>166</v>
      </c>
      <c r="E707" s="253" t="s">
        <v>565</v>
      </c>
      <c r="F707" s="254" t="s">
        <v>566</v>
      </c>
      <c r="G707" s="254" t="s">
        <v>96</v>
      </c>
      <c r="H707" s="138" t="s">
        <v>567</v>
      </c>
      <c r="I707" s="255">
        <v>8</v>
      </c>
      <c r="J707" s="255">
        <v>4</v>
      </c>
      <c r="K707" s="139">
        <v>0</v>
      </c>
      <c r="L707" s="135">
        <v>223594153</v>
      </c>
      <c r="M707" s="146" t="s">
        <v>465</v>
      </c>
      <c r="N707" s="135" t="s">
        <v>123</v>
      </c>
      <c r="O707" s="219" t="s">
        <v>218</v>
      </c>
      <c r="P707" s="256" t="str">
        <f>IFERROR(VLOOKUP(C707,TD!$B$33:$F$37,2,0)," ")</f>
        <v>O230117</v>
      </c>
      <c r="Q707" s="256" t="str">
        <f>IFERROR(VLOOKUP(C707,TD!$B$33:$F$37,3,0)," ")</f>
        <v>4599</v>
      </c>
      <c r="R707" s="256">
        <f>IFERROR(VLOOKUP(C707,TD!$B$33:$F$37,4,0)," ")</f>
        <v>20240207</v>
      </c>
      <c r="S707" s="253" t="s">
        <v>185</v>
      </c>
      <c r="T707" s="221" t="str">
        <f>IFERROR(VLOOKUP(S707,TD!$J$34:$K$44,2,0)," ")</f>
        <v>Infraestructura física, mantenimiento y dotación (Sedes construidas, mantenidas reforzadas)</v>
      </c>
      <c r="U707" s="251" t="str">
        <f t="shared" si="42"/>
        <v>08-Infraestructura física, mantenimiento y dotación (Sedes construidas, mantenidas reforzadas)</v>
      </c>
      <c r="V707" s="219" t="s">
        <v>238</v>
      </c>
      <c r="W707" s="221" t="str">
        <f>IFERROR(VLOOKUP(V707,TD!$N$34:$O$46,2,0)," ")</f>
        <v>Sedes mantenidas</v>
      </c>
      <c r="X707" s="251" t="str">
        <f t="shared" si="43"/>
        <v>016_Sedes mantenidas</v>
      </c>
      <c r="Y707" s="251" t="str">
        <f t="shared" si="44"/>
        <v>08-Infraestructura física, mantenimiento y dotación (Sedes construidas, mantenidas reforzadas) 016_Sedes mantenidas</v>
      </c>
      <c r="Z707" s="256" t="str">
        <f t="shared" si="45"/>
        <v>O23011745992024020708016</v>
      </c>
      <c r="AA707" s="256" t="str">
        <f>IFERROR(VLOOKUP(Y707,TD!$K$47:$L$65,2,0)," ")</f>
        <v>PM/0131/0108/45990160207</v>
      </c>
      <c r="AB707" s="135" t="s">
        <v>143</v>
      </c>
      <c r="AC707" s="257" t="s">
        <v>204</v>
      </c>
    </row>
    <row r="708" spans="2:29" ht="99" customHeight="1" x14ac:dyDescent="0.35">
      <c r="B708" s="136">
        <v>20250732</v>
      </c>
      <c r="C708" s="137" t="s">
        <v>208</v>
      </c>
      <c r="D708" s="254" t="s">
        <v>166</v>
      </c>
      <c r="E708" s="253" t="s">
        <v>565</v>
      </c>
      <c r="F708" s="254" t="s">
        <v>1022</v>
      </c>
      <c r="G708" s="254" t="s">
        <v>146</v>
      </c>
      <c r="H708" s="138" t="s">
        <v>975</v>
      </c>
      <c r="I708" s="255">
        <v>7</v>
      </c>
      <c r="J708" s="255">
        <v>1</v>
      </c>
      <c r="K708" s="139">
        <v>17</v>
      </c>
      <c r="L708" s="135">
        <f>155000000+45000000</f>
        <v>200000000</v>
      </c>
      <c r="M708" s="146" t="s">
        <v>465</v>
      </c>
      <c r="N708" s="135" t="s">
        <v>85</v>
      </c>
      <c r="O708" s="219" t="s">
        <v>218</v>
      </c>
      <c r="P708" s="256" t="str">
        <f>IFERROR(VLOOKUP(C708,TD!$B$33:$F$37,2,0)," ")</f>
        <v>O230117</v>
      </c>
      <c r="Q708" s="256" t="str">
        <f>IFERROR(VLOOKUP(C708,TD!$B$33:$F$37,3,0)," ")</f>
        <v>4599</v>
      </c>
      <c r="R708" s="256">
        <f>IFERROR(VLOOKUP(C708,TD!$B$33:$F$37,4,0)," ")</f>
        <v>20240207</v>
      </c>
      <c r="S708" s="253" t="s">
        <v>185</v>
      </c>
      <c r="T708" s="221" t="str">
        <f>IFERROR(VLOOKUP(S708,TD!$J$34:$K$44,2,0)," ")</f>
        <v>Infraestructura física, mantenimiento y dotación (Sedes construidas, mantenidas reforzadas)</v>
      </c>
      <c r="U708" s="251" t="str">
        <f t="shared" si="42"/>
        <v>08-Infraestructura física, mantenimiento y dotación (Sedes construidas, mantenidas reforzadas)</v>
      </c>
      <c r="V708" s="219" t="s">
        <v>238</v>
      </c>
      <c r="W708" s="221" t="str">
        <f>IFERROR(VLOOKUP(V708,TD!$N$34:$O$46,2,0)," ")</f>
        <v>Sedes mantenidas</v>
      </c>
      <c r="X708" s="251" t="str">
        <f t="shared" si="43"/>
        <v>016_Sedes mantenidas</v>
      </c>
      <c r="Y708" s="251" t="str">
        <f t="shared" si="44"/>
        <v>08-Infraestructura física, mantenimiento y dotación (Sedes construidas, mantenidas reforzadas) 016_Sedes mantenidas</v>
      </c>
      <c r="Z708" s="256" t="str">
        <f t="shared" si="45"/>
        <v>O23011745992024020708016</v>
      </c>
      <c r="AA708" s="256" t="str">
        <f>IFERROR(VLOOKUP(Y708,TD!$K$47:$L$65,2,0)," ")</f>
        <v>PM/0131/0108/45990160207</v>
      </c>
      <c r="AB708" s="135" t="s">
        <v>102</v>
      </c>
      <c r="AC708" s="257" t="s">
        <v>204</v>
      </c>
    </row>
    <row r="709" spans="2:29" ht="99" customHeight="1" x14ac:dyDescent="0.35">
      <c r="B709" s="136">
        <v>20250733</v>
      </c>
      <c r="C709" s="137" t="s">
        <v>208</v>
      </c>
      <c r="D709" s="254" t="s">
        <v>166</v>
      </c>
      <c r="E709" s="253" t="s">
        <v>565</v>
      </c>
      <c r="F709" s="254" t="s">
        <v>1023</v>
      </c>
      <c r="G709" s="254" t="s">
        <v>140</v>
      </c>
      <c r="H709" s="138" t="s">
        <v>976</v>
      </c>
      <c r="I709" s="255">
        <v>7</v>
      </c>
      <c r="J709" s="255">
        <v>1</v>
      </c>
      <c r="K709" s="139">
        <v>17</v>
      </c>
      <c r="L709" s="135">
        <f>70000000-22920000</f>
        <v>47080000</v>
      </c>
      <c r="M709" s="146" t="s">
        <v>465</v>
      </c>
      <c r="N709" s="135" t="s">
        <v>108</v>
      </c>
      <c r="O709" s="219" t="s">
        <v>218</v>
      </c>
      <c r="P709" s="256" t="str">
        <f>IFERROR(VLOOKUP(C709,TD!$B$33:$F$37,2,0)," ")</f>
        <v>O230117</v>
      </c>
      <c r="Q709" s="256" t="str">
        <f>IFERROR(VLOOKUP(C709,TD!$B$33:$F$37,3,0)," ")</f>
        <v>4599</v>
      </c>
      <c r="R709" s="256">
        <f>IFERROR(VLOOKUP(C709,TD!$B$33:$F$37,4,0)," ")</f>
        <v>20240207</v>
      </c>
      <c r="S709" s="253" t="s">
        <v>185</v>
      </c>
      <c r="T709" s="221" t="str">
        <f>IFERROR(VLOOKUP(S709,TD!$J$34:$K$44,2,0)," ")</f>
        <v>Infraestructura física, mantenimiento y dotación (Sedes construidas, mantenidas reforzadas)</v>
      </c>
      <c r="U709" s="251" t="str">
        <f t="shared" si="42"/>
        <v>08-Infraestructura física, mantenimiento y dotación (Sedes construidas, mantenidas reforzadas)</v>
      </c>
      <c r="V709" s="219" t="s">
        <v>238</v>
      </c>
      <c r="W709" s="221" t="str">
        <f>IFERROR(VLOOKUP(V709,TD!$N$34:$O$46,2,0)," ")</f>
        <v>Sedes mantenidas</v>
      </c>
      <c r="X709" s="251" t="str">
        <f t="shared" si="43"/>
        <v>016_Sedes mantenidas</v>
      </c>
      <c r="Y709" s="251" t="str">
        <f t="shared" si="44"/>
        <v>08-Infraestructura física, mantenimiento y dotación (Sedes construidas, mantenidas reforzadas) 016_Sedes mantenidas</v>
      </c>
      <c r="Z709" s="256" t="str">
        <f t="shared" si="45"/>
        <v>O23011745992024020708016</v>
      </c>
      <c r="AA709" s="256" t="str">
        <f>IFERROR(VLOOKUP(Y709,TD!$K$47:$L$65,2,0)," ")</f>
        <v>PM/0131/0108/45990160207</v>
      </c>
      <c r="AB709" s="135" t="s">
        <v>102</v>
      </c>
      <c r="AC709" s="257" t="s">
        <v>204</v>
      </c>
    </row>
    <row r="710" spans="2:29" ht="99" customHeight="1" x14ac:dyDescent="0.35">
      <c r="B710" s="136">
        <v>20250734</v>
      </c>
      <c r="C710" s="137" t="s">
        <v>346</v>
      </c>
      <c r="D710" s="254" t="s">
        <v>166</v>
      </c>
      <c r="E710" s="253" t="s">
        <v>565</v>
      </c>
      <c r="F710" s="254" t="s">
        <v>566</v>
      </c>
      <c r="G710" s="254" t="s">
        <v>96</v>
      </c>
      <c r="H710" s="138" t="s">
        <v>567</v>
      </c>
      <c r="I710" s="255">
        <v>8</v>
      </c>
      <c r="J710" s="255">
        <v>4</v>
      </c>
      <c r="K710" s="139">
        <v>0</v>
      </c>
      <c r="L710" s="135">
        <v>116520528</v>
      </c>
      <c r="M710" s="146" t="s">
        <v>172</v>
      </c>
      <c r="N710" s="135" t="s">
        <v>123</v>
      </c>
      <c r="O710" s="219" t="s">
        <v>347</v>
      </c>
      <c r="P710" s="256" t="str">
        <f>IFERROR(VLOOKUP(C710,TD!$B$33:$F$37,2,0)," ")</f>
        <v>NA</v>
      </c>
      <c r="Q710" s="256" t="str">
        <f>IFERROR(VLOOKUP(C710,TD!$B$33:$F$37,3,0)," ")</f>
        <v>NA</v>
      </c>
      <c r="R710" s="256" t="str">
        <f>IFERROR(VLOOKUP(C710,TD!$B$33:$F$37,4,0)," ")</f>
        <v>NA</v>
      </c>
      <c r="S710" s="253" t="s">
        <v>406</v>
      </c>
      <c r="T710" s="221" t="str">
        <f>IFERROR(VLOOKUP(S710,TD!$J$34:$K$44,2,0)," ")</f>
        <v>N/A</v>
      </c>
      <c r="U710" s="251" t="str">
        <f t="shared" si="42"/>
        <v>N/A-N/A</v>
      </c>
      <c r="V710" s="219" t="s">
        <v>406</v>
      </c>
      <c r="W710" s="221" t="str">
        <f>IFERROR(VLOOKUP(V710,TD!$N$34:$O$46,2,0)," ")</f>
        <v>N/A</v>
      </c>
      <c r="X710" s="251" t="str">
        <f t="shared" si="43"/>
        <v>N/A_N/A</v>
      </c>
      <c r="Y710" s="251" t="str">
        <f t="shared" si="44"/>
        <v>N/A-N/A N/A_N/A</v>
      </c>
      <c r="Z710" s="256" t="str">
        <f t="shared" si="45"/>
        <v>NANANAN/AN/A</v>
      </c>
      <c r="AA710" s="256" t="str">
        <f>IFERROR(VLOOKUP(Y710,TD!$K$47:$L$65,2,0)," ")</f>
        <v>N/A</v>
      </c>
      <c r="AB710" s="53" t="s">
        <v>348</v>
      </c>
      <c r="AC710" s="257" t="s">
        <v>204</v>
      </c>
    </row>
    <row r="711" spans="2:29" ht="99" customHeight="1" x14ac:dyDescent="0.35">
      <c r="B711" s="136">
        <v>20250735</v>
      </c>
      <c r="C711" s="137" t="s">
        <v>346</v>
      </c>
      <c r="D711" s="254" t="s">
        <v>166</v>
      </c>
      <c r="E711" s="253" t="s">
        <v>565</v>
      </c>
      <c r="F711" s="254" t="s">
        <v>566</v>
      </c>
      <c r="G711" s="254" t="s">
        <v>96</v>
      </c>
      <c r="H711" s="138" t="s">
        <v>567</v>
      </c>
      <c r="I711" s="255">
        <v>8</v>
      </c>
      <c r="J711" s="255">
        <v>4</v>
      </c>
      <c r="K711" s="139">
        <v>0</v>
      </c>
      <c r="L711" s="135">
        <v>166486111</v>
      </c>
      <c r="M711" s="146" t="s">
        <v>172</v>
      </c>
      <c r="N711" s="135" t="s">
        <v>123</v>
      </c>
      <c r="O711" s="219" t="s">
        <v>347</v>
      </c>
      <c r="P711" s="256" t="str">
        <f>IFERROR(VLOOKUP(C711,TD!$B$33:$F$37,2,0)," ")</f>
        <v>NA</v>
      </c>
      <c r="Q711" s="256" t="str">
        <f>IFERROR(VLOOKUP(C711,TD!$B$33:$F$37,3,0)," ")</f>
        <v>NA</v>
      </c>
      <c r="R711" s="256" t="str">
        <f>IFERROR(VLOOKUP(C711,TD!$B$33:$F$37,4,0)," ")</f>
        <v>NA</v>
      </c>
      <c r="S711" s="253" t="s">
        <v>406</v>
      </c>
      <c r="T711" s="221" t="str">
        <f>IFERROR(VLOOKUP(S711,TD!$J$34:$K$44,2,0)," ")</f>
        <v>N/A</v>
      </c>
      <c r="U711" s="251" t="str">
        <f t="shared" si="42"/>
        <v>N/A-N/A</v>
      </c>
      <c r="V711" s="219" t="s">
        <v>406</v>
      </c>
      <c r="W711" s="221" t="str">
        <f>IFERROR(VLOOKUP(V711,TD!$N$34:$O$46,2,0)," ")</f>
        <v>N/A</v>
      </c>
      <c r="X711" s="251" t="str">
        <f t="shared" si="43"/>
        <v>N/A_N/A</v>
      </c>
      <c r="Y711" s="251" t="str">
        <f t="shared" si="44"/>
        <v>N/A-N/A N/A_N/A</v>
      </c>
      <c r="Z711" s="256" t="str">
        <f t="shared" si="45"/>
        <v>NANANAN/AN/A</v>
      </c>
      <c r="AA711" s="256" t="str">
        <f>IFERROR(VLOOKUP(Y711,TD!$K$47:$L$65,2,0)," ")</f>
        <v>N/A</v>
      </c>
      <c r="AB711" s="135" t="s">
        <v>348</v>
      </c>
      <c r="AC711" s="257" t="s">
        <v>204</v>
      </c>
    </row>
    <row r="712" spans="2:29" ht="99" customHeight="1" x14ac:dyDescent="0.35">
      <c r="B712" s="136">
        <v>20250736</v>
      </c>
      <c r="C712" s="137" t="s">
        <v>208</v>
      </c>
      <c r="D712" s="254" t="s">
        <v>166</v>
      </c>
      <c r="E712" s="253" t="s">
        <v>565</v>
      </c>
      <c r="F712" s="254" t="s">
        <v>982</v>
      </c>
      <c r="G712" s="254" t="s">
        <v>155</v>
      </c>
      <c r="H712" s="138" t="s">
        <v>617</v>
      </c>
      <c r="I712" s="255">
        <v>2</v>
      </c>
      <c r="J712" s="255">
        <v>6</v>
      </c>
      <c r="K712" s="139">
        <v>0</v>
      </c>
      <c r="L712" s="135">
        <v>42000000</v>
      </c>
      <c r="M712" s="146" t="s">
        <v>465</v>
      </c>
      <c r="N712" s="135" t="s">
        <v>113</v>
      </c>
      <c r="O712" s="219" t="s">
        <v>219</v>
      </c>
      <c r="P712" s="256" t="str">
        <f>IFERROR(VLOOKUP(C712,TD!$B$33:$F$37,2,0)," ")</f>
        <v>O230117</v>
      </c>
      <c r="Q712" s="256" t="str">
        <f>IFERROR(VLOOKUP(C712,TD!$B$33:$F$37,3,0)," ")</f>
        <v>4599</v>
      </c>
      <c r="R712" s="256">
        <f>IFERROR(VLOOKUP(C712,TD!$B$33:$F$37,4,0)," ")</f>
        <v>20240207</v>
      </c>
      <c r="S712" s="253" t="s">
        <v>185</v>
      </c>
      <c r="T712" s="221" t="str">
        <f>IFERROR(VLOOKUP(S712,TD!$J$34:$K$44,2,0)," ")</f>
        <v>Infraestructura física, mantenimiento y dotación (Sedes construidas, mantenidas reforzadas)</v>
      </c>
      <c r="U712" s="251" t="str">
        <f t="shared" si="42"/>
        <v>08-Infraestructura física, mantenimiento y dotación (Sedes construidas, mantenidas reforzadas)</v>
      </c>
      <c r="V712" s="253" t="s">
        <v>238</v>
      </c>
      <c r="W712" s="221" t="str">
        <f>IFERROR(VLOOKUP(V712,TD!$N$34:$O$46,2,0)," ")</f>
        <v>Sedes mantenidas</v>
      </c>
      <c r="X712" s="251" t="str">
        <f t="shared" si="43"/>
        <v>016_Sedes mantenidas</v>
      </c>
      <c r="Y712" s="251" t="str">
        <f t="shared" si="44"/>
        <v>08-Infraestructura física, mantenimiento y dotación (Sedes construidas, mantenidas reforzadas) 016_Sedes mantenidas</v>
      </c>
      <c r="Z712" s="256" t="str">
        <f t="shared" si="45"/>
        <v>O23011745992024020708016</v>
      </c>
      <c r="AA712" s="256" t="str">
        <f>IFERROR(VLOOKUP(Y712,TD!$K$47:$L$65,2,0)," ")</f>
        <v>PM/0131/0108/45990160207</v>
      </c>
      <c r="AB712" s="135" t="s">
        <v>138</v>
      </c>
      <c r="AC712" s="257" t="s">
        <v>204</v>
      </c>
    </row>
    <row r="713" spans="2:29" ht="99" customHeight="1" x14ac:dyDescent="0.35">
      <c r="B713" s="136">
        <v>20250737</v>
      </c>
      <c r="C713" s="137" t="s">
        <v>346</v>
      </c>
      <c r="D713" s="254" t="s">
        <v>166</v>
      </c>
      <c r="E713" s="253" t="s">
        <v>565</v>
      </c>
      <c r="F713" s="254" t="s">
        <v>983</v>
      </c>
      <c r="G713" s="254" t="s">
        <v>157</v>
      </c>
      <c r="H713" s="138" t="s">
        <v>739</v>
      </c>
      <c r="I713" s="255">
        <v>4</v>
      </c>
      <c r="J713" s="255">
        <v>8</v>
      </c>
      <c r="K713" s="139">
        <v>0</v>
      </c>
      <c r="L713" s="135">
        <v>20500000</v>
      </c>
      <c r="M713" s="146" t="s">
        <v>172</v>
      </c>
      <c r="N713" s="135" t="s">
        <v>113</v>
      </c>
      <c r="O713" s="219" t="s">
        <v>347</v>
      </c>
      <c r="P713" s="256" t="str">
        <f>IFERROR(VLOOKUP(C713,TD!$B$33:$F$37,2,0)," ")</f>
        <v>NA</v>
      </c>
      <c r="Q713" s="256" t="str">
        <f>IFERROR(VLOOKUP(C713,TD!$B$33:$F$37,3,0)," ")</f>
        <v>NA</v>
      </c>
      <c r="R713" s="256" t="str">
        <f>IFERROR(VLOOKUP(C713,TD!$B$33:$F$37,4,0)," ")</f>
        <v>NA</v>
      </c>
      <c r="S713" s="253" t="s">
        <v>406</v>
      </c>
      <c r="T713" s="221" t="str">
        <f>IFERROR(VLOOKUP(S713,TD!$J$34:$K$44,2,0)," ")</f>
        <v>N/A</v>
      </c>
      <c r="U713" s="251" t="str">
        <f t="shared" si="42"/>
        <v>N/A-N/A</v>
      </c>
      <c r="V713" s="253" t="s">
        <v>406</v>
      </c>
      <c r="W713" s="221" t="str">
        <f>IFERROR(VLOOKUP(V713,TD!$N$34:$O$46,2,0)," ")</f>
        <v>N/A</v>
      </c>
      <c r="X713" s="251" t="str">
        <f t="shared" si="43"/>
        <v>N/A_N/A</v>
      </c>
      <c r="Y713" s="251" t="str">
        <f t="shared" si="44"/>
        <v>N/A-N/A N/A_N/A</v>
      </c>
      <c r="Z713" s="256" t="str">
        <f t="shared" si="45"/>
        <v>NANANAN/AN/A</v>
      </c>
      <c r="AA713" s="256" t="str">
        <f>IFERROR(VLOOKUP(Y713,TD!$K$47:$L$65,2,0)," ")</f>
        <v>N/A</v>
      </c>
      <c r="AB713" s="135" t="s">
        <v>348</v>
      </c>
      <c r="AC713" s="257" t="s">
        <v>204</v>
      </c>
    </row>
    <row r="714" spans="2:29" ht="99" customHeight="1" x14ac:dyDescent="0.35">
      <c r="B714" s="136">
        <v>20250738</v>
      </c>
      <c r="C714" s="137" t="s">
        <v>346</v>
      </c>
      <c r="D714" s="254" t="s">
        <v>166</v>
      </c>
      <c r="E714" s="253" t="s">
        <v>565</v>
      </c>
      <c r="F714" s="254" t="s">
        <v>644</v>
      </c>
      <c r="G714" s="254" t="s">
        <v>157</v>
      </c>
      <c r="H714" s="138" t="s">
        <v>739</v>
      </c>
      <c r="I714" s="255">
        <v>3</v>
      </c>
      <c r="J714" s="255">
        <v>8</v>
      </c>
      <c r="K714" s="139">
        <v>0</v>
      </c>
      <c r="L714" s="135">
        <v>8714800</v>
      </c>
      <c r="M714" s="146" t="s">
        <v>172</v>
      </c>
      <c r="N714" s="135" t="s">
        <v>113</v>
      </c>
      <c r="O714" s="219" t="s">
        <v>347</v>
      </c>
      <c r="P714" s="256" t="str">
        <f>IFERROR(VLOOKUP(C714,TD!$B$33:$F$37,2,0)," ")</f>
        <v>NA</v>
      </c>
      <c r="Q714" s="256" t="str">
        <f>IFERROR(VLOOKUP(C714,TD!$B$33:$F$37,3,0)," ")</f>
        <v>NA</v>
      </c>
      <c r="R714" s="256" t="str">
        <f>IFERROR(VLOOKUP(C714,TD!$B$33:$F$37,4,0)," ")</f>
        <v>NA</v>
      </c>
      <c r="S714" s="253" t="s">
        <v>406</v>
      </c>
      <c r="T714" s="221" t="str">
        <f>IFERROR(VLOOKUP(S714,TD!$J$34:$K$44,2,0)," ")</f>
        <v>N/A</v>
      </c>
      <c r="U714" s="251" t="str">
        <f t="shared" si="42"/>
        <v>N/A-N/A</v>
      </c>
      <c r="V714" s="253" t="s">
        <v>406</v>
      </c>
      <c r="W714" s="221" t="str">
        <f>IFERROR(VLOOKUP(V714,TD!$N$34:$O$46,2,0)," ")</f>
        <v>N/A</v>
      </c>
      <c r="X714" s="251" t="str">
        <f t="shared" si="43"/>
        <v>N/A_N/A</v>
      </c>
      <c r="Y714" s="251" t="str">
        <f t="shared" si="44"/>
        <v>N/A-N/A N/A_N/A</v>
      </c>
      <c r="Z714" s="256" t="str">
        <f t="shared" si="45"/>
        <v>NANANAN/AN/A</v>
      </c>
      <c r="AA714" s="256" t="str">
        <f>IFERROR(VLOOKUP(Y714,TD!$K$47:$L$65,2,0)," ")</f>
        <v>N/A</v>
      </c>
      <c r="AB714" s="135" t="s">
        <v>348</v>
      </c>
      <c r="AC714" s="257" t="s">
        <v>204</v>
      </c>
    </row>
    <row r="715" spans="2:29" ht="99" customHeight="1" x14ac:dyDescent="0.35">
      <c r="B715" s="136">
        <v>20250739</v>
      </c>
      <c r="C715" s="137" t="s">
        <v>346</v>
      </c>
      <c r="D715" s="254" t="s">
        <v>166</v>
      </c>
      <c r="E715" s="253" t="s">
        <v>565</v>
      </c>
      <c r="F715" s="254" t="s">
        <v>984</v>
      </c>
      <c r="G715" s="254" t="s">
        <v>137</v>
      </c>
      <c r="H715" s="138" t="s">
        <v>406</v>
      </c>
      <c r="I715" s="255" t="s">
        <v>406</v>
      </c>
      <c r="J715" s="255" t="s">
        <v>406</v>
      </c>
      <c r="K715" s="139" t="s">
        <v>406</v>
      </c>
      <c r="L715" s="135">
        <v>737336</v>
      </c>
      <c r="M715" s="146" t="s">
        <v>173</v>
      </c>
      <c r="N715" s="135" t="s">
        <v>128</v>
      </c>
      <c r="O715" s="219" t="s">
        <v>347</v>
      </c>
      <c r="P715" s="256" t="str">
        <f>IFERROR(VLOOKUP(C715,TD!$B$33:$F$37,2,0)," ")</f>
        <v>NA</v>
      </c>
      <c r="Q715" s="256" t="str">
        <f>IFERROR(VLOOKUP(C715,TD!$B$33:$F$37,3,0)," ")</f>
        <v>NA</v>
      </c>
      <c r="R715" s="256" t="str">
        <f>IFERROR(VLOOKUP(C715,TD!$B$33:$F$37,4,0)," ")</f>
        <v>NA</v>
      </c>
      <c r="S715" s="253" t="s">
        <v>406</v>
      </c>
      <c r="T715" s="221" t="str">
        <f>IFERROR(VLOOKUP(S715,TD!$J$34:$K$44,2,0)," ")</f>
        <v>N/A</v>
      </c>
      <c r="U715" s="251" t="str">
        <f t="shared" si="42"/>
        <v>N/A-N/A</v>
      </c>
      <c r="V715" s="253" t="s">
        <v>406</v>
      </c>
      <c r="W715" s="221" t="str">
        <f>IFERROR(VLOOKUP(V715,TD!$N$34:$O$46,2,0)," ")</f>
        <v>N/A</v>
      </c>
      <c r="X715" s="251" t="str">
        <f t="shared" si="43"/>
        <v>N/A_N/A</v>
      </c>
      <c r="Y715" s="251" t="str">
        <f t="shared" si="44"/>
        <v>N/A-N/A N/A_N/A</v>
      </c>
      <c r="Z715" s="256" t="str">
        <f t="shared" si="45"/>
        <v>NANANAN/AN/A</v>
      </c>
      <c r="AA715" s="256" t="str">
        <f>IFERROR(VLOOKUP(Y715,TD!$K$47:$L$65,2,0)," ")</f>
        <v>N/A</v>
      </c>
      <c r="AB715" s="135" t="s">
        <v>348</v>
      </c>
      <c r="AC715" s="257" t="s">
        <v>205</v>
      </c>
    </row>
    <row r="716" spans="2:29" ht="99" customHeight="1" x14ac:dyDescent="0.35">
      <c r="B716" s="136">
        <v>20250740</v>
      </c>
      <c r="C716" s="137" t="s">
        <v>346</v>
      </c>
      <c r="D716" s="254" t="s">
        <v>166</v>
      </c>
      <c r="E716" s="253" t="s">
        <v>565</v>
      </c>
      <c r="F716" s="254" t="s">
        <v>985</v>
      </c>
      <c r="G716" s="254" t="s">
        <v>137</v>
      </c>
      <c r="H716" s="138" t="s">
        <v>406</v>
      </c>
      <c r="I716" s="255" t="s">
        <v>406</v>
      </c>
      <c r="J716" s="255" t="s">
        <v>406</v>
      </c>
      <c r="K716" s="139" t="s">
        <v>406</v>
      </c>
      <c r="L716" s="135">
        <v>1830230</v>
      </c>
      <c r="M716" s="146" t="s">
        <v>173</v>
      </c>
      <c r="N716" s="135" t="s">
        <v>128</v>
      </c>
      <c r="O716" s="219" t="s">
        <v>347</v>
      </c>
      <c r="P716" s="256" t="str">
        <f>IFERROR(VLOOKUP(C716,TD!$B$33:$F$37,2,0)," ")</f>
        <v>NA</v>
      </c>
      <c r="Q716" s="256" t="str">
        <f>IFERROR(VLOOKUP(C716,TD!$B$33:$F$37,3,0)," ")</f>
        <v>NA</v>
      </c>
      <c r="R716" s="256" t="str">
        <f>IFERROR(VLOOKUP(C716,TD!$B$33:$F$37,4,0)," ")</f>
        <v>NA</v>
      </c>
      <c r="S716" s="253" t="s">
        <v>406</v>
      </c>
      <c r="T716" s="221" t="str">
        <f>IFERROR(VLOOKUP(S716,TD!$J$34:$K$44,2,0)," ")</f>
        <v>N/A</v>
      </c>
      <c r="U716" s="251" t="str">
        <f t="shared" ref="U716:U779" si="46">CONCATENATE(S716,"-",T716)</f>
        <v>N/A-N/A</v>
      </c>
      <c r="V716" s="253" t="s">
        <v>406</v>
      </c>
      <c r="W716" s="221" t="str">
        <f>IFERROR(VLOOKUP(V716,TD!$N$34:$O$46,2,0)," ")</f>
        <v>N/A</v>
      </c>
      <c r="X716" s="251" t="str">
        <f t="shared" ref="X716:X779" si="47">CONCATENATE(V716,"_",W716)</f>
        <v>N/A_N/A</v>
      </c>
      <c r="Y716" s="251" t="str">
        <f t="shared" ref="Y716:Y779" si="48">CONCATENATE(U716," ",X716)</f>
        <v>N/A-N/A N/A_N/A</v>
      </c>
      <c r="Z716" s="256" t="str">
        <f t="shared" ref="Z716:Z779" si="49">CONCATENATE(P716,Q716,R716,S716,V716)</f>
        <v>NANANAN/AN/A</v>
      </c>
      <c r="AA716" s="256" t="str">
        <f>IFERROR(VLOOKUP(Y716,TD!$K$47:$L$65,2,0)," ")</f>
        <v>N/A</v>
      </c>
      <c r="AB716" s="135" t="s">
        <v>348</v>
      </c>
      <c r="AC716" s="257" t="s">
        <v>205</v>
      </c>
    </row>
    <row r="717" spans="2:29" ht="147.65" customHeight="1" x14ac:dyDescent="0.35">
      <c r="B717" s="77">
        <v>20250741</v>
      </c>
      <c r="C717" s="50" t="s">
        <v>346</v>
      </c>
      <c r="D717" s="218" t="s">
        <v>166</v>
      </c>
      <c r="E717" s="219" t="s">
        <v>565</v>
      </c>
      <c r="F717" s="218" t="s">
        <v>986</v>
      </c>
      <c r="G717" s="218" t="s">
        <v>137</v>
      </c>
      <c r="H717" s="93" t="s">
        <v>406</v>
      </c>
      <c r="I717" s="220" t="s">
        <v>406</v>
      </c>
      <c r="J717" s="220" t="s">
        <v>406</v>
      </c>
      <c r="K717" s="52" t="s">
        <v>406</v>
      </c>
      <c r="L717" s="53">
        <v>855310</v>
      </c>
      <c r="M717" s="146" t="s">
        <v>173</v>
      </c>
      <c r="N717" s="135" t="s">
        <v>128</v>
      </c>
      <c r="O717" s="219" t="s">
        <v>347</v>
      </c>
      <c r="P717" s="221" t="str">
        <f>IFERROR(VLOOKUP(C717,TD!$B$33:$F$37,2,0)," ")</f>
        <v>NA</v>
      </c>
      <c r="Q717" s="221" t="str">
        <f>IFERROR(VLOOKUP(C717,TD!$B$33:$F$37,3,0)," ")</f>
        <v>NA</v>
      </c>
      <c r="R717" s="221" t="str">
        <f>IFERROR(VLOOKUP(C717,TD!$B$33:$F$37,4,0)," ")</f>
        <v>NA</v>
      </c>
      <c r="S717" s="253" t="s">
        <v>406</v>
      </c>
      <c r="T717" s="221" t="str">
        <f>IFERROR(VLOOKUP(S717,TD!$J$34:$K$44,2,0)," ")</f>
        <v>N/A</v>
      </c>
      <c r="U717" s="222" t="str">
        <f t="shared" si="46"/>
        <v>N/A-N/A</v>
      </c>
      <c r="V717" s="253" t="s">
        <v>406</v>
      </c>
      <c r="W717" s="221" t="str">
        <f>IFERROR(VLOOKUP(V717,TD!$N$34:$O$46,2,0)," ")</f>
        <v>N/A</v>
      </c>
      <c r="X717" s="222" t="str">
        <f t="shared" si="47"/>
        <v>N/A_N/A</v>
      </c>
      <c r="Y717" s="222" t="str">
        <f t="shared" si="48"/>
        <v>N/A-N/A N/A_N/A</v>
      </c>
      <c r="Z717" s="221" t="str">
        <f t="shared" si="49"/>
        <v>NANANAN/AN/A</v>
      </c>
      <c r="AA717" s="221" t="str">
        <f>IFERROR(VLOOKUP(Y717,TD!$K$47:$L$65,2,0)," ")</f>
        <v>N/A</v>
      </c>
      <c r="AB717" s="53" t="s">
        <v>348</v>
      </c>
      <c r="AC717" s="223" t="s">
        <v>205</v>
      </c>
    </row>
    <row r="718" spans="2:29" ht="135.65" customHeight="1" x14ac:dyDescent="0.35">
      <c r="B718" s="181">
        <v>20250742</v>
      </c>
      <c r="C718" s="183" t="s">
        <v>209</v>
      </c>
      <c r="D718" s="258" t="s">
        <v>167</v>
      </c>
      <c r="E718" s="259" t="s">
        <v>509</v>
      </c>
      <c r="F718" s="258" t="s">
        <v>372</v>
      </c>
      <c r="G718" s="258" t="s">
        <v>156</v>
      </c>
      <c r="H718" s="184">
        <v>80111600</v>
      </c>
      <c r="I718" s="260">
        <v>6</v>
      </c>
      <c r="J718" s="260">
        <v>7</v>
      </c>
      <c r="K718" s="185">
        <v>0</v>
      </c>
      <c r="L718" s="186">
        <v>28000000</v>
      </c>
      <c r="M718" s="164" t="s">
        <v>465</v>
      </c>
      <c r="N718" s="163" t="s">
        <v>113</v>
      </c>
      <c r="O718" s="219" t="s">
        <v>225</v>
      </c>
      <c r="P718" s="261" t="str">
        <f>IFERROR(VLOOKUP(C718,TD!$B$33:$F$37,2,0)," ")</f>
        <v>O230117</v>
      </c>
      <c r="Q718" s="261" t="str">
        <f>IFERROR(VLOOKUP(C718,TD!$B$33:$F$37,3,0)," ")</f>
        <v>4503</v>
      </c>
      <c r="R718" s="261">
        <f>IFERROR(VLOOKUP(C718,TD!$B$33:$F$37,4,0)," ")</f>
        <v>20240255</v>
      </c>
      <c r="S718" s="253" t="s">
        <v>181</v>
      </c>
      <c r="T718" s="221" t="str">
        <f>IFERROR(VLOOKUP(S718,TD!$J$34:$K$44,2,0)," ")</f>
        <v>Servicio de inspecciones técnicas realizadas</v>
      </c>
      <c r="U718" s="222" t="str">
        <f t="shared" si="46"/>
        <v>06-Servicio de inspecciones técnicas realizadas</v>
      </c>
      <c r="V718" s="253" t="s">
        <v>234</v>
      </c>
      <c r="W718" s="221" t="str">
        <f>IFERROR(VLOOKUP(V718,TD!$N$34:$O$46,2,0)," ")</f>
        <v>Servicio prevención y control de incendios</v>
      </c>
      <c r="X718" s="222" t="str">
        <f t="shared" si="47"/>
        <v>035_Servicio prevención y control de incendios</v>
      </c>
      <c r="Y718" s="222" t="str">
        <f t="shared" si="48"/>
        <v>06-Servicio de inspecciones técnicas realizadas 035_Servicio prevención y control de incendios</v>
      </c>
      <c r="Z718" s="261" t="str">
        <f t="shared" si="49"/>
        <v>O23011745032024025506035</v>
      </c>
      <c r="AA718" s="261" t="str">
        <f>IFERROR(VLOOKUP(Y718,TD!$K$47:$L$65,2,0)," ")</f>
        <v>PM/0131/0106/45030350255</v>
      </c>
      <c r="AB718" s="53" t="s">
        <v>138</v>
      </c>
      <c r="AC718" s="262" t="s">
        <v>204</v>
      </c>
    </row>
    <row r="719" spans="2:29" ht="125.5" customHeight="1" x14ac:dyDescent="0.35">
      <c r="B719" s="181">
        <v>20250744</v>
      </c>
      <c r="C719" s="183" t="s">
        <v>209</v>
      </c>
      <c r="D719" s="258" t="s">
        <v>167</v>
      </c>
      <c r="E719" s="259" t="s">
        <v>509</v>
      </c>
      <c r="F719" s="258" t="s">
        <v>520</v>
      </c>
      <c r="G719" s="258" t="s">
        <v>155</v>
      </c>
      <c r="H719" s="184">
        <v>80111600</v>
      </c>
      <c r="I719" s="260">
        <v>7</v>
      </c>
      <c r="J719" s="260">
        <v>6</v>
      </c>
      <c r="K719" s="185">
        <v>0</v>
      </c>
      <c r="L719" s="186">
        <v>30000000</v>
      </c>
      <c r="M719" s="164" t="s">
        <v>465</v>
      </c>
      <c r="N719" s="163" t="s">
        <v>113</v>
      </c>
      <c r="O719" s="219" t="s">
        <v>225</v>
      </c>
      <c r="P719" s="261" t="str">
        <f>IFERROR(VLOOKUP(C719,TD!$B$33:$F$37,2,0)," ")</f>
        <v>O230117</v>
      </c>
      <c r="Q719" s="261" t="str">
        <f>IFERROR(VLOOKUP(C719,TD!$B$33:$F$37,3,0)," ")</f>
        <v>4503</v>
      </c>
      <c r="R719" s="261">
        <f>IFERROR(VLOOKUP(C719,TD!$B$33:$F$37,4,0)," ")</f>
        <v>20240255</v>
      </c>
      <c r="S719" s="253" t="s">
        <v>179</v>
      </c>
      <c r="T719" s="221" t="str">
        <f>IFERROR(VLOOKUP(S719,TD!$J$34:$K$44,2,0)," ")</f>
        <v>Infraestructura Tecnológica   (Sistemas de Información y Tecnologia)</v>
      </c>
      <c r="U719" s="222" t="str">
        <f t="shared" si="46"/>
        <v>11-Infraestructura Tecnológica   (Sistemas de Información y Tecnologia)</v>
      </c>
      <c r="V719" s="253" t="s">
        <v>235</v>
      </c>
      <c r="W719" s="221" t="str">
        <f>IFERROR(VLOOKUP(V719,TD!$N$34:$O$46,2,0)," ")</f>
        <v>"Servicio de monitoreo y seguimiento para la gestión del riesgo"</v>
      </c>
      <c r="X719" s="222" t="str">
        <f t="shared" si="47"/>
        <v>018_"Servicio de monitoreo y seguimiento para la gestión del riesgo"</v>
      </c>
      <c r="Y719" s="222" t="str">
        <f t="shared" si="48"/>
        <v>11-Infraestructura Tecnológica   (Sistemas de Información y Tecnologia) 018_"Servicio de monitoreo y seguimiento para la gestión del riesgo"</v>
      </c>
      <c r="Z719" s="261" t="str">
        <f t="shared" si="49"/>
        <v>O23011745032024025511018</v>
      </c>
      <c r="AA719" s="261" t="str">
        <f>IFERROR(VLOOKUP(Y719,TD!$K$47:$L$65,2,0)," ")</f>
        <v>PM/0131/0111/45030180255</v>
      </c>
      <c r="AB719" s="53" t="s">
        <v>138</v>
      </c>
      <c r="AC719" s="262" t="s">
        <v>204</v>
      </c>
    </row>
    <row r="720" spans="2:29" ht="125.5" customHeight="1" x14ac:dyDescent="0.35">
      <c r="B720" s="181">
        <v>20250745</v>
      </c>
      <c r="C720" s="183" t="s">
        <v>209</v>
      </c>
      <c r="D720" s="258" t="s">
        <v>167</v>
      </c>
      <c r="E720" s="259" t="s">
        <v>509</v>
      </c>
      <c r="F720" s="218" t="s">
        <v>514</v>
      </c>
      <c r="G720" s="258" t="s">
        <v>155</v>
      </c>
      <c r="H720" s="184">
        <v>80111600</v>
      </c>
      <c r="I720" s="260">
        <v>8</v>
      </c>
      <c r="J720" s="260">
        <v>5</v>
      </c>
      <c r="K720" s="185">
        <v>0</v>
      </c>
      <c r="L720" s="186">
        <v>30000000</v>
      </c>
      <c r="M720" s="188" t="s">
        <v>465</v>
      </c>
      <c r="N720" s="186" t="s">
        <v>113</v>
      </c>
      <c r="O720" s="219" t="s">
        <v>221</v>
      </c>
      <c r="P720" s="261" t="str">
        <f>IFERROR(VLOOKUP(C720,TD!$B$33:$F$37,2,0)," ")</f>
        <v>O230117</v>
      </c>
      <c r="Q720" s="261" t="str">
        <f>IFERROR(VLOOKUP(C720,TD!$B$33:$F$37,3,0)," ")</f>
        <v>4503</v>
      </c>
      <c r="R720" s="261">
        <f>IFERROR(VLOOKUP(C720,TD!$B$33:$F$37,4,0)," ")</f>
        <v>20240255</v>
      </c>
      <c r="S720" s="219" t="s">
        <v>177</v>
      </c>
      <c r="T720" s="221" t="str">
        <f>IFERROR(VLOOKUP(S720,TD!$J$34:$K$44,2,0)," ")</f>
        <v>Servicio de capacitaciones en gestión del riesgo de incendios  a la ciudadania.</v>
      </c>
      <c r="U720" s="222" t="str">
        <f t="shared" si="46"/>
        <v>05-Servicio de capacitaciones en gestión del riesgo de incendios  a la ciudadania.</v>
      </c>
      <c r="V720" s="253" t="s">
        <v>233</v>
      </c>
      <c r="W720" s="221" t="str">
        <f>IFERROR(VLOOKUP(V720,TD!$N$34:$O$46,2,0)," ")</f>
        <v>Servicio de educación informal</v>
      </c>
      <c r="X720" s="222" t="str">
        <f t="shared" si="47"/>
        <v>002_Servicio de educación informal</v>
      </c>
      <c r="Y720" s="222" t="str">
        <f t="shared" si="48"/>
        <v>05-Servicio de capacitaciones en gestión del riesgo de incendios  a la ciudadania. 002_Servicio de educación informal</v>
      </c>
      <c r="Z720" s="261" t="str">
        <f t="shared" si="49"/>
        <v>O23011745032024025505002</v>
      </c>
      <c r="AA720" s="261" t="str">
        <f>IFERROR(VLOOKUP(Y720,TD!$K$47:$L$65,2,0)," ")</f>
        <v>PM/0131/0105/45030020255</v>
      </c>
      <c r="AB720" s="53" t="s">
        <v>120</v>
      </c>
      <c r="AC720" s="259" t="s">
        <v>204</v>
      </c>
    </row>
    <row r="721" spans="2:29" ht="125.5" customHeight="1" x14ac:dyDescent="0.35">
      <c r="B721" s="50">
        <v>20250746</v>
      </c>
      <c r="C721" s="183" t="s">
        <v>209</v>
      </c>
      <c r="D721" s="258" t="s">
        <v>167</v>
      </c>
      <c r="E721" s="259" t="s">
        <v>509</v>
      </c>
      <c r="F721" s="258" t="s">
        <v>519</v>
      </c>
      <c r="G721" s="258" t="s">
        <v>155</v>
      </c>
      <c r="H721" s="184">
        <v>80111600</v>
      </c>
      <c r="I721" s="260">
        <v>6</v>
      </c>
      <c r="J721" s="260">
        <v>6</v>
      </c>
      <c r="K721" s="185">
        <v>0</v>
      </c>
      <c r="L721" s="186">
        <v>54000000</v>
      </c>
      <c r="M721" s="188" t="s">
        <v>465</v>
      </c>
      <c r="N721" s="186" t="s">
        <v>113</v>
      </c>
      <c r="O721" s="219" t="s">
        <v>225</v>
      </c>
      <c r="P721" s="261" t="str">
        <f>IFERROR(VLOOKUP(C721,TD!$B$33:$F$37,2,0)," ")</f>
        <v>O230117</v>
      </c>
      <c r="Q721" s="261" t="str">
        <f>IFERROR(VLOOKUP(C721,TD!$B$33:$F$37,3,0)," ")</f>
        <v>4503</v>
      </c>
      <c r="R721" s="261">
        <f>IFERROR(VLOOKUP(C721,TD!$B$33:$F$37,4,0)," ")</f>
        <v>20240255</v>
      </c>
      <c r="S721" s="219" t="s">
        <v>179</v>
      </c>
      <c r="T721" s="221" t="str">
        <f>IFERROR(VLOOKUP(S721,TD!$J$34:$K$44,2,0)," ")</f>
        <v>Infraestructura Tecnológica   (Sistemas de Información y Tecnologia)</v>
      </c>
      <c r="U721" s="222" t="str">
        <f t="shared" si="46"/>
        <v>11-Infraestructura Tecnológica   (Sistemas de Información y Tecnologia)</v>
      </c>
      <c r="V721" s="219" t="s">
        <v>235</v>
      </c>
      <c r="W721" s="221" t="str">
        <f>IFERROR(VLOOKUP(V721,TD!$N$34:$O$46,2,0)," ")</f>
        <v>"Servicio de monitoreo y seguimiento para la gestión del riesgo"</v>
      </c>
      <c r="X721" s="222" t="str">
        <f t="shared" si="47"/>
        <v>018_"Servicio de monitoreo y seguimiento para la gestión del riesgo"</v>
      </c>
      <c r="Y721" s="222" t="str">
        <f t="shared" si="48"/>
        <v>11-Infraestructura Tecnológica   (Sistemas de Información y Tecnologia) 018_"Servicio de monitoreo y seguimiento para la gestión del riesgo"</v>
      </c>
      <c r="Z721" s="261" t="str">
        <f t="shared" si="49"/>
        <v>O23011745032024025511018</v>
      </c>
      <c r="AA721" s="261" t="str">
        <f>IFERROR(VLOOKUP(Y721,TD!$K$47:$L$65,2,0)," ")</f>
        <v>PM/0131/0111/45030180255</v>
      </c>
      <c r="AB721" s="53" t="s">
        <v>138</v>
      </c>
      <c r="AC721" s="259" t="s">
        <v>204</v>
      </c>
    </row>
    <row r="722" spans="2:29" ht="125.5" customHeight="1" x14ac:dyDescent="0.35">
      <c r="B722" s="50">
        <v>20250747</v>
      </c>
      <c r="C722" s="183" t="s">
        <v>209</v>
      </c>
      <c r="D722" s="258" t="s">
        <v>167</v>
      </c>
      <c r="E722" s="259" t="s">
        <v>509</v>
      </c>
      <c r="F722" s="258" t="s">
        <v>523</v>
      </c>
      <c r="G722" s="258" t="s">
        <v>156</v>
      </c>
      <c r="H722" s="184">
        <v>80111600</v>
      </c>
      <c r="I722" s="260">
        <v>6</v>
      </c>
      <c r="J722" s="260">
        <v>6</v>
      </c>
      <c r="K722" s="185">
        <v>0</v>
      </c>
      <c r="L722" s="186">
        <v>22000000</v>
      </c>
      <c r="M722" s="188" t="s">
        <v>465</v>
      </c>
      <c r="N722" s="186" t="s">
        <v>113</v>
      </c>
      <c r="O722" s="219" t="s">
        <v>221</v>
      </c>
      <c r="P722" s="261" t="str">
        <f>IFERROR(VLOOKUP(C722,TD!$B$33:$F$37,2,0)," ")</f>
        <v>O230117</v>
      </c>
      <c r="Q722" s="261" t="str">
        <f>IFERROR(VLOOKUP(C722,TD!$B$33:$F$37,3,0)," ")</f>
        <v>4503</v>
      </c>
      <c r="R722" s="261">
        <f>IFERROR(VLOOKUP(C722,TD!$B$33:$F$37,4,0)," ")</f>
        <v>20240255</v>
      </c>
      <c r="S722" s="219" t="s">
        <v>177</v>
      </c>
      <c r="T722" s="221" t="str">
        <f>IFERROR(VLOOKUP(S722,TD!$J$34:$K$44,2,0)," ")</f>
        <v>Servicio de capacitaciones en gestión del riesgo de incendios  a la ciudadania.</v>
      </c>
      <c r="U722" s="222" t="str">
        <f t="shared" si="46"/>
        <v>05-Servicio de capacitaciones en gestión del riesgo de incendios  a la ciudadania.</v>
      </c>
      <c r="V722" s="219" t="s">
        <v>234</v>
      </c>
      <c r="W722" s="221" t="str">
        <f>IFERROR(VLOOKUP(V722,TD!$N$34:$O$46,2,0)," ")</f>
        <v>Servicio prevención y control de incendios</v>
      </c>
      <c r="X722" s="222" t="str">
        <f t="shared" si="47"/>
        <v>035_Servicio prevención y control de incendios</v>
      </c>
      <c r="Y722" s="222" t="str">
        <f t="shared" si="48"/>
        <v>05-Servicio de capacitaciones en gestión del riesgo de incendios  a la ciudadania. 035_Servicio prevención y control de incendios</v>
      </c>
      <c r="Z722" s="261" t="str">
        <f t="shared" si="49"/>
        <v>O23011745032024025505035</v>
      </c>
      <c r="AA722" s="261" t="str">
        <f>IFERROR(VLOOKUP(Y722,TD!$K$47:$L$65,2,0)," ")</f>
        <v>PM/0131/0105/45030350255</v>
      </c>
      <c r="AB722" s="53" t="s">
        <v>138</v>
      </c>
      <c r="AC722" s="259" t="s">
        <v>204</v>
      </c>
    </row>
    <row r="723" spans="2:29" ht="125.5" customHeight="1" x14ac:dyDescent="0.35">
      <c r="B723" s="132">
        <v>20250749</v>
      </c>
      <c r="C723" s="132" t="s">
        <v>208</v>
      </c>
      <c r="D723" s="224" t="s">
        <v>162</v>
      </c>
      <c r="E723" s="225" t="s">
        <v>355</v>
      </c>
      <c r="F723" s="224" t="s">
        <v>408</v>
      </c>
      <c r="G723" s="224" t="s">
        <v>155</v>
      </c>
      <c r="H723" s="133">
        <v>80111600</v>
      </c>
      <c r="I723" s="226">
        <v>2</v>
      </c>
      <c r="J723" s="226">
        <v>11</v>
      </c>
      <c r="K723" s="129">
        <v>0</v>
      </c>
      <c r="L723" s="128">
        <v>41720000</v>
      </c>
      <c r="M723" s="189" t="s">
        <v>465</v>
      </c>
      <c r="N723" s="128" t="s">
        <v>113</v>
      </c>
      <c r="O723" s="225" t="s">
        <v>214</v>
      </c>
      <c r="P723" s="227" t="str">
        <f>IFERROR(VLOOKUP(C723,TD!$B$33:$F$37,2,0)," ")</f>
        <v>O230117</v>
      </c>
      <c r="Q723" s="227" t="str">
        <f>IFERROR(VLOOKUP(C723,TD!$B$33:$F$37,3,0)," ")</f>
        <v>4599</v>
      </c>
      <c r="R723" s="227">
        <f>IFERROR(VLOOKUP(C723,TD!$B$33:$F$37,4,0)," ")</f>
        <v>20240207</v>
      </c>
      <c r="S723" s="225" t="s">
        <v>179</v>
      </c>
      <c r="T723" s="227" t="str">
        <f>IFERROR(VLOOKUP(S723,TD!$J$34:$K$44,2,0)," ")</f>
        <v>Infraestructura Tecnológica   (Sistemas de Información y Tecnologia)</v>
      </c>
      <c r="U723" s="222" t="str">
        <f t="shared" si="46"/>
        <v>11-Infraestructura Tecnológica   (Sistemas de Información y Tecnologia)</v>
      </c>
      <c r="V723" s="250" t="s">
        <v>239</v>
      </c>
      <c r="W723" s="227" t="str">
        <f>IFERROR(VLOOKUP(V723,TD!$N$34:$O$46,2,0)," ")</f>
        <v>Servicios tecnológicos</v>
      </c>
      <c r="X723" s="222" t="str">
        <f t="shared" si="47"/>
        <v>007_Servicios tecnológicos</v>
      </c>
      <c r="Y723" s="222" t="str">
        <f t="shared" si="48"/>
        <v>11-Infraestructura Tecnológica   (Sistemas de Información y Tecnologia) 007_Servicios tecnológicos</v>
      </c>
      <c r="Z723" s="227" t="str">
        <f t="shared" si="49"/>
        <v>O23011745992024020711007</v>
      </c>
      <c r="AA723" s="227" t="str">
        <f>IFERROR(VLOOKUP(Y723,TD!$K$47:$L$65,2,0)," ")</f>
        <v>PM/0131/0111/45990070207</v>
      </c>
      <c r="AB723" s="128" t="s">
        <v>138</v>
      </c>
      <c r="AC723" s="225" t="s">
        <v>204</v>
      </c>
    </row>
    <row r="724" spans="2:29" ht="125.5" customHeight="1" x14ac:dyDescent="0.35">
      <c r="B724" s="132">
        <v>20250750</v>
      </c>
      <c r="C724" s="132" t="s">
        <v>208</v>
      </c>
      <c r="D724" s="224" t="s">
        <v>162</v>
      </c>
      <c r="E724" s="225" t="s">
        <v>355</v>
      </c>
      <c r="F724" s="224" t="s">
        <v>804</v>
      </c>
      <c r="G724" s="224" t="s">
        <v>155</v>
      </c>
      <c r="H724" s="133">
        <v>80111600</v>
      </c>
      <c r="I724" s="226">
        <v>2</v>
      </c>
      <c r="J724" s="226">
        <v>11</v>
      </c>
      <c r="K724" s="129">
        <v>0</v>
      </c>
      <c r="L724" s="128">
        <v>51933333.333333336</v>
      </c>
      <c r="M724" s="189" t="s">
        <v>465</v>
      </c>
      <c r="N724" s="128" t="s">
        <v>113</v>
      </c>
      <c r="O724" s="225" t="s">
        <v>215</v>
      </c>
      <c r="P724" s="227" t="str">
        <f>IFERROR(VLOOKUP(C724,TD!$B$33:$F$37,2,0)," ")</f>
        <v>O230117</v>
      </c>
      <c r="Q724" s="227" t="str">
        <f>IFERROR(VLOOKUP(C724,TD!$B$33:$F$37,3,0)," ")</f>
        <v>4599</v>
      </c>
      <c r="R724" s="227">
        <f>IFERROR(VLOOKUP(C724,TD!$B$33:$F$37,4,0)," ")</f>
        <v>20240207</v>
      </c>
      <c r="S724" s="225" t="s">
        <v>179</v>
      </c>
      <c r="T724" s="227" t="str">
        <f>IFERROR(VLOOKUP(S724,TD!$J$34:$K$44,2,0)," ")</f>
        <v>Infraestructura Tecnológica   (Sistemas de Información y Tecnologia)</v>
      </c>
      <c r="U724" s="222" t="str">
        <f t="shared" si="46"/>
        <v>11-Infraestructura Tecnológica   (Sistemas de Información y Tecnologia)</v>
      </c>
      <c r="V724" s="225" t="s">
        <v>239</v>
      </c>
      <c r="W724" s="227" t="str">
        <f>IFERROR(VLOOKUP(V724,TD!$N$34:$O$46,2,0)," ")</f>
        <v>Servicios tecnológicos</v>
      </c>
      <c r="X724" s="222" t="str">
        <f t="shared" si="47"/>
        <v>007_Servicios tecnológicos</v>
      </c>
      <c r="Y724" s="222" t="str">
        <f t="shared" si="48"/>
        <v>11-Infraestructura Tecnológica   (Sistemas de Información y Tecnologia) 007_Servicios tecnológicos</v>
      </c>
      <c r="Z724" s="227" t="str">
        <f t="shared" si="49"/>
        <v>O23011745992024020711007</v>
      </c>
      <c r="AA724" s="227" t="str">
        <f>IFERROR(VLOOKUP(Y724,TD!$K$47:$L$65,2,0)," ")</f>
        <v>PM/0131/0111/45990070207</v>
      </c>
      <c r="AB724" s="128" t="s">
        <v>120</v>
      </c>
      <c r="AC724" s="225" t="s">
        <v>204</v>
      </c>
    </row>
    <row r="725" spans="2:29" ht="125.5" customHeight="1" x14ac:dyDescent="0.35">
      <c r="B725" s="132">
        <v>20250751</v>
      </c>
      <c r="C725" s="132" t="s">
        <v>208</v>
      </c>
      <c r="D725" s="224" t="s">
        <v>162</v>
      </c>
      <c r="E725" s="225" t="s">
        <v>355</v>
      </c>
      <c r="F725" s="224" t="s">
        <v>409</v>
      </c>
      <c r="G725" s="224" t="s">
        <v>155</v>
      </c>
      <c r="H725" s="133">
        <v>80111600</v>
      </c>
      <c r="I725" s="226">
        <v>2</v>
      </c>
      <c r="J725" s="226">
        <v>11</v>
      </c>
      <c r="K725" s="129">
        <v>0</v>
      </c>
      <c r="L725" s="128">
        <v>35052000</v>
      </c>
      <c r="M725" s="189" t="s">
        <v>465</v>
      </c>
      <c r="N725" s="128" t="s">
        <v>113</v>
      </c>
      <c r="O725" s="225" t="s">
        <v>215</v>
      </c>
      <c r="P725" s="227" t="str">
        <f>IFERROR(VLOOKUP(C725,TD!$B$33:$F$37,2,0)," ")</f>
        <v>O230117</v>
      </c>
      <c r="Q725" s="227" t="str">
        <f>IFERROR(VLOOKUP(C725,TD!$B$33:$F$37,3,0)," ")</f>
        <v>4599</v>
      </c>
      <c r="R725" s="227">
        <f>IFERROR(VLOOKUP(C725,TD!$B$33:$F$37,4,0)," ")</f>
        <v>20240207</v>
      </c>
      <c r="S725" s="225" t="s">
        <v>179</v>
      </c>
      <c r="T725" s="227" t="str">
        <f>IFERROR(VLOOKUP(S725,TD!$J$34:$K$44,2,0)," ")</f>
        <v>Infraestructura Tecnológica   (Sistemas de Información y Tecnologia)</v>
      </c>
      <c r="U725" s="222" t="str">
        <f t="shared" si="46"/>
        <v>11-Infraestructura Tecnológica   (Sistemas de Información y Tecnologia)</v>
      </c>
      <c r="V725" s="225" t="s">
        <v>239</v>
      </c>
      <c r="W725" s="227" t="str">
        <f>IFERROR(VLOOKUP(V725,TD!$N$34:$O$46,2,0)," ")</f>
        <v>Servicios tecnológicos</v>
      </c>
      <c r="X725" s="222" t="str">
        <f t="shared" si="47"/>
        <v>007_Servicios tecnológicos</v>
      </c>
      <c r="Y725" s="222" t="str">
        <f t="shared" si="48"/>
        <v>11-Infraestructura Tecnológica   (Sistemas de Información y Tecnologia) 007_Servicios tecnológicos</v>
      </c>
      <c r="Z725" s="227" t="str">
        <f t="shared" si="49"/>
        <v>O23011745992024020711007</v>
      </c>
      <c r="AA725" s="227" t="str">
        <f>IFERROR(VLOOKUP(Y725,TD!$K$47:$L$65,2,0)," ")</f>
        <v>PM/0131/0111/45990070207</v>
      </c>
      <c r="AB725" s="128" t="s">
        <v>138</v>
      </c>
      <c r="AC725" s="225" t="s">
        <v>204</v>
      </c>
    </row>
    <row r="726" spans="2:29" ht="125.5" customHeight="1" x14ac:dyDescent="0.35">
      <c r="B726" s="132">
        <v>20250752</v>
      </c>
      <c r="C726" s="132" t="s">
        <v>208</v>
      </c>
      <c r="D726" s="224" t="s">
        <v>162</v>
      </c>
      <c r="E726" s="225" t="s">
        <v>355</v>
      </c>
      <c r="F726" s="224" t="s">
        <v>783</v>
      </c>
      <c r="G726" s="224" t="s">
        <v>155</v>
      </c>
      <c r="H726" s="133">
        <v>80111600</v>
      </c>
      <c r="I726" s="226">
        <v>2</v>
      </c>
      <c r="J726" s="226">
        <v>11</v>
      </c>
      <c r="K726" s="129">
        <v>0</v>
      </c>
      <c r="L726" s="128">
        <v>41080000</v>
      </c>
      <c r="M726" s="189" t="s">
        <v>465</v>
      </c>
      <c r="N726" s="128" t="s">
        <v>113</v>
      </c>
      <c r="O726" s="225" t="s">
        <v>215</v>
      </c>
      <c r="P726" s="227" t="str">
        <f>IFERROR(VLOOKUP(C726,TD!$B$33:$F$37,2,0)," ")</f>
        <v>O230117</v>
      </c>
      <c r="Q726" s="227" t="str">
        <f>IFERROR(VLOOKUP(C726,TD!$B$33:$F$37,3,0)," ")</f>
        <v>4599</v>
      </c>
      <c r="R726" s="227">
        <f>IFERROR(VLOOKUP(C726,TD!$B$33:$F$37,4,0)," ")</f>
        <v>20240207</v>
      </c>
      <c r="S726" s="225" t="s">
        <v>179</v>
      </c>
      <c r="T726" s="227" t="str">
        <f>IFERROR(VLOOKUP(S726,TD!$J$34:$K$44,2,0)," ")</f>
        <v>Infraestructura Tecnológica   (Sistemas de Información y Tecnologia)</v>
      </c>
      <c r="U726" s="222" t="str">
        <f t="shared" si="46"/>
        <v>11-Infraestructura Tecnológica   (Sistemas de Información y Tecnologia)</v>
      </c>
      <c r="V726" s="225" t="s">
        <v>239</v>
      </c>
      <c r="W726" s="227" t="str">
        <f>IFERROR(VLOOKUP(V726,TD!$N$34:$O$46,2,0)," ")</f>
        <v>Servicios tecnológicos</v>
      </c>
      <c r="X726" s="222" t="str">
        <f t="shared" si="47"/>
        <v>007_Servicios tecnológicos</v>
      </c>
      <c r="Y726" s="222" t="str">
        <f t="shared" si="48"/>
        <v>11-Infraestructura Tecnológica   (Sistemas de Información y Tecnologia) 007_Servicios tecnológicos</v>
      </c>
      <c r="Z726" s="227" t="str">
        <f t="shared" si="49"/>
        <v>O23011745992024020711007</v>
      </c>
      <c r="AA726" s="227" t="str">
        <f>IFERROR(VLOOKUP(Y726,TD!$K$47:$L$65,2,0)," ")</f>
        <v>PM/0131/0111/45990070207</v>
      </c>
      <c r="AB726" s="128" t="s">
        <v>120</v>
      </c>
      <c r="AC726" s="225" t="s">
        <v>204</v>
      </c>
    </row>
    <row r="727" spans="2:29" ht="125.5" customHeight="1" x14ac:dyDescent="0.35">
      <c r="B727" s="132">
        <v>20250753</v>
      </c>
      <c r="C727" s="132" t="s">
        <v>208</v>
      </c>
      <c r="D727" s="224" t="s">
        <v>162</v>
      </c>
      <c r="E727" s="225" t="s">
        <v>355</v>
      </c>
      <c r="F727" s="224" t="s">
        <v>786</v>
      </c>
      <c r="G727" s="224" t="s">
        <v>155</v>
      </c>
      <c r="H727" s="133">
        <v>80111600</v>
      </c>
      <c r="I727" s="226">
        <v>2</v>
      </c>
      <c r="J727" s="226">
        <v>11</v>
      </c>
      <c r="K727" s="129">
        <v>0</v>
      </c>
      <c r="L727" s="128">
        <v>37498333.333333336</v>
      </c>
      <c r="M727" s="189" t="s">
        <v>465</v>
      </c>
      <c r="N727" s="128" t="s">
        <v>113</v>
      </c>
      <c r="O727" s="225" t="s">
        <v>214</v>
      </c>
      <c r="P727" s="227" t="str">
        <f>IFERROR(VLOOKUP(C727,TD!$B$33:$F$37,2,0)," ")</f>
        <v>O230117</v>
      </c>
      <c r="Q727" s="227" t="str">
        <f>IFERROR(VLOOKUP(C727,TD!$B$33:$F$37,3,0)," ")</f>
        <v>4599</v>
      </c>
      <c r="R727" s="227">
        <f>IFERROR(VLOOKUP(C727,TD!$B$33:$F$37,4,0)," ")</f>
        <v>20240207</v>
      </c>
      <c r="S727" s="225" t="s">
        <v>179</v>
      </c>
      <c r="T727" s="227" t="str">
        <f>IFERROR(VLOOKUP(S727,TD!$J$34:$K$44,2,0)," ")</f>
        <v>Infraestructura Tecnológica   (Sistemas de Información y Tecnologia)</v>
      </c>
      <c r="U727" s="222" t="str">
        <f t="shared" si="46"/>
        <v>11-Infraestructura Tecnológica   (Sistemas de Información y Tecnologia)</v>
      </c>
      <c r="V727" s="225" t="s">
        <v>239</v>
      </c>
      <c r="W727" s="227" t="str">
        <f>IFERROR(VLOOKUP(V727,TD!$N$34:$O$46,2,0)," ")</f>
        <v>Servicios tecnológicos</v>
      </c>
      <c r="X727" s="222" t="str">
        <f t="shared" si="47"/>
        <v>007_Servicios tecnológicos</v>
      </c>
      <c r="Y727" s="222" t="str">
        <f t="shared" si="48"/>
        <v>11-Infraestructura Tecnológica   (Sistemas de Información y Tecnologia) 007_Servicios tecnológicos</v>
      </c>
      <c r="Z727" s="227" t="str">
        <f t="shared" si="49"/>
        <v>O23011745992024020711007</v>
      </c>
      <c r="AA727" s="227" t="str">
        <f>IFERROR(VLOOKUP(Y727,TD!$K$47:$L$65,2,0)," ")</f>
        <v>PM/0131/0111/45990070207</v>
      </c>
      <c r="AB727" s="128" t="s">
        <v>138</v>
      </c>
      <c r="AC727" s="225" t="s">
        <v>204</v>
      </c>
    </row>
    <row r="728" spans="2:29" ht="125.5" customHeight="1" x14ac:dyDescent="0.35">
      <c r="B728" s="132">
        <v>20250754</v>
      </c>
      <c r="C728" s="132" t="s">
        <v>208</v>
      </c>
      <c r="D728" s="224" t="s">
        <v>162</v>
      </c>
      <c r="E728" s="225" t="s">
        <v>355</v>
      </c>
      <c r="F728" s="224" t="s">
        <v>805</v>
      </c>
      <c r="G728" s="224" t="s">
        <v>155</v>
      </c>
      <c r="H728" s="133">
        <v>80111600</v>
      </c>
      <c r="I728" s="226">
        <v>2</v>
      </c>
      <c r="J728" s="226">
        <v>11</v>
      </c>
      <c r="K728" s="129">
        <v>0</v>
      </c>
      <c r="L728" s="128">
        <v>43160000</v>
      </c>
      <c r="M728" s="189" t="s">
        <v>465</v>
      </c>
      <c r="N728" s="128" t="s">
        <v>113</v>
      </c>
      <c r="O728" s="225" t="s">
        <v>215</v>
      </c>
      <c r="P728" s="227" t="str">
        <f>IFERROR(VLOOKUP(C728,TD!$B$33:$F$37,2,0)," ")</f>
        <v>O230117</v>
      </c>
      <c r="Q728" s="227" t="str">
        <f>IFERROR(VLOOKUP(C728,TD!$B$33:$F$37,3,0)," ")</f>
        <v>4599</v>
      </c>
      <c r="R728" s="227">
        <f>IFERROR(VLOOKUP(C728,TD!$B$33:$F$37,4,0)," ")</f>
        <v>20240207</v>
      </c>
      <c r="S728" s="225" t="s">
        <v>179</v>
      </c>
      <c r="T728" s="227" t="str">
        <f>IFERROR(VLOOKUP(S728,TD!$J$34:$K$44,2,0)," ")</f>
        <v>Infraestructura Tecnológica   (Sistemas de Información y Tecnologia)</v>
      </c>
      <c r="U728" s="222" t="str">
        <f t="shared" si="46"/>
        <v>11-Infraestructura Tecnológica   (Sistemas de Información y Tecnologia)</v>
      </c>
      <c r="V728" s="225" t="s">
        <v>239</v>
      </c>
      <c r="W728" s="227" t="str">
        <f>IFERROR(VLOOKUP(V728,TD!$N$34:$O$46,2,0)," ")</f>
        <v>Servicios tecnológicos</v>
      </c>
      <c r="X728" s="222" t="str">
        <f t="shared" si="47"/>
        <v>007_Servicios tecnológicos</v>
      </c>
      <c r="Y728" s="222" t="str">
        <f t="shared" si="48"/>
        <v>11-Infraestructura Tecnológica   (Sistemas de Información y Tecnologia) 007_Servicios tecnológicos</v>
      </c>
      <c r="Z728" s="227" t="str">
        <f t="shared" si="49"/>
        <v>O23011745992024020711007</v>
      </c>
      <c r="AA728" s="227" t="str">
        <f>IFERROR(VLOOKUP(Y728,TD!$K$47:$L$65,2,0)," ")</f>
        <v>PM/0131/0111/45990070207</v>
      </c>
      <c r="AB728" s="128" t="s">
        <v>120</v>
      </c>
      <c r="AC728" s="225" t="s">
        <v>204</v>
      </c>
    </row>
    <row r="729" spans="2:29" ht="125.5" customHeight="1" x14ac:dyDescent="0.35">
      <c r="B729" s="132">
        <v>20250755</v>
      </c>
      <c r="C729" s="132" t="s">
        <v>208</v>
      </c>
      <c r="D729" s="224" t="s">
        <v>162</v>
      </c>
      <c r="E729" s="225" t="s">
        <v>355</v>
      </c>
      <c r="F729" s="224" t="s">
        <v>788</v>
      </c>
      <c r="G729" s="224" t="s">
        <v>155</v>
      </c>
      <c r="H729" s="133">
        <v>80111600</v>
      </c>
      <c r="I729" s="226">
        <v>2</v>
      </c>
      <c r="J729" s="226">
        <v>11</v>
      </c>
      <c r="K729" s="129">
        <v>0</v>
      </c>
      <c r="L729" s="128">
        <v>37001666.666666664</v>
      </c>
      <c r="M729" s="189" t="s">
        <v>465</v>
      </c>
      <c r="N729" s="128" t="s">
        <v>113</v>
      </c>
      <c r="O729" s="225" t="s">
        <v>215</v>
      </c>
      <c r="P729" s="227" t="str">
        <f>IFERROR(VLOOKUP(C729,TD!$B$33:$F$37,2,0)," ")</f>
        <v>O230117</v>
      </c>
      <c r="Q729" s="227" t="str">
        <f>IFERROR(VLOOKUP(C729,TD!$B$33:$F$37,3,0)," ")</f>
        <v>4599</v>
      </c>
      <c r="R729" s="227">
        <f>IFERROR(VLOOKUP(C729,TD!$B$33:$F$37,4,0)," ")</f>
        <v>20240207</v>
      </c>
      <c r="S729" s="225" t="s">
        <v>179</v>
      </c>
      <c r="T729" s="227" t="str">
        <f>IFERROR(VLOOKUP(S729,TD!$J$34:$K$44,2,0)," ")</f>
        <v>Infraestructura Tecnológica   (Sistemas de Información y Tecnologia)</v>
      </c>
      <c r="U729" s="222" t="str">
        <f t="shared" si="46"/>
        <v>11-Infraestructura Tecnológica   (Sistemas de Información y Tecnologia)</v>
      </c>
      <c r="V729" s="225" t="s">
        <v>239</v>
      </c>
      <c r="W729" s="227" t="str">
        <f>IFERROR(VLOOKUP(V729,TD!$N$34:$O$46,2,0)," ")</f>
        <v>Servicios tecnológicos</v>
      </c>
      <c r="X729" s="222" t="str">
        <f t="shared" si="47"/>
        <v>007_Servicios tecnológicos</v>
      </c>
      <c r="Y729" s="222" t="str">
        <f t="shared" si="48"/>
        <v>11-Infraestructura Tecnológica   (Sistemas de Información y Tecnologia) 007_Servicios tecnológicos</v>
      </c>
      <c r="Z729" s="227" t="str">
        <f t="shared" si="49"/>
        <v>O23011745992024020711007</v>
      </c>
      <c r="AA729" s="227" t="str">
        <f>IFERROR(VLOOKUP(Y729,TD!$K$47:$L$65,2,0)," ")</f>
        <v>PM/0131/0111/45990070207</v>
      </c>
      <c r="AB729" s="128" t="s">
        <v>138</v>
      </c>
      <c r="AC729" s="225" t="s">
        <v>204</v>
      </c>
    </row>
    <row r="730" spans="2:29" ht="125.5" customHeight="1" x14ac:dyDescent="0.35">
      <c r="B730" s="132">
        <v>20250756</v>
      </c>
      <c r="C730" s="132" t="s">
        <v>208</v>
      </c>
      <c r="D730" s="224" t="s">
        <v>162</v>
      </c>
      <c r="E730" s="225" t="s">
        <v>355</v>
      </c>
      <c r="F730" s="224" t="s">
        <v>819</v>
      </c>
      <c r="G730" s="224" t="s">
        <v>155</v>
      </c>
      <c r="H730" s="133">
        <v>80111600</v>
      </c>
      <c r="I730" s="226">
        <v>2</v>
      </c>
      <c r="J730" s="226">
        <v>5</v>
      </c>
      <c r="K730" s="129">
        <v>0</v>
      </c>
      <c r="L730" s="128">
        <v>28233333.333333332</v>
      </c>
      <c r="M730" s="189" t="s">
        <v>465</v>
      </c>
      <c r="N730" s="128" t="s">
        <v>113</v>
      </c>
      <c r="O730" s="225" t="s">
        <v>214</v>
      </c>
      <c r="P730" s="227" t="str">
        <f>IFERROR(VLOOKUP(C730,TD!$B$33:$F$37,2,0)," ")</f>
        <v>O230117</v>
      </c>
      <c r="Q730" s="227" t="str">
        <f>IFERROR(VLOOKUP(C730,TD!$B$33:$F$37,3,0)," ")</f>
        <v>4599</v>
      </c>
      <c r="R730" s="227">
        <f>IFERROR(VLOOKUP(C730,TD!$B$33:$F$37,4,0)," ")</f>
        <v>20240207</v>
      </c>
      <c r="S730" s="225" t="s">
        <v>179</v>
      </c>
      <c r="T730" s="227" t="str">
        <f>IFERROR(VLOOKUP(S730,TD!$J$34:$K$44,2,0)," ")</f>
        <v>Infraestructura Tecnológica   (Sistemas de Información y Tecnologia)</v>
      </c>
      <c r="U730" s="222" t="str">
        <f t="shared" si="46"/>
        <v>11-Infraestructura Tecnológica   (Sistemas de Información y Tecnologia)</v>
      </c>
      <c r="V730" s="225" t="s">
        <v>239</v>
      </c>
      <c r="W730" s="227" t="str">
        <f>IFERROR(VLOOKUP(V730,TD!$N$34:$O$46,2,0)," ")</f>
        <v>Servicios tecnológicos</v>
      </c>
      <c r="X730" s="222" t="str">
        <f t="shared" si="47"/>
        <v>007_Servicios tecnológicos</v>
      </c>
      <c r="Y730" s="222" t="str">
        <f t="shared" si="48"/>
        <v>11-Infraestructura Tecnológica   (Sistemas de Información y Tecnologia) 007_Servicios tecnológicos</v>
      </c>
      <c r="Z730" s="227" t="str">
        <f t="shared" si="49"/>
        <v>O23011745992024020711007</v>
      </c>
      <c r="AA730" s="227" t="str">
        <f>IFERROR(VLOOKUP(Y730,TD!$K$47:$L$65,2,0)," ")</f>
        <v>PM/0131/0111/45990070207</v>
      </c>
      <c r="AB730" s="128" t="s">
        <v>138</v>
      </c>
      <c r="AC730" s="225" t="s">
        <v>204</v>
      </c>
    </row>
    <row r="731" spans="2:29" ht="125.5" customHeight="1" x14ac:dyDescent="0.35">
      <c r="B731" s="132">
        <v>20250757</v>
      </c>
      <c r="C731" s="132" t="s">
        <v>208</v>
      </c>
      <c r="D731" s="224" t="s">
        <v>162</v>
      </c>
      <c r="E731" s="225" t="s">
        <v>355</v>
      </c>
      <c r="F731" s="224" t="s">
        <v>803</v>
      </c>
      <c r="G731" s="224" t="s">
        <v>155</v>
      </c>
      <c r="H731" s="133">
        <v>80111600</v>
      </c>
      <c r="I731" s="226">
        <v>2</v>
      </c>
      <c r="J731" s="226">
        <v>11</v>
      </c>
      <c r="K731" s="129">
        <v>0</v>
      </c>
      <c r="L731" s="128">
        <v>20468000</v>
      </c>
      <c r="M731" s="189" t="s">
        <v>465</v>
      </c>
      <c r="N731" s="128" t="s">
        <v>113</v>
      </c>
      <c r="O731" s="225" t="s">
        <v>215</v>
      </c>
      <c r="P731" s="227" t="str">
        <f>IFERROR(VLOOKUP(C731,TD!$B$33:$F$37,2,0)," ")</f>
        <v>O230117</v>
      </c>
      <c r="Q731" s="227" t="str">
        <f>IFERROR(VLOOKUP(C731,TD!$B$33:$F$37,3,0)," ")</f>
        <v>4599</v>
      </c>
      <c r="R731" s="227">
        <f>IFERROR(VLOOKUP(C731,TD!$B$33:$F$37,4,0)," ")</f>
        <v>20240207</v>
      </c>
      <c r="S731" s="225" t="s">
        <v>179</v>
      </c>
      <c r="T731" s="227" t="str">
        <f>IFERROR(VLOOKUP(S731,TD!$J$34:$K$44,2,0)," ")</f>
        <v>Infraestructura Tecnológica   (Sistemas de Información y Tecnologia)</v>
      </c>
      <c r="U731" s="222" t="str">
        <f t="shared" si="46"/>
        <v>11-Infraestructura Tecnológica   (Sistemas de Información y Tecnologia)</v>
      </c>
      <c r="V731" s="225" t="s">
        <v>239</v>
      </c>
      <c r="W731" s="227" t="str">
        <f>IFERROR(VLOOKUP(V731,TD!$N$34:$O$46,2,0)," ")</f>
        <v>Servicios tecnológicos</v>
      </c>
      <c r="X731" s="222" t="str">
        <f t="shared" si="47"/>
        <v>007_Servicios tecnológicos</v>
      </c>
      <c r="Y731" s="222" t="str">
        <f t="shared" si="48"/>
        <v>11-Infraestructura Tecnológica   (Sistemas de Información y Tecnologia) 007_Servicios tecnológicos</v>
      </c>
      <c r="Z731" s="227" t="str">
        <f t="shared" si="49"/>
        <v>O23011745992024020711007</v>
      </c>
      <c r="AA731" s="227" t="str">
        <f>IFERROR(VLOOKUP(Y731,TD!$K$47:$L$65,2,0)," ")</f>
        <v>PM/0131/0111/45990070207</v>
      </c>
      <c r="AB731" s="128" t="s">
        <v>138</v>
      </c>
      <c r="AC731" s="225" t="s">
        <v>204</v>
      </c>
    </row>
    <row r="732" spans="2:29" ht="125.5" customHeight="1" x14ac:dyDescent="0.35">
      <c r="B732" s="132">
        <v>20250758</v>
      </c>
      <c r="C732" s="132" t="s">
        <v>208</v>
      </c>
      <c r="D732" s="224" t="s">
        <v>162</v>
      </c>
      <c r="E732" s="225" t="s">
        <v>355</v>
      </c>
      <c r="F732" s="224" t="s">
        <v>782</v>
      </c>
      <c r="G732" s="224" t="s">
        <v>155</v>
      </c>
      <c r="H732" s="133">
        <v>80111600</v>
      </c>
      <c r="I732" s="226">
        <v>2</v>
      </c>
      <c r="J732" s="226">
        <v>11</v>
      </c>
      <c r="K732" s="129">
        <v>0</v>
      </c>
      <c r="L732" s="128">
        <v>29500000</v>
      </c>
      <c r="M732" s="189" t="s">
        <v>465</v>
      </c>
      <c r="N732" s="128" t="s">
        <v>113</v>
      </c>
      <c r="O732" s="225" t="s">
        <v>216</v>
      </c>
      <c r="P732" s="227" t="str">
        <f>IFERROR(VLOOKUP(C732,TD!$B$33:$F$37,2,0)," ")</f>
        <v>O230117</v>
      </c>
      <c r="Q732" s="227" t="str">
        <f>IFERROR(VLOOKUP(C732,TD!$B$33:$F$37,3,0)," ")</f>
        <v>4599</v>
      </c>
      <c r="R732" s="227">
        <f>IFERROR(VLOOKUP(C732,TD!$B$33:$F$37,4,0)," ")</f>
        <v>20240207</v>
      </c>
      <c r="S732" s="225" t="s">
        <v>179</v>
      </c>
      <c r="T732" s="227" t="str">
        <f>IFERROR(VLOOKUP(S732,TD!$J$34:$K$44,2,0)," ")</f>
        <v>Infraestructura Tecnológica   (Sistemas de Información y Tecnologia)</v>
      </c>
      <c r="U732" s="222" t="str">
        <f t="shared" si="46"/>
        <v>11-Infraestructura Tecnológica   (Sistemas de Información y Tecnologia)</v>
      </c>
      <c r="V732" s="225" t="s">
        <v>239</v>
      </c>
      <c r="W732" s="227" t="str">
        <f>IFERROR(VLOOKUP(V732,TD!$N$34:$O$46,2,0)," ")</f>
        <v>Servicios tecnológicos</v>
      </c>
      <c r="X732" s="222" t="str">
        <f t="shared" si="47"/>
        <v>007_Servicios tecnológicos</v>
      </c>
      <c r="Y732" s="222" t="str">
        <f t="shared" si="48"/>
        <v>11-Infraestructura Tecnológica   (Sistemas de Información y Tecnologia) 007_Servicios tecnológicos</v>
      </c>
      <c r="Z732" s="227" t="str">
        <f t="shared" si="49"/>
        <v>O23011745992024020711007</v>
      </c>
      <c r="AA732" s="227" t="str">
        <f>IFERROR(VLOOKUP(Y732,TD!$K$47:$L$65,2,0)," ")</f>
        <v>PM/0131/0111/45990070207</v>
      </c>
      <c r="AB732" s="128" t="s">
        <v>138</v>
      </c>
      <c r="AC732" s="225" t="s">
        <v>204</v>
      </c>
    </row>
    <row r="733" spans="2:29" ht="125.5" customHeight="1" x14ac:dyDescent="0.35">
      <c r="B733" s="132">
        <v>20250759</v>
      </c>
      <c r="C733" s="132" t="s">
        <v>208</v>
      </c>
      <c r="D733" s="224" t="s">
        <v>162</v>
      </c>
      <c r="E733" s="225" t="s">
        <v>355</v>
      </c>
      <c r="F733" s="224" t="s">
        <v>996</v>
      </c>
      <c r="G733" s="224" t="s">
        <v>155</v>
      </c>
      <c r="H733" s="133">
        <v>80111600</v>
      </c>
      <c r="I733" s="226">
        <v>2</v>
      </c>
      <c r="J733" s="226">
        <v>11</v>
      </c>
      <c r="K733" s="129">
        <v>0</v>
      </c>
      <c r="L733" s="128">
        <v>5200000</v>
      </c>
      <c r="M733" s="189" t="s">
        <v>465</v>
      </c>
      <c r="N733" s="128" t="s">
        <v>113</v>
      </c>
      <c r="O733" s="225" t="s">
        <v>215</v>
      </c>
      <c r="P733" s="227" t="str">
        <f>IFERROR(VLOOKUP(C733,TD!$B$33:$F$37,2,0)," ")</f>
        <v>O230117</v>
      </c>
      <c r="Q733" s="227" t="str">
        <f>IFERROR(VLOOKUP(C733,TD!$B$33:$F$37,3,0)," ")</f>
        <v>4599</v>
      </c>
      <c r="R733" s="227">
        <f>IFERROR(VLOOKUP(C733,TD!$B$33:$F$37,4,0)," ")</f>
        <v>20240207</v>
      </c>
      <c r="S733" s="225" t="s">
        <v>179</v>
      </c>
      <c r="T733" s="227" t="str">
        <f>IFERROR(VLOOKUP(S733,TD!$J$34:$K$44,2,0)," ")</f>
        <v>Infraestructura Tecnológica   (Sistemas de Información y Tecnologia)</v>
      </c>
      <c r="U733" s="222" t="str">
        <f t="shared" si="46"/>
        <v>11-Infraestructura Tecnológica   (Sistemas de Información y Tecnologia)</v>
      </c>
      <c r="V733" s="225" t="s">
        <v>239</v>
      </c>
      <c r="W733" s="227" t="str">
        <f>IFERROR(VLOOKUP(V733,TD!$N$34:$O$46,2,0)," ")</f>
        <v>Servicios tecnológicos</v>
      </c>
      <c r="X733" s="222" t="str">
        <f t="shared" si="47"/>
        <v>007_Servicios tecnológicos</v>
      </c>
      <c r="Y733" s="222" t="str">
        <f t="shared" si="48"/>
        <v>11-Infraestructura Tecnológica   (Sistemas de Información y Tecnologia) 007_Servicios tecnológicos</v>
      </c>
      <c r="Z733" s="227" t="str">
        <f t="shared" si="49"/>
        <v>O23011745992024020711007</v>
      </c>
      <c r="AA733" s="227" t="str">
        <f>IFERROR(VLOOKUP(Y733,TD!$K$47:$L$65,2,0)," ")</f>
        <v>PM/0131/0111/45990070207</v>
      </c>
      <c r="AB733" s="128" t="s">
        <v>120</v>
      </c>
      <c r="AC733" s="225" t="s">
        <v>205</v>
      </c>
    </row>
    <row r="734" spans="2:29" ht="125.5" customHeight="1" x14ac:dyDescent="0.35">
      <c r="B734" s="132">
        <v>20250761</v>
      </c>
      <c r="C734" s="132" t="s">
        <v>208</v>
      </c>
      <c r="D734" s="224" t="s">
        <v>162</v>
      </c>
      <c r="E734" s="225" t="s">
        <v>355</v>
      </c>
      <c r="F734" s="224" t="s">
        <v>997</v>
      </c>
      <c r="G734" s="224" t="s">
        <v>155</v>
      </c>
      <c r="H734" s="133">
        <v>80111600</v>
      </c>
      <c r="I734" s="226">
        <v>2</v>
      </c>
      <c r="J734" s="226">
        <v>11</v>
      </c>
      <c r="K734" s="129">
        <v>0</v>
      </c>
      <c r="L734" s="128">
        <v>3483333.333333333</v>
      </c>
      <c r="M734" s="189" t="s">
        <v>465</v>
      </c>
      <c r="N734" s="128" t="s">
        <v>113</v>
      </c>
      <c r="O734" s="225" t="s">
        <v>214</v>
      </c>
      <c r="P734" s="227" t="str">
        <f>IFERROR(VLOOKUP(C734,TD!$B$33:$F$37,2,0)," ")</f>
        <v>O230117</v>
      </c>
      <c r="Q734" s="227" t="str">
        <f>IFERROR(VLOOKUP(C734,TD!$B$33:$F$37,3,0)," ")</f>
        <v>4599</v>
      </c>
      <c r="R734" s="227">
        <f>IFERROR(VLOOKUP(C734,TD!$B$33:$F$37,4,0)," ")</f>
        <v>20240207</v>
      </c>
      <c r="S734" s="225" t="s">
        <v>179</v>
      </c>
      <c r="T734" s="227" t="str">
        <f>IFERROR(VLOOKUP(S734,TD!$J$34:$K$44,2,0)," ")</f>
        <v>Infraestructura Tecnológica   (Sistemas de Información y Tecnologia)</v>
      </c>
      <c r="U734" s="222" t="str">
        <f t="shared" si="46"/>
        <v>11-Infraestructura Tecnológica   (Sistemas de Información y Tecnologia)</v>
      </c>
      <c r="V734" s="225" t="s">
        <v>239</v>
      </c>
      <c r="W734" s="227" t="str">
        <f>IFERROR(VLOOKUP(V734,TD!$N$34:$O$46,2,0)," ")</f>
        <v>Servicios tecnológicos</v>
      </c>
      <c r="X734" s="222" t="str">
        <f t="shared" si="47"/>
        <v>007_Servicios tecnológicos</v>
      </c>
      <c r="Y734" s="222" t="str">
        <f t="shared" si="48"/>
        <v>11-Infraestructura Tecnológica   (Sistemas de Información y Tecnologia) 007_Servicios tecnológicos</v>
      </c>
      <c r="Z734" s="227" t="str">
        <f t="shared" si="49"/>
        <v>O23011745992024020711007</v>
      </c>
      <c r="AA734" s="227" t="str">
        <f>IFERROR(VLOOKUP(Y734,TD!$K$47:$L$65,2,0)," ")</f>
        <v>PM/0131/0111/45990070207</v>
      </c>
      <c r="AB734" s="128" t="s">
        <v>138</v>
      </c>
      <c r="AC734" s="225" t="s">
        <v>205</v>
      </c>
    </row>
    <row r="735" spans="2:29" ht="125.5" customHeight="1" x14ac:dyDescent="0.35">
      <c r="B735" s="132">
        <v>20250762</v>
      </c>
      <c r="C735" s="132" t="s">
        <v>208</v>
      </c>
      <c r="D735" s="224" t="s">
        <v>162</v>
      </c>
      <c r="E735" s="225" t="s">
        <v>355</v>
      </c>
      <c r="F735" s="224" t="s">
        <v>998</v>
      </c>
      <c r="G735" s="224" t="s">
        <v>155</v>
      </c>
      <c r="H735" s="133">
        <v>80111600</v>
      </c>
      <c r="I735" s="226">
        <v>2</v>
      </c>
      <c r="J735" s="226">
        <v>7</v>
      </c>
      <c r="K735" s="129">
        <v>0</v>
      </c>
      <c r="L735" s="128">
        <v>8633333.333333334</v>
      </c>
      <c r="M735" s="189" t="s">
        <v>465</v>
      </c>
      <c r="N735" s="128" t="s">
        <v>113</v>
      </c>
      <c r="O735" s="225" t="s">
        <v>215</v>
      </c>
      <c r="P735" s="227" t="str">
        <f>IFERROR(VLOOKUP(C735,TD!$B$33:$F$37,2,0)," ")</f>
        <v>O230117</v>
      </c>
      <c r="Q735" s="227" t="str">
        <f>IFERROR(VLOOKUP(C735,TD!$B$33:$F$37,3,0)," ")</f>
        <v>4599</v>
      </c>
      <c r="R735" s="227">
        <f>IFERROR(VLOOKUP(C735,TD!$B$33:$F$37,4,0)," ")</f>
        <v>20240207</v>
      </c>
      <c r="S735" s="225" t="s">
        <v>179</v>
      </c>
      <c r="T735" s="227" t="str">
        <f>IFERROR(VLOOKUP(S735,TD!$J$34:$K$44,2,0)," ")</f>
        <v>Infraestructura Tecnológica   (Sistemas de Información y Tecnologia)</v>
      </c>
      <c r="U735" s="222" t="str">
        <f t="shared" si="46"/>
        <v>11-Infraestructura Tecnológica   (Sistemas de Información y Tecnologia)</v>
      </c>
      <c r="V735" s="225" t="s">
        <v>239</v>
      </c>
      <c r="W735" s="227" t="str">
        <f>IFERROR(VLOOKUP(V735,TD!$N$34:$O$46,2,0)," ")</f>
        <v>Servicios tecnológicos</v>
      </c>
      <c r="X735" s="222" t="str">
        <f t="shared" si="47"/>
        <v>007_Servicios tecnológicos</v>
      </c>
      <c r="Y735" s="222" t="str">
        <f t="shared" si="48"/>
        <v>11-Infraestructura Tecnológica   (Sistemas de Información y Tecnologia) 007_Servicios tecnológicos</v>
      </c>
      <c r="Z735" s="227" t="str">
        <f t="shared" si="49"/>
        <v>O23011745992024020711007</v>
      </c>
      <c r="AA735" s="227" t="str">
        <f>IFERROR(VLOOKUP(Y735,TD!$K$47:$L$65,2,0)," ")</f>
        <v>PM/0131/0111/45990070207</v>
      </c>
      <c r="AB735" s="128" t="s">
        <v>120</v>
      </c>
      <c r="AC735" s="225" t="s">
        <v>205</v>
      </c>
    </row>
    <row r="736" spans="2:29" ht="125.5" customHeight="1" x14ac:dyDescent="0.35">
      <c r="B736" s="132">
        <v>20250763</v>
      </c>
      <c r="C736" s="132" t="s">
        <v>208</v>
      </c>
      <c r="D736" s="224" t="s">
        <v>162</v>
      </c>
      <c r="E736" s="225" t="s">
        <v>355</v>
      </c>
      <c r="F736" s="224" t="s">
        <v>999</v>
      </c>
      <c r="G736" s="224" t="s">
        <v>96</v>
      </c>
      <c r="H736" s="133" t="s">
        <v>1000</v>
      </c>
      <c r="I736" s="226">
        <v>9</v>
      </c>
      <c r="J736" s="226">
        <v>12</v>
      </c>
      <c r="K736" s="129">
        <v>0</v>
      </c>
      <c r="L736" s="128">
        <v>245000000</v>
      </c>
      <c r="M736" s="189" t="s">
        <v>465</v>
      </c>
      <c r="N736" s="128" t="s">
        <v>90</v>
      </c>
      <c r="O736" s="225" t="s">
        <v>216</v>
      </c>
      <c r="P736" s="227" t="str">
        <f>IFERROR(VLOOKUP(C736,TD!$B$33:$F$37,2,0)," ")</f>
        <v>O230117</v>
      </c>
      <c r="Q736" s="227" t="str">
        <f>IFERROR(VLOOKUP(C736,TD!$B$33:$F$37,3,0)," ")</f>
        <v>4599</v>
      </c>
      <c r="R736" s="227">
        <f>IFERROR(VLOOKUP(C736,TD!$B$33:$F$37,4,0)," ")</f>
        <v>20240207</v>
      </c>
      <c r="S736" s="225" t="s">
        <v>179</v>
      </c>
      <c r="T736" s="227" t="str">
        <f>IFERROR(VLOOKUP(S736,TD!$J$34:$K$44,2,0)," ")</f>
        <v>Infraestructura Tecnológica   (Sistemas de Información y Tecnologia)</v>
      </c>
      <c r="U736" s="222" t="str">
        <f t="shared" si="46"/>
        <v>11-Infraestructura Tecnológica   (Sistemas de Información y Tecnologia)</v>
      </c>
      <c r="V736" s="225" t="s">
        <v>239</v>
      </c>
      <c r="W736" s="227" t="str">
        <f>IFERROR(VLOOKUP(V736,TD!$N$34:$O$46,2,0)," ")</f>
        <v>Servicios tecnológicos</v>
      </c>
      <c r="X736" s="222" t="str">
        <f t="shared" si="47"/>
        <v>007_Servicios tecnológicos</v>
      </c>
      <c r="Y736" s="222" t="str">
        <f t="shared" si="48"/>
        <v>11-Infraestructura Tecnológica   (Sistemas de Información y Tecnologia) 007_Servicios tecnológicos</v>
      </c>
      <c r="Z736" s="227" t="str">
        <f t="shared" si="49"/>
        <v>O23011745992024020711007</v>
      </c>
      <c r="AA736" s="227" t="str">
        <f>IFERROR(VLOOKUP(Y736,TD!$K$47:$L$65,2,0)," ")</f>
        <v>PM/0131/0111/45990070207</v>
      </c>
      <c r="AB736" s="128" t="s">
        <v>130</v>
      </c>
      <c r="AC736" s="225" t="s">
        <v>204</v>
      </c>
    </row>
    <row r="737" spans="2:29" ht="125.5" customHeight="1" x14ac:dyDescent="0.35">
      <c r="B737" s="132">
        <v>20250764</v>
      </c>
      <c r="C737" s="132" t="s">
        <v>208</v>
      </c>
      <c r="D737" s="224" t="s">
        <v>162</v>
      </c>
      <c r="E737" s="225" t="s">
        <v>355</v>
      </c>
      <c r="F737" s="224" t="s">
        <v>1001</v>
      </c>
      <c r="G737" s="224" t="s">
        <v>157</v>
      </c>
      <c r="H737" s="133" t="s">
        <v>1002</v>
      </c>
      <c r="I737" s="226">
        <v>7</v>
      </c>
      <c r="J737" s="226">
        <v>12</v>
      </c>
      <c r="K737" s="129">
        <v>0</v>
      </c>
      <c r="L737" s="128">
        <v>5901600</v>
      </c>
      <c r="M737" s="189" t="s">
        <v>465</v>
      </c>
      <c r="N737" s="128" t="s">
        <v>113</v>
      </c>
      <c r="O737" s="225" t="s">
        <v>214</v>
      </c>
      <c r="P737" s="227" t="str">
        <f>IFERROR(VLOOKUP(C737,TD!$B$33:$F$37,2,0)," ")</f>
        <v>O230117</v>
      </c>
      <c r="Q737" s="227" t="str">
        <f>IFERROR(VLOOKUP(C737,TD!$B$33:$F$37,3,0)," ")</f>
        <v>4599</v>
      </c>
      <c r="R737" s="227">
        <f>IFERROR(VLOOKUP(C737,TD!$B$33:$F$37,4,0)," ")</f>
        <v>20240207</v>
      </c>
      <c r="S737" s="225" t="s">
        <v>179</v>
      </c>
      <c r="T737" s="227" t="str">
        <f>IFERROR(VLOOKUP(S737,TD!$J$34:$K$44,2,0)," ")</f>
        <v>Infraestructura Tecnológica   (Sistemas de Información y Tecnologia)</v>
      </c>
      <c r="U737" s="222" t="str">
        <f t="shared" si="46"/>
        <v>11-Infraestructura Tecnológica   (Sistemas de Información y Tecnologia)</v>
      </c>
      <c r="V737" s="225" t="s">
        <v>239</v>
      </c>
      <c r="W737" s="227" t="str">
        <f>IFERROR(VLOOKUP(V737,TD!$N$34:$O$46,2,0)," ")</f>
        <v>Servicios tecnológicos</v>
      </c>
      <c r="X737" s="222" t="str">
        <f t="shared" si="47"/>
        <v>007_Servicios tecnológicos</v>
      </c>
      <c r="Y737" s="222" t="str">
        <f t="shared" si="48"/>
        <v>11-Infraestructura Tecnológica   (Sistemas de Información y Tecnologia) 007_Servicios tecnológicos</v>
      </c>
      <c r="Z737" s="227" t="str">
        <f t="shared" si="49"/>
        <v>O23011745992024020711007</v>
      </c>
      <c r="AA737" s="227" t="str">
        <f>IFERROR(VLOOKUP(Y737,TD!$K$47:$L$65,2,0)," ")</f>
        <v>PM/0131/0111/45990070207</v>
      </c>
      <c r="AB737" s="128" t="s">
        <v>125</v>
      </c>
      <c r="AC737" s="225" t="s">
        <v>204</v>
      </c>
    </row>
    <row r="738" spans="2:29" ht="125.5" customHeight="1" x14ac:dyDescent="0.35">
      <c r="B738" s="50">
        <v>20250765</v>
      </c>
      <c r="C738" s="50" t="s">
        <v>346</v>
      </c>
      <c r="D738" s="224" t="s">
        <v>162</v>
      </c>
      <c r="E738" s="225" t="s">
        <v>355</v>
      </c>
      <c r="F738" s="218" t="s">
        <v>1004</v>
      </c>
      <c r="G738" s="218" t="s">
        <v>109</v>
      </c>
      <c r="H738" s="93" t="s">
        <v>812</v>
      </c>
      <c r="I738" s="220">
        <v>7</v>
      </c>
      <c r="J738" s="220">
        <v>8</v>
      </c>
      <c r="K738" s="52">
        <v>0</v>
      </c>
      <c r="L738" s="53">
        <v>200000000</v>
      </c>
      <c r="M738" s="140" t="s">
        <v>172</v>
      </c>
      <c r="N738" s="53" t="s">
        <v>90</v>
      </c>
      <c r="O738" s="225" t="s">
        <v>347</v>
      </c>
      <c r="P738" s="221" t="str">
        <f>IFERROR(VLOOKUP(C738,TD!$B$33:$F$37,2,0)," ")</f>
        <v>NA</v>
      </c>
      <c r="Q738" s="221" t="str">
        <f>IFERROR(VLOOKUP(C738,TD!$B$33:$F$37,3,0)," ")</f>
        <v>NA</v>
      </c>
      <c r="R738" s="221" t="str">
        <f>IFERROR(VLOOKUP(C738,TD!$B$33:$F$37,4,0)," ")</f>
        <v>NA</v>
      </c>
      <c r="S738" s="219" t="s">
        <v>406</v>
      </c>
      <c r="T738" s="227" t="str">
        <f>IFERROR(VLOOKUP(S738,TD!$J$34:$K$44,2,0)," ")</f>
        <v>N/A</v>
      </c>
      <c r="U738" s="222" t="str">
        <f t="shared" si="46"/>
        <v>N/A-N/A</v>
      </c>
      <c r="V738" s="219" t="s">
        <v>406</v>
      </c>
      <c r="W738" s="227" t="str">
        <f>IFERROR(VLOOKUP(V738,TD!$N$34:$O$46,2,0)," ")</f>
        <v>N/A</v>
      </c>
      <c r="X738" s="222" t="str">
        <f t="shared" si="47"/>
        <v>N/A_N/A</v>
      </c>
      <c r="Y738" s="222" t="str">
        <f t="shared" si="48"/>
        <v>N/A-N/A N/A_N/A</v>
      </c>
      <c r="Z738" s="221" t="str">
        <f t="shared" si="49"/>
        <v>NANANAN/AN/A</v>
      </c>
      <c r="AA738" s="221" t="str">
        <f>IFERROR(VLOOKUP(Y738,TD!$K$47:$L$65,2,0)," ")</f>
        <v>N/A</v>
      </c>
      <c r="AB738" s="53" t="s">
        <v>348</v>
      </c>
      <c r="AC738" s="219" t="s">
        <v>204</v>
      </c>
    </row>
    <row r="739" spans="2:29" ht="125.5" customHeight="1" x14ac:dyDescent="0.35">
      <c r="B739" s="50">
        <v>20250766</v>
      </c>
      <c r="C739" s="50" t="s">
        <v>346</v>
      </c>
      <c r="D739" s="224" t="s">
        <v>162</v>
      </c>
      <c r="E739" s="225" t="s">
        <v>355</v>
      </c>
      <c r="F739" s="218" t="s">
        <v>813</v>
      </c>
      <c r="G739" s="218" t="s">
        <v>149</v>
      </c>
      <c r="H739" s="93">
        <v>43222635</v>
      </c>
      <c r="I739" s="220">
        <v>7</v>
      </c>
      <c r="J739" s="220">
        <v>8</v>
      </c>
      <c r="K739" s="52">
        <v>0</v>
      </c>
      <c r="L739" s="53">
        <v>150000000</v>
      </c>
      <c r="M739" s="140" t="s">
        <v>172</v>
      </c>
      <c r="N739" s="53" t="s">
        <v>90</v>
      </c>
      <c r="O739" s="225" t="s">
        <v>347</v>
      </c>
      <c r="P739" s="221" t="str">
        <f>IFERROR(VLOOKUP(C739,TD!$B$33:$F$37,2,0)," ")</f>
        <v>NA</v>
      </c>
      <c r="Q739" s="221" t="str">
        <f>IFERROR(VLOOKUP(C739,TD!$B$33:$F$37,3,0)," ")</f>
        <v>NA</v>
      </c>
      <c r="R739" s="221" t="str">
        <f>IFERROR(VLOOKUP(C739,TD!$B$33:$F$37,4,0)," ")</f>
        <v>NA</v>
      </c>
      <c r="S739" s="219" t="s">
        <v>406</v>
      </c>
      <c r="T739" s="227" t="str">
        <f>IFERROR(VLOOKUP(S739,TD!$J$34:$K$44,2,0)," ")</f>
        <v>N/A</v>
      </c>
      <c r="U739" s="222" t="str">
        <f t="shared" si="46"/>
        <v>N/A-N/A</v>
      </c>
      <c r="V739" s="219" t="s">
        <v>406</v>
      </c>
      <c r="W739" s="227" t="str">
        <f>IFERROR(VLOOKUP(V739,TD!$N$34:$O$46,2,0)," ")</f>
        <v>N/A</v>
      </c>
      <c r="X739" s="222" t="str">
        <f t="shared" si="47"/>
        <v>N/A_N/A</v>
      </c>
      <c r="Y739" s="222" t="str">
        <f t="shared" si="48"/>
        <v>N/A-N/A N/A_N/A</v>
      </c>
      <c r="Z739" s="221" t="str">
        <f t="shared" si="49"/>
        <v>NANANAN/AN/A</v>
      </c>
      <c r="AA739" s="221" t="str">
        <f>IFERROR(VLOOKUP(Y739,TD!$K$47:$L$65,2,0)," ")</f>
        <v>N/A</v>
      </c>
      <c r="AB739" s="53" t="s">
        <v>445</v>
      </c>
      <c r="AC739" s="219" t="s">
        <v>204</v>
      </c>
    </row>
    <row r="740" spans="2:29" ht="125.5" customHeight="1" x14ac:dyDescent="0.35">
      <c r="B740" s="132">
        <v>20250767</v>
      </c>
      <c r="C740" s="132" t="s">
        <v>346</v>
      </c>
      <c r="D740" s="224" t="s">
        <v>162</v>
      </c>
      <c r="E740" s="225" t="s">
        <v>355</v>
      </c>
      <c r="F740" s="224" t="s">
        <v>1005</v>
      </c>
      <c r="G740" s="224" t="s">
        <v>154</v>
      </c>
      <c r="H740" s="133" t="s">
        <v>1050</v>
      </c>
      <c r="I740" s="226">
        <v>8</v>
      </c>
      <c r="J740" s="226">
        <v>6</v>
      </c>
      <c r="K740" s="129">
        <v>0</v>
      </c>
      <c r="L740" s="128">
        <v>240000000</v>
      </c>
      <c r="M740" s="189" t="s">
        <v>172</v>
      </c>
      <c r="N740" s="128" t="s">
        <v>95</v>
      </c>
      <c r="O740" s="225" t="s">
        <v>347</v>
      </c>
      <c r="P740" s="227" t="str">
        <f>IFERROR(VLOOKUP(C740,TD!$B$33:$F$37,2,0)," ")</f>
        <v>NA</v>
      </c>
      <c r="Q740" s="227" t="str">
        <f>IFERROR(VLOOKUP(C740,TD!$B$33:$F$37,3,0)," ")</f>
        <v>NA</v>
      </c>
      <c r="R740" s="227" t="str">
        <f>IFERROR(VLOOKUP(C740,TD!$B$33:$F$37,4,0)," ")</f>
        <v>NA</v>
      </c>
      <c r="S740" s="225" t="s">
        <v>406</v>
      </c>
      <c r="T740" s="227" t="str">
        <f>IFERROR(VLOOKUP(S740,TD!$J$34:$K$44,2,0)," ")</f>
        <v>N/A</v>
      </c>
      <c r="U740" s="222" t="str">
        <f t="shared" si="46"/>
        <v>N/A-N/A</v>
      </c>
      <c r="V740" s="225" t="s">
        <v>406</v>
      </c>
      <c r="W740" s="227" t="str">
        <f>IFERROR(VLOOKUP(V740,TD!$N$34:$O$46,2,0)," ")</f>
        <v>N/A</v>
      </c>
      <c r="X740" s="222" t="str">
        <f t="shared" si="47"/>
        <v>N/A_N/A</v>
      </c>
      <c r="Y740" s="222" t="str">
        <f t="shared" si="48"/>
        <v>N/A-N/A N/A_N/A</v>
      </c>
      <c r="Z740" s="227" t="str">
        <f t="shared" si="49"/>
        <v>NANANAN/AN/A</v>
      </c>
      <c r="AA740" s="227" t="str">
        <f>IFERROR(VLOOKUP(Y740,TD!$K$47:$L$65,2,0)," ")</f>
        <v>N/A</v>
      </c>
      <c r="AB740" s="128" t="s">
        <v>348</v>
      </c>
      <c r="AC740" s="225" t="s">
        <v>204</v>
      </c>
    </row>
    <row r="741" spans="2:29" ht="125.5" customHeight="1" x14ac:dyDescent="0.35">
      <c r="B741" s="155">
        <v>20250768</v>
      </c>
      <c r="C741" s="155" t="s">
        <v>208</v>
      </c>
      <c r="D741" s="263" t="s">
        <v>46</v>
      </c>
      <c r="E741" s="264" t="s">
        <v>466</v>
      </c>
      <c r="F741" s="263" t="s">
        <v>1009</v>
      </c>
      <c r="G741" s="263" t="s">
        <v>155</v>
      </c>
      <c r="H741" s="161">
        <v>80111600</v>
      </c>
      <c r="I741" s="265">
        <v>7</v>
      </c>
      <c r="J741" s="265">
        <v>2</v>
      </c>
      <c r="K741" s="162">
        <v>0</v>
      </c>
      <c r="L741" s="154">
        <v>13000000</v>
      </c>
      <c r="M741" s="160" t="s">
        <v>465</v>
      </c>
      <c r="N741" s="154" t="s">
        <v>113</v>
      </c>
      <c r="O741" s="225" t="s">
        <v>219</v>
      </c>
      <c r="P741" s="266" t="str">
        <f>IFERROR(VLOOKUP(C741,TD!$B$33:$F$37,2,0)," ")</f>
        <v>O230117</v>
      </c>
      <c r="Q741" s="266" t="str">
        <f>IFERROR(VLOOKUP(C741,TD!$B$33:$F$37,3,0)," ")</f>
        <v>4599</v>
      </c>
      <c r="R741" s="266">
        <f>IFERROR(VLOOKUP(C741,TD!$B$33:$F$37,4,0)," ")</f>
        <v>20240207</v>
      </c>
      <c r="S741" s="219" t="s">
        <v>185</v>
      </c>
      <c r="T741" s="227" t="str">
        <f>IFERROR(VLOOKUP(S741,TD!$J$34:$K$44,2,0)," ")</f>
        <v>Infraestructura física, mantenimiento y dotación (Sedes construidas, mantenidas reforzadas)</v>
      </c>
      <c r="U741" s="222" t="str">
        <f t="shared" si="46"/>
        <v>08-Infraestructura física, mantenimiento y dotación (Sedes construidas, mantenidas reforzadas)</v>
      </c>
      <c r="V741" s="219" t="s">
        <v>238</v>
      </c>
      <c r="W741" s="227" t="str">
        <f>IFERROR(VLOOKUP(V741,TD!$N$34:$O$46,2,0)," ")</f>
        <v>Sedes mantenidas</v>
      </c>
      <c r="X741" s="222" t="str">
        <f t="shared" si="47"/>
        <v>016_Sedes mantenidas</v>
      </c>
      <c r="Y741" s="222" t="str">
        <f t="shared" si="48"/>
        <v>08-Infraestructura física, mantenimiento y dotación (Sedes construidas, mantenidas reforzadas) 016_Sedes mantenidas</v>
      </c>
      <c r="Z741" s="266" t="str">
        <f t="shared" si="49"/>
        <v>O23011745992024020708016</v>
      </c>
      <c r="AA741" s="266" t="str">
        <f>IFERROR(VLOOKUP(Y741,TD!$K$47:$L$65,2,0)," ")</f>
        <v>PM/0131/0108/45990160207</v>
      </c>
      <c r="AB741" s="154" t="s">
        <v>120</v>
      </c>
      <c r="AC741" s="264" t="s">
        <v>205</v>
      </c>
    </row>
    <row r="742" spans="2:29" ht="125.5" customHeight="1" x14ac:dyDescent="0.35">
      <c r="B742" s="155">
        <v>20250769</v>
      </c>
      <c r="C742" s="155" t="s">
        <v>208</v>
      </c>
      <c r="D742" s="263" t="s">
        <v>46</v>
      </c>
      <c r="E742" s="264" t="s">
        <v>466</v>
      </c>
      <c r="F742" s="263" t="s">
        <v>1010</v>
      </c>
      <c r="G742" s="263" t="s">
        <v>155</v>
      </c>
      <c r="H742" s="161">
        <v>80111600</v>
      </c>
      <c r="I742" s="265">
        <v>7</v>
      </c>
      <c r="J742" s="265">
        <v>2</v>
      </c>
      <c r="K742" s="162">
        <v>0</v>
      </c>
      <c r="L742" s="154">
        <v>10000000</v>
      </c>
      <c r="M742" s="160" t="s">
        <v>465</v>
      </c>
      <c r="N742" s="154" t="s">
        <v>113</v>
      </c>
      <c r="O742" s="225" t="s">
        <v>219</v>
      </c>
      <c r="P742" s="266" t="str">
        <f>IFERROR(VLOOKUP(C742,TD!$B$33:$F$37,2,0)," ")</f>
        <v>O230117</v>
      </c>
      <c r="Q742" s="266" t="str">
        <f>IFERROR(VLOOKUP(C742,TD!$B$33:$F$37,3,0)," ")</f>
        <v>4599</v>
      </c>
      <c r="R742" s="266">
        <f>IFERROR(VLOOKUP(C742,TD!$B$33:$F$37,4,0)," ")</f>
        <v>20240207</v>
      </c>
      <c r="S742" s="219" t="s">
        <v>185</v>
      </c>
      <c r="T742" s="227" t="str">
        <f>IFERROR(VLOOKUP(S742,TD!$J$34:$K$44,2,0)," ")</f>
        <v>Infraestructura física, mantenimiento y dotación (Sedes construidas, mantenidas reforzadas)</v>
      </c>
      <c r="U742" s="222" t="str">
        <f t="shared" si="46"/>
        <v>08-Infraestructura física, mantenimiento y dotación (Sedes construidas, mantenidas reforzadas)</v>
      </c>
      <c r="V742" s="219" t="s">
        <v>238</v>
      </c>
      <c r="W742" s="227" t="str">
        <f>IFERROR(VLOOKUP(V742,TD!$N$34:$O$46,2,0)," ")</f>
        <v>Sedes mantenidas</v>
      </c>
      <c r="X742" s="222" t="str">
        <f t="shared" si="47"/>
        <v>016_Sedes mantenidas</v>
      </c>
      <c r="Y742" s="222" t="str">
        <f t="shared" si="48"/>
        <v>08-Infraestructura física, mantenimiento y dotación (Sedes construidas, mantenidas reforzadas) 016_Sedes mantenidas</v>
      </c>
      <c r="Z742" s="266" t="str">
        <f t="shared" si="49"/>
        <v>O23011745992024020708016</v>
      </c>
      <c r="AA742" s="266" t="str">
        <f>IFERROR(VLOOKUP(Y742,TD!$K$47:$L$65,2,0)," ")</f>
        <v>PM/0131/0108/45990160207</v>
      </c>
      <c r="AB742" s="154" t="s">
        <v>120</v>
      </c>
      <c r="AC742" s="264" t="s">
        <v>205</v>
      </c>
    </row>
    <row r="743" spans="2:29" ht="125.5" customHeight="1" x14ac:dyDescent="0.35">
      <c r="B743" s="155">
        <v>20250771</v>
      </c>
      <c r="C743" s="50" t="s">
        <v>209</v>
      </c>
      <c r="D743" s="263" t="s">
        <v>165</v>
      </c>
      <c r="E743" s="219" t="s">
        <v>486</v>
      </c>
      <c r="F743" s="263" t="s">
        <v>1011</v>
      </c>
      <c r="G743" s="263" t="s">
        <v>155</v>
      </c>
      <c r="H743" s="161">
        <v>80111600</v>
      </c>
      <c r="I743" s="265">
        <v>2</v>
      </c>
      <c r="J743" s="265">
        <v>11</v>
      </c>
      <c r="K743" s="162">
        <v>0</v>
      </c>
      <c r="L743" s="154">
        <v>37400000</v>
      </c>
      <c r="M743" s="160" t="s">
        <v>465</v>
      </c>
      <c r="N743" s="154" t="s">
        <v>113</v>
      </c>
      <c r="O743" s="264" t="s">
        <v>229</v>
      </c>
      <c r="P743" s="266" t="str">
        <f>IFERROR(VLOOKUP(C743,TD!$B$33:$F$37,2,0)," ")</f>
        <v>O230117</v>
      </c>
      <c r="Q743" s="266" t="str">
        <f>IFERROR(VLOOKUP(C743,TD!$B$33:$F$37,3,0)," ")</f>
        <v>4503</v>
      </c>
      <c r="R743" s="266">
        <f>IFERROR(VLOOKUP(C743,TD!$B$33:$F$37,4,0)," ")</f>
        <v>20240255</v>
      </c>
      <c r="S743" s="219" t="s">
        <v>183</v>
      </c>
      <c r="T743" s="227" t="str">
        <f>IFERROR(VLOOKUP(S743,TD!$J$34:$K$44,2,0)," ")</f>
        <v>Servicio de formación en gestión del riesgo de incendios para el personal UAECOB</v>
      </c>
      <c r="U743" s="222" t="str">
        <f t="shared" si="46"/>
        <v>07-Servicio de formación en gestión del riesgo de incendios para el personal UAECOB</v>
      </c>
      <c r="V743" s="219" t="s">
        <v>233</v>
      </c>
      <c r="W743" s="227" t="str">
        <f>IFERROR(VLOOKUP(V743,TD!$N$34:$O$46,2,0)," ")</f>
        <v>Servicio de educación informal</v>
      </c>
      <c r="X743" s="222" t="str">
        <f t="shared" si="47"/>
        <v>002_Servicio de educación informal</v>
      </c>
      <c r="Y743" s="222" t="str">
        <f t="shared" si="48"/>
        <v>07-Servicio de formación en gestión del riesgo de incendios para el personal UAECOB 002_Servicio de educación informal</v>
      </c>
      <c r="Z743" s="266" t="str">
        <f t="shared" si="49"/>
        <v>O23011745032024025507002</v>
      </c>
      <c r="AA743" s="266" t="str">
        <f>IFERROR(VLOOKUP(Y743,TD!$K$47:$L$65,2,0)," ")</f>
        <v>PM/0131/0107/45030020255</v>
      </c>
      <c r="AB743" s="154" t="s">
        <v>138</v>
      </c>
      <c r="AC743" s="264" t="s">
        <v>204</v>
      </c>
    </row>
    <row r="744" spans="2:29" ht="125.5" customHeight="1" x14ac:dyDescent="0.35">
      <c r="B744" s="155">
        <v>20250772</v>
      </c>
      <c r="C744" s="155" t="s">
        <v>209</v>
      </c>
      <c r="D744" s="218" t="s">
        <v>165</v>
      </c>
      <c r="E744" s="219" t="s">
        <v>486</v>
      </c>
      <c r="F744" s="218" t="s">
        <v>1012</v>
      </c>
      <c r="G744" s="218" t="s">
        <v>155</v>
      </c>
      <c r="H744" s="93">
        <v>80111600</v>
      </c>
      <c r="I744" s="220">
        <v>2</v>
      </c>
      <c r="J744" s="220">
        <v>11</v>
      </c>
      <c r="K744" s="52">
        <v>0</v>
      </c>
      <c r="L744" s="53">
        <v>37400000</v>
      </c>
      <c r="M744" s="160" t="s">
        <v>465</v>
      </c>
      <c r="N744" s="154" t="s">
        <v>113</v>
      </c>
      <c r="O744" s="264" t="s">
        <v>229</v>
      </c>
      <c r="P744" s="221" t="str">
        <f>IFERROR(VLOOKUP(C744,TD!$B$33:$F$37,2,0)," ")</f>
        <v>O230117</v>
      </c>
      <c r="Q744" s="221" t="str">
        <f>IFERROR(VLOOKUP(C744,TD!$B$33:$F$37,3,0)," ")</f>
        <v>4503</v>
      </c>
      <c r="R744" s="221">
        <f>IFERROR(VLOOKUP(C744,TD!$B$33:$F$37,4,0)," ")</f>
        <v>20240255</v>
      </c>
      <c r="S744" s="219" t="s">
        <v>183</v>
      </c>
      <c r="T744" s="227" t="str">
        <f>IFERROR(VLOOKUP(S744,TD!$J$34:$K$44,2,0)," ")</f>
        <v>Servicio de formación en gestión del riesgo de incendios para el personal UAECOB</v>
      </c>
      <c r="U744" s="222" t="str">
        <f t="shared" si="46"/>
        <v>07-Servicio de formación en gestión del riesgo de incendios para el personal UAECOB</v>
      </c>
      <c r="V744" s="219" t="s">
        <v>233</v>
      </c>
      <c r="W744" s="227" t="str">
        <f>IFERROR(VLOOKUP(V744,TD!$N$34:$O$46,2,0)," ")</f>
        <v>Servicio de educación informal</v>
      </c>
      <c r="X744" s="222" t="str">
        <f t="shared" si="47"/>
        <v>002_Servicio de educación informal</v>
      </c>
      <c r="Y744" s="222" t="str">
        <f t="shared" si="48"/>
        <v>07-Servicio de formación en gestión del riesgo de incendios para el personal UAECOB 002_Servicio de educación informal</v>
      </c>
      <c r="Z744" s="221" t="str">
        <f t="shared" si="49"/>
        <v>O23011745032024025507002</v>
      </c>
      <c r="AA744" s="221" t="str">
        <f>IFERROR(VLOOKUP(Y744,TD!$K$47:$L$65,2,0)," ")</f>
        <v>PM/0131/0107/45030020255</v>
      </c>
      <c r="AB744" s="154" t="s">
        <v>138</v>
      </c>
      <c r="AC744" s="219" t="s">
        <v>204</v>
      </c>
    </row>
    <row r="745" spans="2:29" ht="125.5" customHeight="1" x14ac:dyDescent="0.35">
      <c r="B745" s="50">
        <v>20250773</v>
      </c>
      <c r="C745" s="155" t="s">
        <v>209</v>
      </c>
      <c r="D745" s="218" t="s">
        <v>165</v>
      </c>
      <c r="E745" s="219" t="s">
        <v>486</v>
      </c>
      <c r="F745" s="218" t="s">
        <v>1016</v>
      </c>
      <c r="G745" s="218" t="s">
        <v>155</v>
      </c>
      <c r="H745" s="93">
        <v>80111600</v>
      </c>
      <c r="I745" s="220">
        <v>4</v>
      </c>
      <c r="J745" s="220">
        <v>10</v>
      </c>
      <c r="K745" s="52">
        <v>0</v>
      </c>
      <c r="L745" s="53">
        <v>13650000</v>
      </c>
      <c r="M745" s="160" t="s">
        <v>465</v>
      </c>
      <c r="N745" s="154" t="s">
        <v>113</v>
      </c>
      <c r="O745" s="264" t="s">
        <v>229</v>
      </c>
      <c r="P745" s="221" t="str">
        <f>IFERROR(VLOOKUP(C745,TD!$B$33:$F$37,2,0)," ")</f>
        <v>O230117</v>
      </c>
      <c r="Q745" s="221" t="str">
        <f>IFERROR(VLOOKUP(C745,TD!$B$33:$F$37,3,0)," ")</f>
        <v>4503</v>
      </c>
      <c r="R745" s="221">
        <f>IFERROR(VLOOKUP(C745,TD!$B$33:$F$37,4,0)," ")</f>
        <v>20240255</v>
      </c>
      <c r="S745" s="219" t="s">
        <v>183</v>
      </c>
      <c r="T745" s="227" t="str">
        <f>IFERROR(VLOOKUP(S745,TD!$J$34:$K$44,2,0)," ")</f>
        <v>Servicio de formación en gestión del riesgo de incendios para el personal UAECOB</v>
      </c>
      <c r="U745" s="222" t="str">
        <f t="shared" si="46"/>
        <v>07-Servicio de formación en gestión del riesgo de incendios para el personal UAECOB</v>
      </c>
      <c r="V745" s="219" t="s">
        <v>233</v>
      </c>
      <c r="W745" s="227" t="str">
        <f>IFERROR(VLOOKUP(V745,TD!$N$34:$O$46,2,0)," ")</f>
        <v>Servicio de educación informal</v>
      </c>
      <c r="X745" s="222" t="str">
        <f t="shared" si="47"/>
        <v>002_Servicio de educación informal</v>
      </c>
      <c r="Y745" s="222" t="str">
        <f t="shared" si="48"/>
        <v>07-Servicio de formación en gestión del riesgo de incendios para el personal UAECOB 002_Servicio de educación informal</v>
      </c>
      <c r="Z745" s="221" t="str">
        <f t="shared" si="49"/>
        <v>O23011745032024025507002</v>
      </c>
      <c r="AA745" s="221" t="str">
        <f>IFERROR(VLOOKUP(Y745,TD!$K$47:$L$65,2,0)," ")</f>
        <v>PM/0131/0107/45030020255</v>
      </c>
      <c r="AB745" s="53" t="s">
        <v>120</v>
      </c>
      <c r="AC745" s="219" t="s">
        <v>205</v>
      </c>
    </row>
    <row r="746" spans="2:29" ht="125.5" customHeight="1" x14ac:dyDescent="0.35">
      <c r="B746" s="156">
        <v>20250774</v>
      </c>
      <c r="C746" s="156" t="s">
        <v>208</v>
      </c>
      <c r="D746" s="267" t="s">
        <v>164</v>
      </c>
      <c r="E746" s="268" t="s">
        <v>389</v>
      </c>
      <c r="F746" s="218" t="s">
        <v>899</v>
      </c>
      <c r="G746" s="267" t="s">
        <v>155</v>
      </c>
      <c r="H746" s="93">
        <v>80111600</v>
      </c>
      <c r="I746" s="220">
        <v>8</v>
      </c>
      <c r="J746" s="220">
        <v>5</v>
      </c>
      <c r="K746" s="52">
        <v>0</v>
      </c>
      <c r="L746" s="53">
        <v>17000000</v>
      </c>
      <c r="M746" s="157" t="s">
        <v>465</v>
      </c>
      <c r="N746" s="158" t="s">
        <v>113</v>
      </c>
      <c r="O746" s="268" t="s">
        <v>219</v>
      </c>
      <c r="P746" s="269" t="str">
        <f>IFERROR(VLOOKUP(C746,TD!$B$33:$F$37,2,0)," ")</f>
        <v>O230117</v>
      </c>
      <c r="Q746" s="269" t="str">
        <f>IFERROR(VLOOKUP(C746,TD!$B$33:$F$37,3,0)," ")</f>
        <v>4599</v>
      </c>
      <c r="R746" s="269">
        <f>IFERROR(VLOOKUP(C746,TD!$B$33:$F$37,4,0)," ")</f>
        <v>20240207</v>
      </c>
      <c r="S746" s="268" t="s">
        <v>185</v>
      </c>
      <c r="T746" s="227" t="str">
        <f>IFERROR(VLOOKUP(S746,TD!$J$34:$K$44,2,0)," ")</f>
        <v>Infraestructura física, mantenimiento y dotación (Sedes construidas, mantenidas reforzadas)</v>
      </c>
      <c r="U746" s="222" t="str">
        <f t="shared" si="46"/>
        <v>08-Infraestructura física, mantenimiento y dotación (Sedes construidas, mantenidas reforzadas)</v>
      </c>
      <c r="V746" s="219" t="s">
        <v>238</v>
      </c>
      <c r="W746" s="227" t="str">
        <f>IFERROR(VLOOKUP(V746,TD!$N$34:$O$46,2,0)," ")</f>
        <v>Sedes mantenidas</v>
      </c>
      <c r="X746" s="222" t="str">
        <f t="shared" si="47"/>
        <v>016_Sedes mantenidas</v>
      </c>
      <c r="Y746" s="222" t="str">
        <f t="shared" si="48"/>
        <v>08-Infraestructura física, mantenimiento y dotación (Sedes construidas, mantenidas reforzadas) 016_Sedes mantenidas</v>
      </c>
      <c r="Z746" s="269" t="str">
        <f t="shared" si="49"/>
        <v>O23011745992024020708016</v>
      </c>
      <c r="AA746" s="269" t="str">
        <f>IFERROR(VLOOKUP(Y746,TD!$K$47:$L$65,2,0)," ")</f>
        <v>PM/0131/0108/45990160207</v>
      </c>
      <c r="AB746" s="158" t="s">
        <v>138</v>
      </c>
      <c r="AC746" s="268" t="s">
        <v>204</v>
      </c>
    </row>
    <row r="747" spans="2:29" ht="125.5" customHeight="1" x14ac:dyDescent="0.35">
      <c r="B747" s="155">
        <v>20250775</v>
      </c>
      <c r="C747" s="159" t="s">
        <v>208</v>
      </c>
      <c r="D747" s="267" t="s">
        <v>164</v>
      </c>
      <c r="E747" s="268" t="s">
        <v>389</v>
      </c>
      <c r="F747" s="218" t="s">
        <v>457</v>
      </c>
      <c r="G747" s="263" t="s">
        <v>155</v>
      </c>
      <c r="H747" s="93">
        <v>80111600</v>
      </c>
      <c r="I747" s="220">
        <v>8</v>
      </c>
      <c r="J747" s="220">
        <v>5</v>
      </c>
      <c r="K747" s="52">
        <v>0</v>
      </c>
      <c r="L747" s="53">
        <v>54000000</v>
      </c>
      <c r="M747" s="157" t="s">
        <v>465</v>
      </c>
      <c r="N747" s="158" t="s">
        <v>113</v>
      </c>
      <c r="O747" s="268" t="s">
        <v>219</v>
      </c>
      <c r="P747" s="266" t="str">
        <f>IFERROR(VLOOKUP(C747,TD!$B$33:$F$37,2,0)," ")</f>
        <v>O230117</v>
      </c>
      <c r="Q747" s="266" t="str">
        <f>IFERROR(VLOOKUP(C747,TD!$B$33:$F$37,3,0)," ")</f>
        <v>4599</v>
      </c>
      <c r="R747" s="266">
        <f>IFERROR(VLOOKUP(C747,TD!$B$33:$F$37,4,0)," ")</f>
        <v>20240207</v>
      </c>
      <c r="S747" s="268" t="s">
        <v>185</v>
      </c>
      <c r="T747" s="227" t="str">
        <f>IFERROR(VLOOKUP(S747,TD!$J$34:$K$44,2,0)," ")</f>
        <v>Infraestructura física, mantenimiento y dotación (Sedes construidas, mantenidas reforzadas)</v>
      </c>
      <c r="U747" s="222" t="str">
        <f t="shared" si="46"/>
        <v>08-Infraestructura física, mantenimiento y dotación (Sedes construidas, mantenidas reforzadas)</v>
      </c>
      <c r="V747" s="219" t="s">
        <v>238</v>
      </c>
      <c r="W747" s="227" t="str">
        <f>IFERROR(VLOOKUP(V747,TD!$N$34:$O$46,2,0)," ")</f>
        <v>Sedes mantenidas</v>
      </c>
      <c r="X747" s="222" t="str">
        <f t="shared" si="47"/>
        <v>016_Sedes mantenidas</v>
      </c>
      <c r="Y747" s="222" t="str">
        <f t="shared" si="48"/>
        <v>08-Infraestructura física, mantenimiento y dotación (Sedes construidas, mantenidas reforzadas) 016_Sedes mantenidas</v>
      </c>
      <c r="Z747" s="266" t="str">
        <f t="shared" si="49"/>
        <v>O23011745992024020708016</v>
      </c>
      <c r="AA747" s="266" t="str">
        <f>IFERROR(VLOOKUP(Y747,TD!$K$47:$L$65,2,0)," ")</f>
        <v>PM/0131/0108/45990160207</v>
      </c>
      <c r="AB747" s="158" t="s">
        <v>138</v>
      </c>
      <c r="AC747" s="264" t="s">
        <v>204</v>
      </c>
    </row>
    <row r="748" spans="2:29" ht="125.5" customHeight="1" x14ac:dyDescent="0.35">
      <c r="B748" s="155">
        <v>20250776</v>
      </c>
      <c r="C748" s="159" t="s">
        <v>208</v>
      </c>
      <c r="D748" s="267" t="s">
        <v>164</v>
      </c>
      <c r="E748" s="268" t="s">
        <v>389</v>
      </c>
      <c r="F748" s="218" t="s">
        <v>458</v>
      </c>
      <c r="G748" s="263" t="s">
        <v>155</v>
      </c>
      <c r="H748" s="93">
        <v>80111600</v>
      </c>
      <c r="I748" s="220">
        <v>8</v>
      </c>
      <c r="J748" s="220">
        <v>5</v>
      </c>
      <c r="K748" s="52">
        <v>0</v>
      </c>
      <c r="L748" s="53">
        <f>52250000-29400000+6550000</f>
        <v>29400000</v>
      </c>
      <c r="M748" s="157" t="s">
        <v>465</v>
      </c>
      <c r="N748" s="158" t="s">
        <v>113</v>
      </c>
      <c r="O748" s="268" t="s">
        <v>219</v>
      </c>
      <c r="P748" s="266" t="str">
        <f>IFERROR(VLOOKUP(C748,TD!$B$33:$F$37,2,0)," ")</f>
        <v>O230117</v>
      </c>
      <c r="Q748" s="266" t="str">
        <f>IFERROR(VLOOKUP(C748,TD!$B$33:$F$37,3,0)," ")</f>
        <v>4599</v>
      </c>
      <c r="R748" s="266">
        <f>IFERROR(VLOOKUP(C748,TD!$B$33:$F$37,4,0)," ")</f>
        <v>20240207</v>
      </c>
      <c r="S748" s="268" t="s">
        <v>185</v>
      </c>
      <c r="T748" s="227" t="str">
        <f>IFERROR(VLOOKUP(S748,TD!$J$34:$K$44,2,0)," ")</f>
        <v>Infraestructura física, mantenimiento y dotación (Sedes construidas, mantenidas reforzadas)</v>
      </c>
      <c r="U748" s="222" t="str">
        <f t="shared" si="46"/>
        <v>08-Infraestructura física, mantenimiento y dotación (Sedes construidas, mantenidas reforzadas)</v>
      </c>
      <c r="V748" s="219" t="s">
        <v>238</v>
      </c>
      <c r="W748" s="227" t="str">
        <f>IFERROR(VLOOKUP(V748,TD!$N$34:$O$46,2,0)," ")</f>
        <v>Sedes mantenidas</v>
      </c>
      <c r="X748" s="222" t="str">
        <f t="shared" si="47"/>
        <v>016_Sedes mantenidas</v>
      </c>
      <c r="Y748" s="222" t="str">
        <f t="shared" si="48"/>
        <v>08-Infraestructura física, mantenimiento y dotación (Sedes construidas, mantenidas reforzadas) 016_Sedes mantenidas</v>
      </c>
      <c r="Z748" s="266" t="str">
        <f t="shared" si="49"/>
        <v>O23011745992024020708016</v>
      </c>
      <c r="AA748" s="266" t="str">
        <f>IFERROR(VLOOKUP(Y748,TD!$K$47:$L$65,2,0)," ")</f>
        <v>PM/0131/0108/45990160207</v>
      </c>
      <c r="AB748" s="158" t="s">
        <v>138</v>
      </c>
      <c r="AC748" s="264" t="s">
        <v>204</v>
      </c>
    </row>
    <row r="749" spans="2:29" ht="125.5" customHeight="1" x14ac:dyDescent="0.35">
      <c r="B749" s="155">
        <v>20250777</v>
      </c>
      <c r="C749" s="159" t="s">
        <v>208</v>
      </c>
      <c r="D749" s="267" t="s">
        <v>164</v>
      </c>
      <c r="E749" s="268" t="s">
        <v>389</v>
      </c>
      <c r="F749" s="218" t="s">
        <v>816</v>
      </c>
      <c r="G749" s="263" t="s">
        <v>155</v>
      </c>
      <c r="H749" s="93">
        <v>80111600</v>
      </c>
      <c r="I749" s="220">
        <v>8</v>
      </c>
      <c r="J749" s="220">
        <v>5</v>
      </c>
      <c r="K749" s="52">
        <v>0</v>
      </c>
      <c r="L749" s="53">
        <v>44000000</v>
      </c>
      <c r="M749" s="157" t="s">
        <v>465</v>
      </c>
      <c r="N749" s="158" t="s">
        <v>113</v>
      </c>
      <c r="O749" s="268" t="s">
        <v>219</v>
      </c>
      <c r="P749" s="266" t="str">
        <f>IFERROR(VLOOKUP(C749,TD!$B$33:$F$37,2,0)," ")</f>
        <v>O230117</v>
      </c>
      <c r="Q749" s="266" t="str">
        <f>IFERROR(VLOOKUP(C749,TD!$B$33:$F$37,3,0)," ")</f>
        <v>4599</v>
      </c>
      <c r="R749" s="266">
        <f>IFERROR(VLOOKUP(C749,TD!$B$33:$F$37,4,0)," ")</f>
        <v>20240207</v>
      </c>
      <c r="S749" s="268" t="s">
        <v>185</v>
      </c>
      <c r="T749" s="227" t="str">
        <f>IFERROR(VLOOKUP(S749,TD!$J$34:$K$44,2,0)," ")</f>
        <v>Infraestructura física, mantenimiento y dotación (Sedes construidas, mantenidas reforzadas)</v>
      </c>
      <c r="U749" s="222" t="str">
        <f t="shared" si="46"/>
        <v>08-Infraestructura física, mantenimiento y dotación (Sedes construidas, mantenidas reforzadas)</v>
      </c>
      <c r="V749" s="219" t="s">
        <v>238</v>
      </c>
      <c r="W749" s="227" t="str">
        <f>IFERROR(VLOOKUP(V749,TD!$N$34:$O$46,2,0)," ")</f>
        <v>Sedes mantenidas</v>
      </c>
      <c r="X749" s="222" t="str">
        <f t="shared" si="47"/>
        <v>016_Sedes mantenidas</v>
      </c>
      <c r="Y749" s="222" t="str">
        <f t="shared" si="48"/>
        <v>08-Infraestructura física, mantenimiento y dotación (Sedes construidas, mantenidas reforzadas) 016_Sedes mantenidas</v>
      </c>
      <c r="Z749" s="266" t="str">
        <f t="shared" si="49"/>
        <v>O23011745992024020708016</v>
      </c>
      <c r="AA749" s="266" t="str">
        <f>IFERROR(VLOOKUP(Y749,TD!$K$47:$L$65,2,0)," ")</f>
        <v>PM/0131/0108/45990160207</v>
      </c>
      <c r="AB749" s="154" t="s">
        <v>120</v>
      </c>
      <c r="AC749" s="264" t="s">
        <v>204</v>
      </c>
    </row>
    <row r="750" spans="2:29" ht="125.5" customHeight="1" x14ac:dyDescent="0.35">
      <c r="B750" s="155">
        <v>20250778</v>
      </c>
      <c r="C750" s="159" t="s">
        <v>208</v>
      </c>
      <c r="D750" s="267" t="s">
        <v>164</v>
      </c>
      <c r="E750" s="268" t="s">
        <v>389</v>
      </c>
      <c r="F750" s="218" t="s">
        <v>717</v>
      </c>
      <c r="G750" s="263" t="s">
        <v>155</v>
      </c>
      <c r="H750" s="93">
        <v>80111600</v>
      </c>
      <c r="I750" s="220">
        <v>8</v>
      </c>
      <c r="J750" s="220">
        <v>5</v>
      </c>
      <c r="K750" s="52">
        <v>0</v>
      </c>
      <c r="L750" s="53">
        <f>82500000-45000000</f>
        <v>37500000</v>
      </c>
      <c r="M750" s="157" t="s">
        <v>465</v>
      </c>
      <c r="N750" s="158" t="s">
        <v>113</v>
      </c>
      <c r="O750" s="268" t="s">
        <v>219</v>
      </c>
      <c r="P750" s="266" t="str">
        <f>IFERROR(VLOOKUP(C750,TD!$B$33:$F$37,2,0)," ")</f>
        <v>O230117</v>
      </c>
      <c r="Q750" s="266" t="str">
        <f>IFERROR(VLOOKUP(C750,TD!$B$33:$F$37,3,0)," ")</f>
        <v>4599</v>
      </c>
      <c r="R750" s="266">
        <f>IFERROR(VLOOKUP(C750,TD!$B$33:$F$37,4,0)," ")</f>
        <v>20240207</v>
      </c>
      <c r="S750" s="268" t="s">
        <v>185</v>
      </c>
      <c r="T750" s="227" t="str">
        <f>IFERROR(VLOOKUP(S750,TD!$J$34:$K$44,2,0)," ")</f>
        <v>Infraestructura física, mantenimiento y dotación (Sedes construidas, mantenidas reforzadas)</v>
      </c>
      <c r="U750" s="222" t="str">
        <f t="shared" si="46"/>
        <v>08-Infraestructura física, mantenimiento y dotación (Sedes construidas, mantenidas reforzadas)</v>
      </c>
      <c r="V750" s="219" t="s">
        <v>238</v>
      </c>
      <c r="W750" s="227" t="str">
        <f>IFERROR(VLOOKUP(V750,TD!$N$34:$O$46,2,0)," ")</f>
        <v>Sedes mantenidas</v>
      </c>
      <c r="X750" s="222" t="str">
        <f t="shared" si="47"/>
        <v>016_Sedes mantenidas</v>
      </c>
      <c r="Y750" s="222" t="str">
        <f t="shared" si="48"/>
        <v>08-Infraestructura física, mantenimiento y dotación (Sedes construidas, mantenidas reforzadas) 016_Sedes mantenidas</v>
      </c>
      <c r="Z750" s="266" t="str">
        <f t="shared" si="49"/>
        <v>O23011745992024020708016</v>
      </c>
      <c r="AA750" s="266" t="str">
        <f>IFERROR(VLOOKUP(Y750,TD!$K$47:$L$65,2,0)," ")</f>
        <v>PM/0131/0108/45990160207</v>
      </c>
      <c r="AB750" s="154" t="s">
        <v>120</v>
      </c>
      <c r="AC750" s="264" t="s">
        <v>204</v>
      </c>
    </row>
    <row r="751" spans="2:29" ht="125.5" customHeight="1" x14ac:dyDescent="0.35">
      <c r="B751" s="155">
        <v>20250779</v>
      </c>
      <c r="C751" s="159" t="s">
        <v>208</v>
      </c>
      <c r="D751" s="267" t="s">
        <v>164</v>
      </c>
      <c r="E751" s="268" t="s">
        <v>389</v>
      </c>
      <c r="F751" s="218" t="s">
        <v>717</v>
      </c>
      <c r="G751" s="263" t="s">
        <v>155</v>
      </c>
      <c r="H751" s="93">
        <v>80111600</v>
      </c>
      <c r="I751" s="220">
        <v>8</v>
      </c>
      <c r="J751" s="220">
        <v>5</v>
      </c>
      <c r="K751" s="52">
        <v>0</v>
      </c>
      <c r="L751" s="53">
        <v>25500000</v>
      </c>
      <c r="M751" s="157" t="s">
        <v>465</v>
      </c>
      <c r="N751" s="158" t="s">
        <v>113</v>
      </c>
      <c r="O751" s="268" t="s">
        <v>219</v>
      </c>
      <c r="P751" s="266" t="str">
        <f>IFERROR(VLOOKUP(C751,TD!$B$33:$F$37,2,0)," ")</f>
        <v>O230117</v>
      </c>
      <c r="Q751" s="266" t="str">
        <f>IFERROR(VLOOKUP(C751,TD!$B$33:$F$37,3,0)," ")</f>
        <v>4599</v>
      </c>
      <c r="R751" s="266">
        <f>IFERROR(VLOOKUP(C751,TD!$B$33:$F$37,4,0)," ")</f>
        <v>20240207</v>
      </c>
      <c r="S751" s="268" t="s">
        <v>185</v>
      </c>
      <c r="T751" s="227" t="str">
        <f>IFERROR(VLOOKUP(S751,TD!$J$34:$K$44,2,0)," ")</f>
        <v>Infraestructura física, mantenimiento y dotación (Sedes construidas, mantenidas reforzadas)</v>
      </c>
      <c r="U751" s="222" t="str">
        <f t="shared" si="46"/>
        <v>08-Infraestructura física, mantenimiento y dotación (Sedes construidas, mantenidas reforzadas)</v>
      </c>
      <c r="V751" s="219" t="s">
        <v>238</v>
      </c>
      <c r="W751" s="227" t="str">
        <f>IFERROR(VLOOKUP(V751,TD!$N$34:$O$46,2,0)," ")</f>
        <v>Sedes mantenidas</v>
      </c>
      <c r="X751" s="222" t="str">
        <f t="shared" si="47"/>
        <v>016_Sedes mantenidas</v>
      </c>
      <c r="Y751" s="222" t="str">
        <f t="shared" si="48"/>
        <v>08-Infraestructura física, mantenimiento y dotación (Sedes construidas, mantenidas reforzadas) 016_Sedes mantenidas</v>
      </c>
      <c r="Z751" s="266" t="str">
        <f t="shared" si="49"/>
        <v>O23011745992024020708016</v>
      </c>
      <c r="AA751" s="266" t="str">
        <f>IFERROR(VLOOKUP(Y751,TD!$K$47:$L$65,2,0)," ")</f>
        <v>PM/0131/0108/45990160207</v>
      </c>
      <c r="AB751" s="154" t="s">
        <v>120</v>
      </c>
      <c r="AC751" s="264" t="s">
        <v>204</v>
      </c>
    </row>
    <row r="752" spans="2:29" ht="125.5" customHeight="1" x14ac:dyDescent="0.35">
      <c r="B752" s="155">
        <v>20250780</v>
      </c>
      <c r="C752" s="159" t="s">
        <v>208</v>
      </c>
      <c r="D752" s="267" t="s">
        <v>164</v>
      </c>
      <c r="E752" s="268" t="s">
        <v>389</v>
      </c>
      <c r="F752" s="218" t="s">
        <v>1017</v>
      </c>
      <c r="G752" s="263" t="s">
        <v>155</v>
      </c>
      <c r="H752" s="93">
        <v>80111600</v>
      </c>
      <c r="I752" s="220">
        <v>8</v>
      </c>
      <c r="J752" s="220">
        <v>5</v>
      </c>
      <c r="K752" s="52">
        <v>0</v>
      </c>
      <c r="L752" s="53">
        <v>7500000</v>
      </c>
      <c r="M752" s="157" t="s">
        <v>465</v>
      </c>
      <c r="N752" s="158" t="s">
        <v>113</v>
      </c>
      <c r="O752" s="268" t="s">
        <v>219</v>
      </c>
      <c r="P752" s="266" t="str">
        <f>IFERROR(VLOOKUP(C752,TD!$B$33:$F$37,2,0)," ")</f>
        <v>O230117</v>
      </c>
      <c r="Q752" s="266" t="str">
        <f>IFERROR(VLOOKUP(C752,TD!$B$33:$F$37,3,0)," ")</f>
        <v>4599</v>
      </c>
      <c r="R752" s="266">
        <f>IFERROR(VLOOKUP(C752,TD!$B$33:$F$37,4,0)," ")</f>
        <v>20240207</v>
      </c>
      <c r="S752" s="268" t="s">
        <v>185</v>
      </c>
      <c r="T752" s="227" t="str">
        <f>IFERROR(VLOOKUP(S752,TD!$J$34:$K$44,2,0)," ")</f>
        <v>Infraestructura física, mantenimiento y dotación (Sedes construidas, mantenidas reforzadas)</v>
      </c>
      <c r="U752" s="222" t="str">
        <f t="shared" si="46"/>
        <v>08-Infraestructura física, mantenimiento y dotación (Sedes construidas, mantenidas reforzadas)</v>
      </c>
      <c r="V752" s="219" t="s">
        <v>238</v>
      </c>
      <c r="W752" s="227" t="str">
        <f>IFERROR(VLOOKUP(V752,TD!$N$34:$O$46,2,0)," ")</f>
        <v>Sedes mantenidas</v>
      </c>
      <c r="X752" s="222" t="str">
        <f t="shared" si="47"/>
        <v>016_Sedes mantenidas</v>
      </c>
      <c r="Y752" s="222" t="str">
        <f t="shared" si="48"/>
        <v>08-Infraestructura física, mantenimiento y dotación (Sedes construidas, mantenidas reforzadas) 016_Sedes mantenidas</v>
      </c>
      <c r="Z752" s="266" t="str">
        <f t="shared" si="49"/>
        <v>O23011745992024020708016</v>
      </c>
      <c r="AA752" s="266" t="str">
        <f>IFERROR(VLOOKUP(Y752,TD!$K$47:$L$65,2,0)," ")</f>
        <v>PM/0131/0108/45990160207</v>
      </c>
      <c r="AB752" s="154" t="s">
        <v>120</v>
      </c>
      <c r="AC752" s="264" t="s">
        <v>205</v>
      </c>
    </row>
    <row r="753" spans="2:29" ht="125.5" customHeight="1" x14ac:dyDescent="0.35">
      <c r="B753" s="155">
        <v>20250781</v>
      </c>
      <c r="C753" s="159" t="s">
        <v>208</v>
      </c>
      <c r="D753" s="267" t="s">
        <v>164</v>
      </c>
      <c r="E753" s="268" t="s">
        <v>389</v>
      </c>
      <c r="F753" s="254" t="s">
        <v>718</v>
      </c>
      <c r="G753" s="263" t="s">
        <v>155</v>
      </c>
      <c r="H753" s="93">
        <v>80111600</v>
      </c>
      <c r="I753" s="220">
        <v>8</v>
      </c>
      <c r="J753" s="220">
        <v>5</v>
      </c>
      <c r="K753" s="52">
        <v>0</v>
      </c>
      <c r="L753" s="53">
        <v>42000000</v>
      </c>
      <c r="M753" s="157" t="s">
        <v>465</v>
      </c>
      <c r="N753" s="158" t="s">
        <v>113</v>
      </c>
      <c r="O753" s="268" t="s">
        <v>219</v>
      </c>
      <c r="P753" s="266" t="str">
        <f>IFERROR(VLOOKUP(C753,TD!$B$33:$F$37,2,0)," ")</f>
        <v>O230117</v>
      </c>
      <c r="Q753" s="266" t="str">
        <f>IFERROR(VLOOKUP(C753,TD!$B$33:$F$37,3,0)," ")</f>
        <v>4599</v>
      </c>
      <c r="R753" s="266">
        <f>IFERROR(VLOOKUP(C753,TD!$B$33:$F$37,4,0)," ")</f>
        <v>20240207</v>
      </c>
      <c r="S753" s="268" t="s">
        <v>185</v>
      </c>
      <c r="T753" s="227" t="str">
        <f>IFERROR(VLOOKUP(S753,TD!$J$34:$K$44,2,0)," ")</f>
        <v>Infraestructura física, mantenimiento y dotación (Sedes construidas, mantenidas reforzadas)</v>
      </c>
      <c r="U753" s="222" t="str">
        <f t="shared" si="46"/>
        <v>08-Infraestructura física, mantenimiento y dotación (Sedes construidas, mantenidas reforzadas)</v>
      </c>
      <c r="V753" s="219" t="s">
        <v>238</v>
      </c>
      <c r="W753" s="227" t="str">
        <f>IFERROR(VLOOKUP(V753,TD!$N$34:$O$46,2,0)," ")</f>
        <v>Sedes mantenidas</v>
      </c>
      <c r="X753" s="222" t="str">
        <f t="shared" si="47"/>
        <v>016_Sedes mantenidas</v>
      </c>
      <c r="Y753" s="222" t="str">
        <f t="shared" si="48"/>
        <v>08-Infraestructura física, mantenimiento y dotación (Sedes construidas, mantenidas reforzadas) 016_Sedes mantenidas</v>
      </c>
      <c r="Z753" s="266" t="str">
        <f t="shared" si="49"/>
        <v>O23011745992024020708016</v>
      </c>
      <c r="AA753" s="266" t="str">
        <f>IFERROR(VLOOKUP(Y753,TD!$K$47:$L$65,2,0)," ")</f>
        <v>PM/0131/0108/45990160207</v>
      </c>
      <c r="AB753" s="154" t="s">
        <v>120</v>
      </c>
      <c r="AC753" s="264" t="s">
        <v>204</v>
      </c>
    </row>
    <row r="754" spans="2:29" ht="125.5" customHeight="1" x14ac:dyDescent="0.35">
      <c r="B754" s="147">
        <v>20250782</v>
      </c>
      <c r="C754" s="182" t="s">
        <v>208</v>
      </c>
      <c r="D754" s="267" t="s">
        <v>164</v>
      </c>
      <c r="E754" s="268" t="s">
        <v>389</v>
      </c>
      <c r="F754" s="254" t="s">
        <v>717</v>
      </c>
      <c r="G754" s="270" t="s">
        <v>155</v>
      </c>
      <c r="H754" s="138">
        <v>80111600</v>
      </c>
      <c r="I754" s="255">
        <v>8</v>
      </c>
      <c r="J754" s="255">
        <v>5</v>
      </c>
      <c r="K754" s="139">
        <v>0</v>
      </c>
      <c r="L754" s="135">
        <f>71500000-39000000</f>
        <v>32500000</v>
      </c>
      <c r="M754" s="187" t="s">
        <v>465</v>
      </c>
      <c r="N754" s="190" t="s">
        <v>113</v>
      </c>
      <c r="O754" s="271" t="s">
        <v>219</v>
      </c>
      <c r="P754" s="272" t="str">
        <f>IFERROR(VLOOKUP(C754,TD!$B$33:$F$37,2,0)," ")</f>
        <v>O230117</v>
      </c>
      <c r="Q754" s="272" t="str">
        <f>IFERROR(VLOOKUP(C754,TD!$B$33:$F$37,3,0)," ")</f>
        <v>4599</v>
      </c>
      <c r="R754" s="272">
        <f>IFERROR(VLOOKUP(C754,TD!$B$33:$F$37,4,0)," ")</f>
        <v>20240207</v>
      </c>
      <c r="S754" s="271" t="s">
        <v>185</v>
      </c>
      <c r="T754" s="249" t="str">
        <f>IFERROR(VLOOKUP(S754,TD!$J$34:$K$44,2,0)," ")</f>
        <v>Infraestructura física, mantenimiento y dotación (Sedes construidas, mantenidas reforzadas)</v>
      </c>
      <c r="U754" s="251" t="str">
        <f t="shared" si="46"/>
        <v>08-Infraestructura física, mantenimiento y dotación (Sedes construidas, mantenidas reforzadas)</v>
      </c>
      <c r="V754" s="253" t="s">
        <v>238</v>
      </c>
      <c r="W754" s="249" t="str">
        <f>IFERROR(VLOOKUP(V754,TD!$N$34:$O$46,2,0)," ")</f>
        <v>Sedes mantenidas</v>
      </c>
      <c r="X754" s="251" t="str">
        <f t="shared" si="47"/>
        <v>016_Sedes mantenidas</v>
      </c>
      <c r="Y754" s="251" t="str">
        <f t="shared" si="48"/>
        <v>08-Infraestructura física, mantenimiento y dotación (Sedes construidas, mantenidas reforzadas) 016_Sedes mantenidas</v>
      </c>
      <c r="Z754" s="272" t="str">
        <f t="shared" si="49"/>
        <v>O23011745992024020708016</v>
      </c>
      <c r="AA754" s="272" t="str">
        <f>IFERROR(VLOOKUP(Y754,TD!$K$47:$L$65,2,0)," ")</f>
        <v>PM/0131/0108/45990160207</v>
      </c>
      <c r="AB754" s="151" t="s">
        <v>120</v>
      </c>
      <c r="AC754" s="273" t="s">
        <v>204</v>
      </c>
    </row>
    <row r="755" spans="2:29" ht="99" customHeight="1" x14ac:dyDescent="0.35">
      <c r="B755" s="147">
        <v>20250783</v>
      </c>
      <c r="C755" s="182" t="s">
        <v>208</v>
      </c>
      <c r="D755" s="274" t="s">
        <v>164</v>
      </c>
      <c r="E755" s="271" t="s">
        <v>389</v>
      </c>
      <c r="F755" s="254" t="s">
        <v>717</v>
      </c>
      <c r="G755" s="270" t="s">
        <v>155</v>
      </c>
      <c r="H755" s="138">
        <v>80111600</v>
      </c>
      <c r="I755" s="255">
        <v>8</v>
      </c>
      <c r="J755" s="255">
        <v>3</v>
      </c>
      <c r="K755" s="139">
        <v>0</v>
      </c>
      <c r="L755" s="135">
        <v>22500000</v>
      </c>
      <c r="M755" s="187" t="s">
        <v>465</v>
      </c>
      <c r="N755" s="190" t="s">
        <v>113</v>
      </c>
      <c r="O755" s="271" t="s">
        <v>219</v>
      </c>
      <c r="P755" s="272" t="str">
        <f>IFERROR(VLOOKUP(C755,TD!$B$33:$F$37,2,0)," ")</f>
        <v>O230117</v>
      </c>
      <c r="Q755" s="272" t="str">
        <f>IFERROR(VLOOKUP(C755,TD!$B$33:$F$37,3,0)," ")</f>
        <v>4599</v>
      </c>
      <c r="R755" s="272">
        <f>IFERROR(VLOOKUP(C755,TD!$B$33:$F$37,4,0)," ")</f>
        <v>20240207</v>
      </c>
      <c r="S755" s="271" t="s">
        <v>185</v>
      </c>
      <c r="T755" s="249" t="str">
        <f>IFERROR(VLOOKUP(S755,TD!$J$34:$K$44,2,0)," ")</f>
        <v>Infraestructura física, mantenimiento y dotación (Sedes construidas, mantenidas reforzadas)</v>
      </c>
      <c r="U755" s="251" t="str">
        <f t="shared" si="46"/>
        <v>08-Infraestructura física, mantenimiento y dotación (Sedes construidas, mantenidas reforzadas)</v>
      </c>
      <c r="V755" s="253" t="s">
        <v>238</v>
      </c>
      <c r="W755" s="249" t="str">
        <f>IFERROR(VLOOKUP(V755,TD!$N$34:$O$46,2,0)," ")</f>
        <v>Sedes mantenidas</v>
      </c>
      <c r="X755" s="251" t="str">
        <f t="shared" si="47"/>
        <v>016_Sedes mantenidas</v>
      </c>
      <c r="Y755" s="251" t="str">
        <f t="shared" si="48"/>
        <v>08-Infraestructura física, mantenimiento y dotación (Sedes construidas, mantenidas reforzadas) 016_Sedes mantenidas</v>
      </c>
      <c r="Z755" s="272" t="str">
        <f t="shared" si="49"/>
        <v>O23011745992024020708016</v>
      </c>
      <c r="AA755" s="272" t="str">
        <f>IFERROR(VLOOKUP(Y755,TD!$K$47:$L$65,2,0)," ")</f>
        <v>PM/0131/0108/45990160207</v>
      </c>
      <c r="AB755" s="151" t="s">
        <v>120</v>
      </c>
      <c r="AC755" s="273" t="s">
        <v>204</v>
      </c>
    </row>
    <row r="756" spans="2:29" ht="99" customHeight="1" x14ac:dyDescent="0.35">
      <c r="B756" s="153">
        <v>20250784</v>
      </c>
      <c r="C756" s="182" t="s">
        <v>208</v>
      </c>
      <c r="D756" s="267" t="s">
        <v>164</v>
      </c>
      <c r="E756" s="268" t="s">
        <v>389</v>
      </c>
      <c r="F756" s="218" t="s">
        <v>717</v>
      </c>
      <c r="G756" s="263" t="s">
        <v>155</v>
      </c>
      <c r="H756" s="93">
        <v>80111600</v>
      </c>
      <c r="I756" s="220">
        <v>8</v>
      </c>
      <c r="J756" s="220">
        <v>3</v>
      </c>
      <c r="K756" s="52">
        <v>0</v>
      </c>
      <c r="L756" s="53">
        <v>45000000</v>
      </c>
      <c r="M756" s="187" t="s">
        <v>465</v>
      </c>
      <c r="N756" s="190" t="s">
        <v>113</v>
      </c>
      <c r="O756" s="271" t="s">
        <v>219</v>
      </c>
      <c r="P756" s="272" t="str">
        <f>IFERROR(VLOOKUP(C756,TD!$B$33:$F$37,2,0)," ")</f>
        <v>O230117</v>
      </c>
      <c r="Q756" s="272" t="str">
        <f>IFERROR(VLOOKUP(C756,TD!$B$33:$F$37,3,0)," ")</f>
        <v>4599</v>
      </c>
      <c r="R756" s="272">
        <f>IFERROR(VLOOKUP(C756,TD!$B$33:$F$37,4,0)," ")</f>
        <v>20240207</v>
      </c>
      <c r="S756" s="271" t="s">
        <v>185</v>
      </c>
      <c r="T756" s="249" t="str">
        <f>IFERROR(VLOOKUP(S756,TD!$J$34:$K$44,2,0)," ")</f>
        <v>Infraestructura física, mantenimiento y dotación (Sedes construidas, mantenidas reforzadas)</v>
      </c>
      <c r="U756" s="251" t="str">
        <f t="shared" si="46"/>
        <v>08-Infraestructura física, mantenimiento y dotación (Sedes construidas, mantenidas reforzadas)</v>
      </c>
      <c r="V756" s="253" t="s">
        <v>238</v>
      </c>
      <c r="W756" s="249" t="str">
        <f>IFERROR(VLOOKUP(V756,TD!$N$34:$O$46,2,0)," ")</f>
        <v>Sedes mantenidas</v>
      </c>
      <c r="X756" s="251" t="str">
        <f t="shared" si="47"/>
        <v>016_Sedes mantenidas</v>
      </c>
      <c r="Y756" s="251" t="str">
        <f t="shared" si="48"/>
        <v>08-Infraestructura física, mantenimiento y dotación (Sedes construidas, mantenidas reforzadas) 016_Sedes mantenidas</v>
      </c>
      <c r="Z756" s="272" t="str">
        <f t="shared" si="49"/>
        <v>O23011745992024020708016</v>
      </c>
      <c r="AA756" s="272" t="str">
        <f>IFERROR(VLOOKUP(Y756,TD!$K$47:$L$65,2,0)," ")</f>
        <v>PM/0131/0108/45990160207</v>
      </c>
      <c r="AB756" s="151" t="s">
        <v>120</v>
      </c>
      <c r="AC756" s="273" t="s">
        <v>204</v>
      </c>
    </row>
    <row r="757" spans="2:29" ht="99" customHeight="1" x14ac:dyDescent="0.35">
      <c r="B757" s="147">
        <v>20250785</v>
      </c>
      <c r="C757" s="182" t="s">
        <v>208</v>
      </c>
      <c r="D757" s="267" t="s">
        <v>164</v>
      </c>
      <c r="E757" s="268" t="s">
        <v>389</v>
      </c>
      <c r="F757" s="254" t="s">
        <v>719</v>
      </c>
      <c r="G757" s="263" t="s">
        <v>155</v>
      </c>
      <c r="H757" s="138">
        <v>80111600</v>
      </c>
      <c r="I757" s="255">
        <v>8</v>
      </c>
      <c r="J757" s="255">
        <v>3</v>
      </c>
      <c r="K757" s="139">
        <v>0</v>
      </c>
      <c r="L757" s="135">
        <v>37200000</v>
      </c>
      <c r="M757" s="187" t="s">
        <v>465</v>
      </c>
      <c r="N757" s="190" t="s">
        <v>113</v>
      </c>
      <c r="O757" s="271" t="s">
        <v>219</v>
      </c>
      <c r="P757" s="272" t="str">
        <f>IFERROR(VLOOKUP(C757,TD!$B$33:$F$37,2,0)," ")</f>
        <v>O230117</v>
      </c>
      <c r="Q757" s="272" t="str">
        <f>IFERROR(VLOOKUP(C757,TD!$B$33:$F$37,3,0)," ")</f>
        <v>4599</v>
      </c>
      <c r="R757" s="272">
        <f>IFERROR(VLOOKUP(C757,TD!$B$33:$F$37,4,0)," ")</f>
        <v>20240207</v>
      </c>
      <c r="S757" s="271" t="s">
        <v>185</v>
      </c>
      <c r="T757" s="249" t="str">
        <f>IFERROR(VLOOKUP(S757,TD!$J$34:$K$44,2,0)," ")</f>
        <v>Infraestructura física, mantenimiento y dotación (Sedes construidas, mantenidas reforzadas)</v>
      </c>
      <c r="U757" s="251" t="str">
        <f t="shared" si="46"/>
        <v>08-Infraestructura física, mantenimiento y dotación (Sedes construidas, mantenidas reforzadas)</v>
      </c>
      <c r="V757" s="253" t="s">
        <v>238</v>
      </c>
      <c r="W757" s="249" t="str">
        <f>IFERROR(VLOOKUP(V757,TD!$N$34:$O$46,2,0)," ")</f>
        <v>Sedes mantenidas</v>
      </c>
      <c r="X757" s="251" t="str">
        <f t="shared" si="47"/>
        <v>016_Sedes mantenidas</v>
      </c>
      <c r="Y757" s="251" t="str">
        <f t="shared" si="48"/>
        <v>08-Infraestructura física, mantenimiento y dotación (Sedes construidas, mantenidas reforzadas) 016_Sedes mantenidas</v>
      </c>
      <c r="Z757" s="272" t="str">
        <f t="shared" si="49"/>
        <v>O23011745992024020708016</v>
      </c>
      <c r="AA757" s="272" t="str">
        <f>IFERROR(VLOOKUP(Y757,TD!$K$47:$L$65,2,0)," ")</f>
        <v>PM/0131/0108/45990160207</v>
      </c>
      <c r="AB757" s="151" t="s">
        <v>138</v>
      </c>
      <c r="AC757" s="273" t="s">
        <v>204</v>
      </c>
    </row>
    <row r="758" spans="2:29" ht="99" customHeight="1" x14ac:dyDescent="0.35">
      <c r="B758" s="147">
        <v>20250786</v>
      </c>
      <c r="C758" s="182" t="s">
        <v>208</v>
      </c>
      <c r="D758" s="267" t="s">
        <v>164</v>
      </c>
      <c r="E758" s="268" t="s">
        <v>389</v>
      </c>
      <c r="F758" s="254" t="s">
        <v>719</v>
      </c>
      <c r="G758" s="263" t="s">
        <v>155</v>
      </c>
      <c r="H758" s="138">
        <v>80111600</v>
      </c>
      <c r="I758" s="255">
        <v>8</v>
      </c>
      <c r="J758" s="255">
        <v>3</v>
      </c>
      <c r="K758" s="139">
        <v>0</v>
      </c>
      <c r="L758" s="135">
        <v>23750000</v>
      </c>
      <c r="M758" s="187" t="s">
        <v>465</v>
      </c>
      <c r="N758" s="190" t="s">
        <v>113</v>
      </c>
      <c r="O758" s="271" t="s">
        <v>219</v>
      </c>
      <c r="P758" s="272" t="str">
        <f>IFERROR(VLOOKUP(C758,TD!$B$33:$F$37,2,0)," ")</f>
        <v>O230117</v>
      </c>
      <c r="Q758" s="272" t="str">
        <f>IFERROR(VLOOKUP(C758,TD!$B$33:$F$37,3,0)," ")</f>
        <v>4599</v>
      </c>
      <c r="R758" s="272">
        <f>IFERROR(VLOOKUP(C758,TD!$B$33:$F$37,4,0)," ")</f>
        <v>20240207</v>
      </c>
      <c r="S758" s="271" t="s">
        <v>185</v>
      </c>
      <c r="T758" s="249" t="str">
        <f>IFERROR(VLOOKUP(S758,TD!$J$34:$K$44,2,0)," ")</f>
        <v>Infraestructura física, mantenimiento y dotación (Sedes construidas, mantenidas reforzadas)</v>
      </c>
      <c r="U758" s="251" t="str">
        <f t="shared" si="46"/>
        <v>08-Infraestructura física, mantenimiento y dotación (Sedes construidas, mantenidas reforzadas)</v>
      </c>
      <c r="V758" s="253" t="s">
        <v>238</v>
      </c>
      <c r="W758" s="249" t="str">
        <f>IFERROR(VLOOKUP(V758,TD!$N$34:$O$46,2,0)," ")</f>
        <v>Sedes mantenidas</v>
      </c>
      <c r="X758" s="251" t="str">
        <f t="shared" si="47"/>
        <v>016_Sedes mantenidas</v>
      </c>
      <c r="Y758" s="251" t="str">
        <f t="shared" si="48"/>
        <v>08-Infraestructura física, mantenimiento y dotación (Sedes construidas, mantenidas reforzadas) 016_Sedes mantenidas</v>
      </c>
      <c r="Z758" s="272" t="str">
        <f t="shared" si="49"/>
        <v>O23011745992024020708016</v>
      </c>
      <c r="AA758" s="272" t="str">
        <f>IFERROR(VLOOKUP(Y758,TD!$K$47:$L$65,2,0)," ")</f>
        <v>PM/0131/0108/45990160207</v>
      </c>
      <c r="AB758" s="151" t="s">
        <v>138</v>
      </c>
      <c r="AC758" s="273" t="s">
        <v>204</v>
      </c>
    </row>
    <row r="759" spans="2:29" ht="99" customHeight="1" x14ac:dyDescent="0.35">
      <c r="B759" s="147">
        <v>20250787</v>
      </c>
      <c r="C759" s="182" t="s">
        <v>208</v>
      </c>
      <c r="D759" s="267" t="s">
        <v>164</v>
      </c>
      <c r="E759" s="268" t="s">
        <v>389</v>
      </c>
      <c r="F759" s="254" t="s">
        <v>719</v>
      </c>
      <c r="G759" s="270" t="s">
        <v>155</v>
      </c>
      <c r="H759" s="138">
        <v>80111600</v>
      </c>
      <c r="I759" s="255">
        <v>8</v>
      </c>
      <c r="J759" s="255">
        <v>3</v>
      </c>
      <c r="K759" s="139">
        <v>0</v>
      </c>
      <c r="L759" s="135">
        <v>34100000</v>
      </c>
      <c r="M759" s="187" t="s">
        <v>465</v>
      </c>
      <c r="N759" s="190" t="s">
        <v>113</v>
      </c>
      <c r="O759" s="271" t="s">
        <v>219</v>
      </c>
      <c r="P759" s="272" t="str">
        <f>IFERROR(VLOOKUP(C759,TD!$B$33:$F$37,2,0)," ")</f>
        <v>O230117</v>
      </c>
      <c r="Q759" s="272" t="str">
        <f>IFERROR(VLOOKUP(C759,TD!$B$33:$F$37,3,0)," ")</f>
        <v>4599</v>
      </c>
      <c r="R759" s="272">
        <f>IFERROR(VLOOKUP(C759,TD!$B$33:$F$37,4,0)," ")</f>
        <v>20240207</v>
      </c>
      <c r="S759" s="271" t="s">
        <v>185</v>
      </c>
      <c r="T759" s="249" t="str">
        <f>IFERROR(VLOOKUP(S759,TD!$J$34:$K$44,2,0)," ")</f>
        <v>Infraestructura física, mantenimiento y dotación (Sedes construidas, mantenidas reforzadas)</v>
      </c>
      <c r="U759" s="251" t="str">
        <f t="shared" si="46"/>
        <v>08-Infraestructura física, mantenimiento y dotación (Sedes construidas, mantenidas reforzadas)</v>
      </c>
      <c r="V759" s="253" t="s">
        <v>238</v>
      </c>
      <c r="W759" s="249" t="str">
        <f>IFERROR(VLOOKUP(V759,TD!$N$34:$O$46,2,0)," ")</f>
        <v>Sedes mantenidas</v>
      </c>
      <c r="X759" s="251" t="str">
        <f t="shared" si="47"/>
        <v>016_Sedes mantenidas</v>
      </c>
      <c r="Y759" s="251" t="str">
        <f t="shared" si="48"/>
        <v>08-Infraestructura física, mantenimiento y dotación (Sedes construidas, mantenidas reforzadas) 016_Sedes mantenidas</v>
      </c>
      <c r="Z759" s="272" t="str">
        <f t="shared" si="49"/>
        <v>O23011745992024020708016</v>
      </c>
      <c r="AA759" s="272" t="str">
        <f>IFERROR(VLOOKUP(Y759,TD!$K$47:$L$65,2,0)," ")</f>
        <v>PM/0131/0108/45990160207</v>
      </c>
      <c r="AB759" s="151" t="s">
        <v>138</v>
      </c>
      <c r="AC759" s="273" t="s">
        <v>204</v>
      </c>
    </row>
    <row r="760" spans="2:29" ht="99" customHeight="1" x14ac:dyDescent="0.35">
      <c r="B760" s="147">
        <v>20250788</v>
      </c>
      <c r="C760" s="182" t="s">
        <v>208</v>
      </c>
      <c r="D760" s="267" t="s">
        <v>164</v>
      </c>
      <c r="E760" s="268" t="s">
        <v>389</v>
      </c>
      <c r="F760" s="254" t="s">
        <v>719</v>
      </c>
      <c r="G760" s="263" t="s">
        <v>155</v>
      </c>
      <c r="H760" s="138">
        <v>80111600</v>
      </c>
      <c r="I760" s="255">
        <v>8</v>
      </c>
      <c r="J760" s="255">
        <v>3</v>
      </c>
      <c r="K760" s="139">
        <v>0</v>
      </c>
      <c r="L760" s="135">
        <v>34100000</v>
      </c>
      <c r="M760" s="187" t="s">
        <v>465</v>
      </c>
      <c r="N760" s="190" t="s">
        <v>113</v>
      </c>
      <c r="O760" s="271" t="s">
        <v>219</v>
      </c>
      <c r="P760" s="272" t="str">
        <f>IFERROR(VLOOKUP(C760,TD!$B$33:$F$37,2,0)," ")</f>
        <v>O230117</v>
      </c>
      <c r="Q760" s="272" t="str">
        <f>IFERROR(VLOOKUP(C760,TD!$B$33:$F$37,3,0)," ")</f>
        <v>4599</v>
      </c>
      <c r="R760" s="272">
        <f>IFERROR(VLOOKUP(C760,TD!$B$33:$F$37,4,0)," ")</f>
        <v>20240207</v>
      </c>
      <c r="S760" s="271" t="s">
        <v>185</v>
      </c>
      <c r="T760" s="249" t="str">
        <f>IFERROR(VLOOKUP(S760,TD!$J$34:$K$44,2,0)," ")</f>
        <v>Infraestructura física, mantenimiento y dotación (Sedes construidas, mantenidas reforzadas)</v>
      </c>
      <c r="U760" s="251" t="str">
        <f t="shared" si="46"/>
        <v>08-Infraestructura física, mantenimiento y dotación (Sedes construidas, mantenidas reforzadas)</v>
      </c>
      <c r="V760" s="253" t="s">
        <v>238</v>
      </c>
      <c r="W760" s="249" t="str">
        <f>IFERROR(VLOOKUP(V760,TD!$N$34:$O$46,2,0)," ")</f>
        <v>Sedes mantenidas</v>
      </c>
      <c r="X760" s="251" t="str">
        <f t="shared" si="47"/>
        <v>016_Sedes mantenidas</v>
      </c>
      <c r="Y760" s="251" t="str">
        <f t="shared" si="48"/>
        <v>08-Infraestructura física, mantenimiento y dotación (Sedes construidas, mantenidas reforzadas) 016_Sedes mantenidas</v>
      </c>
      <c r="Z760" s="272" t="str">
        <f t="shared" si="49"/>
        <v>O23011745992024020708016</v>
      </c>
      <c r="AA760" s="272" t="str">
        <f>IFERROR(VLOOKUP(Y760,TD!$K$47:$L$65,2,0)," ")</f>
        <v>PM/0131/0108/45990160207</v>
      </c>
      <c r="AB760" s="151" t="s">
        <v>138</v>
      </c>
      <c r="AC760" s="273" t="s">
        <v>204</v>
      </c>
    </row>
    <row r="761" spans="2:29" ht="99" customHeight="1" x14ac:dyDescent="0.35">
      <c r="B761" s="147">
        <v>20250789</v>
      </c>
      <c r="C761" s="182" t="s">
        <v>208</v>
      </c>
      <c r="D761" s="267" t="s">
        <v>164</v>
      </c>
      <c r="E761" s="268" t="s">
        <v>389</v>
      </c>
      <c r="F761" s="254" t="s">
        <v>388</v>
      </c>
      <c r="G761" s="263" t="s">
        <v>155</v>
      </c>
      <c r="H761" s="138">
        <v>80111600</v>
      </c>
      <c r="I761" s="255">
        <v>8</v>
      </c>
      <c r="J761" s="255">
        <v>3</v>
      </c>
      <c r="K761" s="139">
        <v>0</v>
      </c>
      <c r="L761" s="135">
        <f>91850000-50100000</f>
        <v>41750000</v>
      </c>
      <c r="M761" s="187" t="s">
        <v>465</v>
      </c>
      <c r="N761" s="190" t="s">
        <v>113</v>
      </c>
      <c r="O761" s="271" t="s">
        <v>219</v>
      </c>
      <c r="P761" s="272" t="str">
        <f>IFERROR(VLOOKUP(C761,TD!$B$33:$F$37,2,0)," ")</f>
        <v>O230117</v>
      </c>
      <c r="Q761" s="272" t="str">
        <f>IFERROR(VLOOKUP(C761,TD!$B$33:$F$37,3,0)," ")</f>
        <v>4599</v>
      </c>
      <c r="R761" s="272">
        <f>IFERROR(VLOOKUP(C761,TD!$B$33:$F$37,4,0)," ")</f>
        <v>20240207</v>
      </c>
      <c r="S761" s="271" t="s">
        <v>185</v>
      </c>
      <c r="T761" s="249" t="str">
        <f>IFERROR(VLOOKUP(S761,TD!$J$34:$K$44,2,0)," ")</f>
        <v>Infraestructura física, mantenimiento y dotación (Sedes construidas, mantenidas reforzadas)</v>
      </c>
      <c r="U761" s="251" t="str">
        <f t="shared" si="46"/>
        <v>08-Infraestructura física, mantenimiento y dotación (Sedes construidas, mantenidas reforzadas)</v>
      </c>
      <c r="V761" s="253" t="s">
        <v>238</v>
      </c>
      <c r="W761" s="249" t="str">
        <f>IFERROR(VLOOKUP(V761,TD!$N$34:$O$46,2,0)," ")</f>
        <v>Sedes mantenidas</v>
      </c>
      <c r="X761" s="251" t="str">
        <f t="shared" si="47"/>
        <v>016_Sedes mantenidas</v>
      </c>
      <c r="Y761" s="251" t="str">
        <f t="shared" si="48"/>
        <v>08-Infraestructura física, mantenimiento y dotación (Sedes construidas, mantenidas reforzadas) 016_Sedes mantenidas</v>
      </c>
      <c r="Z761" s="272" t="str">
        <f t="shared" si="49"/>
        <v>O23011745992024020708016</v>
      </c>
      <c r="AA761" s="272" t="str">
        <f>IFERROR(VLOOKUP(Y761,TD!$K$47:$L$65,2,0)," ")</f>
        <v>PM/0131/0108/45990160207</v>
      </c>
      <c r="AB761" s="151" t="s">
        <v>138</v>
      </c>
      <c r="AC761" s="273" t="s">
        <v>204</v>
      </c>
    </row>
    <row r="762" spans="2:29" ht="99" customHeight="1" x14ac:dyDescent="0.35">
      <c r="B762" s="147">
        <v>20250790</v>
      </c>
      <c r="C762" s="182" t="s">
        <v>208</v>
      </c>
      <c r="D762" s="267" t="s">
        <v>164</v>
      </c>
      <c r="E762" s="268" t="s">
        <v>389</v>
      </c>
      <c r="F762" s="254" t="s">
        <v>459</v>
      </c>
      <c r="G762" s="263" t="s">
        <v>155</v>
      </c>
      <c r="H762" s="138">
        <v>80111600</v>
      </c>
      <c r="I762" s="255">
        <v>8</v>
      </c>
      <c r="J762" s="255">
        <v>3</v>
      </c>
      <c r="K762" s="139">
        <v>0</v>
      </c>
      <c r="L762" s="145">
        <f>346500000-283500000-40000000+22000000+18250000+3400000+3400000+2950000</f>
        <v>73000000</v>
      </c>
      <c r="M762" s="187" t="s">
        <v>465</v>
      </c>
      <c r="N762" s="190" t="s">
        <v>113</v>
      </c>
      <c r="O762" s="271" t="s">
        <v>219</v>
      </c>
      <c r="P762" s="272" t="str">
        <f>IFERROR(VLOOKUP(C762,TD!$B$33:$F$37,2,0)," ")</f>
        <v>O230117</v>
      </c>
      <c r="Q762" s="272" t="str">
        <f>IFERROR(VLOOKUP(C762,TD!$B$33:$F$37,3,0)," ")</f>
        <v>4599</v>
      </c>
      <c r="R762" s="272">
        <f>IFERROR(VLOOKUP(C762,TD!$B$33:$F$37,4,0)," ")</f>
        <v>20240207</v>
      </c>
      <c r="S762" s="271" t="s">
        <v>185</v>
      </c>
      <c r="T762" s="249" t="str">
        <f>IFERROR(VLOOKUP(S762,TD!$J$34:$K$44,2,0)," ")</f>
        <v>Infraestructura física, mantenimiento y dotación (Sedes construidas, mantenidas reforzadas)</v>
      </c>
      <c r="U762" s="251" t="str">
        <f t="shared" si="46"/>
        <v>08-Infraestructura física, mantenimiento y dotación (Sedes construidas, mantenidas reforzadas)</v>
      </c>
      <c r="V762" s="253" t="s">
        <v>238</v>
      </c>
      <c r="W762" s="249" t="str">
        <f>IFERROR(VLOOKUP(V762,TD!$N$34:$O$46,2,0)," ")</f>
        <v>Sedes mantenidas</v>
      </c>
      <c r="X762" s="251" t="str">
        <f t="shared" si="47"/>
        <v>016_Sedes mantenidas</v>
      </c>
      <c r="Y762" s="251" t="str">
        <f t="shared" si="48"/>
        <v>08-Infraestructura física, mantenimiento y dotación (Sedes construidas, mantenidas reforzadas) 016_Sedes mantenidas</v>
      </c>
      <c r="Z762" s="272" t="str">
        <f t="shared" si="49"/>
        <v>O23011745992024020708016</v>
      </c>
      <c r="AA762" s="272" t="str">
        <f>IFERROR(VLOOKUP(Y762,TD!$K$47:$L$65,2,0)," ")</f>
        <v>PM/0131/0108/45990160207</v>
      </c>
      <c r="AB762" s="151" t="s">
        <v>120</v>
      </c>
      <c r="AC762" s="273" t="s">
        <v>204</v>
      </c>
    </row>
    <row r="763" spans="2:29" ht="99" customHeight="1" x14ac:dyDescent="0.35">
      <c r="B763" s="147">
        <v>20250791</v>
      </c>
      <c r="C763" s="182" t="s">
        <v>208</v>
      </c>
      <c r="D763" s="267" t="s">
        <v>164</v>
      </c>
      <c r="E763" s="268" t="s">
        <v>389</v>
      </c>
      <c r="F763" s="254" t="s">
        <v>720</v>
      </c>
      <c r="G763" s="263" t="s">
        <v>156</v>
      </c>
      <c r="H763" s="138">
        <v>80111600</v>
      </c>
      <c r="I763" s="255">
        <v>8</v>
      </c>
      <c r="J763" s="255">
        <v>3</v>
      </c>
      <c r="K763" s="139">
        <v>0</v>
      </c>
      <c r="L763" s="135">
        <v>13600000</v>
      </c>
      <c r="M763" s="187" t="s">
        <v>465</v>
      </c>
      <c r="N763" s="190" t="s">
        <v>113</v>
      </c>
      <c r="O763" s="271" t="s">
        <v>219</v>
      </c>
      <c r="P763" s="272" t="str">
        <f>IFERROR(VLOOKUP(C763,TD!$B$33:$F$37,2,0)," ")</f>
        <v>O230117</v>
      </c>
      <c r="Q763" s="272" t="str">
        <f>IFERROR(VLOOKUP(C763,TD!$B$33:$F$37,3,0)," ")</f>
        <v>4599</v>
      </c>
      <c r="R763" s="272">
        <f>IFERROR(VLOOKUP(C763,TD!$B$33:$F$37,4,0)," ")</f>
        <v>20240207</v>
      </c>
      <c r="S763" s="271" t="s">
        <v>185</v>
      </c>
      <c r="T763" s="249" t="str">
        <f>IFERROR(VLOOKUP(S763,TD!$J$34:$K$44,2,0)," ")</f>
        <v>Infraestructura física, mantenimiento y dotación (Sedes construidas, mantenidas reforzadas)</v>
      </c>
      <c r="U763" s="251" t="str">
        <f t="shared" si="46"/>
        <v>08-Infraestructura física, mantenimiento y dotación (Sedes construidas, mantenidas reforzadas)</v>
      </c>
      <c r="V763" s="253" t="s">
        <v>238</v>
      </c>
      <c r="W763" s="249" t="str">
        <f>IFERROR(VLOOKUP(V763,TD!$N$34:$O$46,2,0)," ")</f>
        <v>Sedes mantenidas</v>
      </c>
      <c r="X763" s="251" t="str">
        <f t="shared" si="47"/>
        <v>016_Sedes mantenidas</v>
      </c>
      <c r="Y763" s="251" t="str">
        <f t="shared" si="48"/>
        <v>08-Infraestructura física, mantenimiento y dotación (Sedes construidas, mantenidas reforzadas) 016_Sedes mantenidas</v>
      </c>
      <c r="Z763" s="272" t="str">
        <f t="shared" si="49"/>
        <v>O23011745992024020708016</v>
      </c>
      <c r="AA763" s="272" t="str">
        <f>IFERROR(VLOOKUP(Y763,TD!$K$47:$L$65,2,0)," ")</f>
        <v>PM/0131/0108/45990160207</v>
      </c>
      <c r="AB763" s="151" t="s">
        <v>138</v>
      </c>
      <c r="AC763" s="273" t="s">
        <v>204</v>
      </c>
    </row>
    <row r="764" spans="2:29" ht="99" customHeight="1" x14ac:dyDescent="0.35">
      <c r="B764" s="147">
        <v>20250792</v>
      </c>
      <c r="C764" s="182" t="s">
        <v>208</v>
      </c>
      <c r="D764" s="267" t="s">
        <v>164</v>
      </c>
      <c r="E764" s="268" t="s">
        <v>389</v>
      </c>
      <c r="F764" s="254" t="s">
        <v>460</v>
      </c>
      <c r="G764" s="263" t="s">
        <v>156</v>
      </c>
      <c r="H764" s="138">
        <v>80111600</v>
      </c>
      <c r="I764" s="255">
        <v>8</v>
      </c>
      <c r="J764" s="255">
        <v>3</v>
      </c>
      <c r="K764" s="139">
        <v>0</v>
      </c>
      <c r="L764" s="135">
        <v>13600000</v>
      </c>
      <c r="M764" s="187" t="s">
        <v>465</v>
      </c>
      <c r="N764" s="190" t="s">
        <v>113</v>
      </c>
      <c r="O764" s="271" t="s">
        <v>219</v>
      </c>
      <c r="P764" s="272" t="str">
        <f>IFERROR(VLOOKUP(C764,TD!$B$33:$F$37,2,0)," ")</f>
        <v>O230117</v>
      </c>
      <c r="Q764" s="272" t="str">
        <f>IFERROR(VLOOKUP(C764,TD!$B$33:$F$37,3,0)," ")</f>
        <v>4599</v>
      </c>
      <c r="R764" s="272">
        <f>IFERROR(VLOOKUP(C764,TD!$B$33:$F$37,4,0)," ")</f>
        <v>20240207</v>
      </c>
      <c r="S764" s="271" t="s">
        <v>185</v>
      </c>
      <c r="T764" s="249" t="str">
        <f>IFERROR(VLOOKUP(S764,TD!$J$34:$K$44,2,0)," ")</f>
        <v>Infraestructura física, mantenimiento y dotación (Sedes construidas, mantenidas reforzadas)</v>
      </c>
      <c r="U764" s="251" t="str">
        <f t="shared" si="46"/>
        <v>08-Infraestructura física, mantenimiento y dotación (Sedes construidas, mantenidas reforzadas)</v>
      </c>
      <c r="V764" s="253" t="s">
        <v>238</v>
      </c>
      <c r="W764" s="249" t="str">
        <f>IFERROR(VLOOKUP(V764,TD!$N$34:$O$46,2,0)," ")</f>
        <v>Sedes mantenidas</v>
      </c>
      <c r="X764" s="251" t="str">
        <f t="shared" si="47"/>
        <v>016_Sedes mantenidas</v>
      </c>
      <c r="Y764" s="251" t="str">
        <f t="shared" si="48"/>
        <v>08-Infraestructura física, mantenimiento y dotación (Sedes construidas, mantenidas reforzadas) 016_Sedes mantenidas</v>
      </c>
      <c r="Z764" s="272" t="str">
        <f t="shared" si="49"/>
        <v>O23011745992024020708016</v>
      </c>
      <c r="AA764" s="272" t="str">
        <f>IFERROR(VLOOKUP(Y764,TD!$K$47:$L$65,2,0)," ")</f>
        <v>PM/0131/0108/45990160207</v>
      </c>
      <c r="AB764" s="151" t="s">
        <v>138</v>
      </c>
      <c r="AC764" s="273" t="s">
        <v>204</v>
      </c>
    </row>
    <row r="765" spans="2:29" ht="99" customHeight="1" x14ac:dyDescent="0.35">
      <c r="B765" s="147">
        <v>20250793</v>
      </c>
      <c r="C765" s="182" t="s">
        <v>208</v>
      </c>
      <c r="D765" s="267" t="s">
        <v>164</v>
      </c>
      <c r="E765" s="268" t="s">
        <v>389</v>
      </c>
      <c r="F765" s="254" t="s">
        <v>460</v>
      </c>
      <c r="G765" s="270" t="s">
        <v>156</v>
      </c>
      <c r="H765" s="138">
        <v>80111600</v>
      </c>
      <c r="I765" s="255">
        <v>8</v>
      </c>
      <c r="J765" s="255">
        <v>3</v>
      </c>
      <c r="K765" s="139">
        <v>0</v>
      </c>
      <c r="L765" s="135">
        <v>13600000</v>
      </c>
      <c r="M765" s="187" t="s">
        <v>465</v>
      </c>
      <c r="N765" s="190" t="s">
        <v>113</v>
      </c>
      <c r="O765" s="271" t="s">
        <v>219</v>
      </c>
      <c r="P765" s="272" t="str">
        <f>IFERROR(VLOOKUP(C765,TD!$B$33:$F$37,2,0)," ")</f>
        <v>O230117</v>
      </c>
      <c r="Q765" s="272" t="str">
        <f>IFERROR(VLOOKUP(C765,TD!$B$33:$F$37,3,0)," ")</f>
        <v>4599</v>
      </c>
      <c r="R765" s="272">
        <f>IFERROR(VLOOKUP(C765,TD!$B$33:$F$37,4,0)," ")</f>
        <v>20240207</v>
      </c>
      <c r="S765" s="271" t="s">
        <v>185</v>
      </c>
      <c r="T765" s="249" t="str">
        <f>IFERROR(VLOOKUP(S765,TD!$J$34:$K$44,2,0)," ")</f>
        <v>Infraestructura física, mantenimiento y dotación (Sedes construidas, mantenidas reforzadas)</v>
      </c>
      <c r="U765" s="251" t="str">
        <f t="shared" si="46"/>
        <v>08-Infraestructura física, mantenimiento y dotación (Sedes construidas, mantenidas reforzadas)</v>
      </c>
      <c r="V765" s="253" t="s">
        <v>238</v>
      </c>
      <c r="W765" s="249" t="str">
        <f>IFERROR(VLOOKUP(V765,TD!$N$34:$O$46,2,0)," ")</f>
        <v>Sedes mantenidas</v>
      </c>
      <c r="X765" s="251" t="str">
        <f t="shared" si="47"/>
        <v>016_Sedes mantenidas</v>
      </c>
      <c r="Y765" s="251" t="str">
        <f t="shared" si="48"/>
        <v>08-Infraestructura física, mantenimiento y dotación (Sedes construidas, mantenidas reforzadas) 016_Sedes mantenidas</v>
      </c>
      <c r="Z765" s="272" t="str">
        <f t="shared" si="49"/>
        <v>O23011745992024020708016</v>
      </c>
      <c r="AA765" s="272" t="str">
        <f>IFERROR(VLOOKUP(Y765,TD!$K$47:$L$65,2,0)," ")</f>
        <v>PM/0131/0108/45990160207</v>
      </c>
      <c r="AB765" s="151" t="s">
        <v>138</v>
      </c>
      <c r="AC765" s="273" t="s">
        <v>204</v>
      </c>
    </row>
    <row r="766" spans="2:29" ht="99" customHeight="1" x14ac:dyDescent="0.35">
      <c r="B766" s="153">
        <v>20250794</v>
      </c>
      <c r="C766" s="159" t="s">
        <v>208</v>
      </c>
      <c r="D766" s="267" t="s">
        <v>164</v>
      </c>
      <c r="E766" s="268" t="s">
        <v>389</v>
      </c>
      <c r="F766" s="218" t="s">
        <v>721</v>
      </c>
      <c r="G766" s="263" t="s">
        <v>155</v>
      </c>
      <c r="H766" s="93">
        <v>80111600</v>
      </c>
      <c r="I766" s="220">
        <v>8</v>
      </c>
      <c r="J766" s="220">
        <v>6</v>
      </c>
      <c r="K766" s="52">
        <v>0</v>
      </c>
      <c r="L766" s="53">
        <v>42000000</v>
      </c>
      <c r="M766" s="187" t="s">
        <v>465</v>
      </c>
      <c r="N766" s="158" t="s">
        <v>113</v>
      </c>
      <c r="O766" s="268" t="s">
        <v>219</v>
      </c>
      <c r="P766" s="266" t="str">
        <f>IFERROR(VLOOKUP(C766,TD!$B$33:$F$37,2,0)," ")</f>
        <v>O230117</v>
      </c>
      <c r="Q766" s="266" t="str">
        <f>IFERROR(VLOOKUP(C766,TD!$B$33:$F$37,3,0)," ")</f>
        <v>4599</v>
      </c>
      <c r="R766" s="266">
        <f>IFERROR(VLOOKUP(C766,TD!$B$33:$F$37,4,0)," ")</f>
        <v>20240207</v>
      </c>
      <c r="S766" s="271" t="s">
        <v>185</v>
      </c>
      <c r="T766" s="249" t="str">
        <f>IFERROR(VLOOKUP(S766,TD!$J$34:$K$44,2,0)," ")</f>
        <v>Infraestructura física, mantenimiento y dotación (Sedes construidas, mantenidas reforzadas)</v>
      </c>
      <c r="U766" s="251" t="str">
        <f t="shared" si="46"/>
        <v>08-Infraestructura física, mantenimiento y dotación (Sedes construidas, mantenidas reforzadas)</v>
      </c>
      <c r="V766" s="253" t="s">
        <v>238</v>
      </c>
      <c r="W766" s="249" t="str">
        <f>IFERROR(VLOOKUP(V766,TD!$N$34:$O$46,2,0)," ")</f>
        <v>Sedes mantenidas</v>
      </c>
      <c r="X766" s="222" t="str">
        <f t="shared" si="47"/>
        <v>016_Sedes mantenidas</v>
      </c>
      <c r="Y766" s="222" t="str">
        <f t="shared" si="48"/>
        <v>08-Infraestructura física, mantenimiento y dotación (Sedes construidas, mantenidas reforzadas) 016_Sedes mantenidas</v>
      </c>
      <c r="Z766" s="266" t="str">
        <f t="shared" si="49"/>
        <v>O23011745992024020708016</v>
      </c>
      <c r="AA766" s="266" t="str">
        <f>IFERROR(VLOOKUP(Y766,TD!$K$47:$L$65,2,0)," ")</f>
        <v>PM/0131/0108/45990160207</v>
      </c>
      <c r="AB766" s="154" t="s">
        <v>138</v>
      </c>
      <c r="AC766" s="275" t="s">
        <v>204</v>
      </c>
    </row>
    <row r="767" spans="2:29" ht="99" customHeight="1" x14ac:dyDescent="0.35">
      <c r="B767" s="147">
        <v>20250795</v>
      </c>
      <c r="C767" s="159" t="s">
        <v>208</v>
      </c>
      <c r="D767" s="267" t="s">
        <v>164</v>
      </c>
      <c r="E767" s="268" t="s">
        <v>389</v>
      </c>
      <c r="F767" s="254" t="s">
        <v>461</v>
      </c>
      <c r="G767" s="270" t="s">
        <v>155</v>
      </c>
      <c r="H767" s="138">
        <v>80111600</v>
      </c>
      <c r="I767" s="255">
        <v>8</v>
      </c>
      <c r="J767" s="255">
        <v>3</v>
      </c>
      <c r="K767" s="139">
        <v>0</v>
      </c>
      <c r="L767" s="135">
        <v>19500000</v>
      </c>
      <c r="M767" s="187" t="s">
        <v>465</v>
      </c>
      <c r="N767" s="190" t="s">
        <v>113</v>
      </c>
      <c r="O767" s="268" t="s">
        <v>219</v>
      </c>
      <c r="P767" s="272" t="str">
        <f>IFERROR(VLOOKUP(C767,TD!$B$33:$F$37,2,0)," ")</f>
        <v>O230117</v>
      </c>
      <c r="Q767" s="272" t="str">
        <f>IFERROR(VLOOKUP(C767,TD!$B$33:$F$37,3,0)," ")</f>
        <v>4599</v>
      </c>
      <c r="R767" s="272">
        <f>IFERROR(VLOOKUP(C767,TD!$B$33:$F$37,4,0)," ")</f>
        <v>20240207</v>
      </c>
      <c r="S767" s="271" t="s">
        <v>185</v>
      </c>
      <c r="T767" s="249" t="str">
        <f>IFERROR(VLOOKUP(S767,TD!$J$34:$K$44,2,0)," ")</f>
        <v>Infraestructura física, mantenimiento y dotación (Sedes construidas, mantenidas reforzadas)</v>
      </c>
      <c r="U767" s="251" t="str">
        <f t="shared" si="46"/>
        <v>08-Infraestructura física, mantenimiento y dotación (Sedes construidas, mantenidas reforzadas)</v>
      </c>
      <c r="V767" s="253" t="s">
        <v>238</v>
      </c>
      <c r="W767" s="249" t="str">
        <f>IFERROR(VLOOKUP(V767,TD!$N$34:$O$46,2,0)," ")</f>
        <v>Sedes mantenidas</v>
      </c>
      <c r="X767" s="251" t="str">
        <f t="shared" si="47"/>
        <v>016_Sedes mantenidas</v>
      </c>
      <c r="Y767" s="251" t="str">
        <f t="shared" si="48"/>
        <v>08-Infraestructura física, mantenimiento y dotación (Sedes construidas, mantenidas reforzadas) 016_Sedes mantenidas</v>
      </c>
      <c r="Z767" s="272" t="str">
        <f t="shared" si="49"/>
        <v>O23011745992024020708016</v>
      </c>
      <c r="AA767" s="272" t="str">
        <f>IFERROR(VLOOKUP(Y767,TD!$K$47:$L$65,2,0)," ")</f>
        <v>PM/0131/0108/45990160207</v>
      </c>
      <c r="AB767" s="151" t="s">
        <v>120</v>
      </c>
      <c r="AC767" s="273" t="s">
        <v>204</v>
      </c>
    </row>
    <row r="768" spans="2:29" ht="99" customHeight="1" x14ac:dyDescent="0.35">
      <c r="B768" s="147">
        <v>20250796</v>
      </c>
      <c r="C768" s="182" t="s">
        <v>208</v>
      </c>
      <c r="D768" s="274" t="s">
        <v>164</v>
      </c>
      <c r="E768" s="271" t="s">
        <v>389</v>
      </c>
      <c r="F768" s="254" t="s">
        <v>462</v>
      </c>
      <c r="G768" s="270" t="s">
        <v>155</v>
      </c>
      <c r="H768" s="138">
        <v>80111600</v>
      </c>
      <c r="I768" s="255">
        <v>8</v>
      </c>
      <c r="J768" s="255">
        <v>5</v>
      </c>
      <c r="K768" s="139">
        <v>0</v>
      </c>
      <c r="L768" s="135">
        <v>19000000</v>
      </c>
      <c r="M768" s="187" t="s">
        <v>465</v>
      </c>
      <c r="N768" s="190" t="s">
        <v>113</v>
      </c>
      <c r="O768" s="268" t="s">
        <v>219</v>
      </c>
      <c r="P768" s="272" t="str">
        <f>IFERROR(VLOOKUP(C768,TD!$B$33:$F$37,2,0)," ")</f>
        <v>O230117</v>
      </c>
      <c r="Q768" s="272" t="str">
        <f>IFERROR(VLOOKUP(C768,TD!$B$33:$F$37,3,0)," ")</f>
        <v>4599</v>
      </c>
      <c r="R768" s="272">
        <f>IFERROR(VLOOKUP(C768,TD!$B$33:$F$37,4,0)," ")</f>
        <v>20240207</v>
      </c>
      <c r="S768" s="271" t="s">
        <v>185</v>
      </c>
      <c r="T768" s="249" t="str">
        <f>IFERROR(VLOOKUP(S768,TD!$J$34:$K$44,2,0)," ")</f>
        <v>Infraestructura física, mantenimiento y dotación (Sedes construidas, mantenidas reforzadas)</v>
      </c>
      <c r="U768" s="251" t="str">
        <f t="shared" si="46"/>
        <v>08-Infraestructura física, mantenimiento y dotación (Sedes construidas, mantenidas reforzadas)</v>
      </c>
      <c r="V768" s="253" t="s">
        <v>238</v>
      </c>
      <c r="W768" s="249" t="str">
        <f>IFERROR(VLOOKUP(V768,TD!$N$34:$O$46,2,0)," ")</f>
        <v>Sedes mantenidas</v>
      </c>
      <c r="X768" s="251" t="str">
        <f t="shared" si="47"/>
        <v>016_Sedes mantenidas</v>
      </c>
      <c r="Y768" s="251" t="str">
        <f t="shared" si="48"/>
        <v>08-Infraestructura física, mantenimiento y dotación (Sedes construidas, mantenidas reforzadas) 016_Sedes mantenidas</v>
      </c>
      <c r="Z768" s="272" t="str">
        <f t="shared" si="49"/>
        <v>O23011745992024020708016</v>
      </c>
      <c r="AA768" s="272" t="str">
        <f>IFERROR(VLOOKUP(Y768,TD!$K$47:$L$65,2,0)," ")</f>
        <v>PM/0131/0108/45990160207</v>
      </c>
      <c r="AB768" s="151" t="s">
        <v>138</v>
      </c>
      <c r="AC768" s="273" t="s">
        <v>204</v>
      </c>
    </row>
    <row r="769" spans="2:29" ht="99" customHeight="1" x14ac:dyDescent="0.35">
      <c r="B769" s="147">
        <v>20250797</v>
      </c>
      <c r="C769" s="182" t="s">
        <v>208</v>
      </c>
      <c r="D769" s="274" t="s">
        <v>164</v>
      </c>
      <c r="E769" s="271" t="s">
        <v>389</v>
      </c>
      <c r="F769" s="254" t="s">
        <v>462</v>
      </c>
      <c r="G769" s="270" t="s">
        <v>155</v>
      </c>
      <c r="H769" s="138">
        <v>80111600</v>
      </c>
      <c r="I769" s="255">
        <v>8</v>
      </c>
      <c r="J769" s="255">
        <v>5</v>
      </c>
      <c r="K769" s="139">
        <v>0</v>
      </c>
      <c r="L769" s="135">
        <v>23750000</v>
      </c>
      <c r="M769" s="187" t="s">
        <v>465</v>
      </c>
      <c r="N769" s="190" t="s">
        <v>113</v>
      </c>
      <c r="O769" s="268" t="s">
        <v>219</v>
      </c>
      <c r="P769" s="272" t="str">
        <f>IFERROR(VLOOKUP(C769,TD!$B$33:$F$37,2,0)," ")</f>
        <v>O230117</v>
      </c>
      <c r="Q769" s="272" t="str">
        <f>IFERROR(VLOOKUP(C769,TD!$B$33:$F$37,3,0)," ")</f>
        <v>4599</v>
      </c>
      <c r="R769" s="272">
        <f>IFERROR(VLOOKUP(C769,TD!$B$33:$F$37,4,0)," ")</f>
        <v>20240207</v>
      </c>
      <c r="S769" s="271" t="s">
        <v>185</v>
      </c>
      <c r="T769" s="249" t="str">
        <f>IFERROR(VLOOKUP(S769,TD!$J$34:$K$44,2,0)," ")</f>
        <v>Infraestructura física, mantenimiento y dotación (Sedes construidas, mantenidas reforzadas)</v>
      </c>
      <c r="U769" s="251" t="str">
        <f t="shared" si="46"/>
        <v>08-Infraestructura física, mantenimiento y dotación (Sedes construidas, mantenidas reforzadas)</v>
      </c>
      <c r="V769" s="253" t="s">
        <v>238</v>
      </c>
      <c r="W769" s="249" t="str">
        <f>IFERROR(VLOOKUP(V769,TD!$N$34:$O$46,2,0)," ")</f>
        <v>Sedes mantenidas</v>
      </c>
      <c r="X769" s="251" t="str">
        <f t="shared" si="47"/>
        <v>016_Sedes mantenidas</v>
      </c>
      <c r="Y769" s="251" t="str">
        <f t="shared" si="48"/>
        <v>08-Infraestructura física, mantenimiento y dotación (Sedes construidas, mantenidas reforzadas) 016_Sedes mantenidas</v>
      </c>
      <c r="Z769" s="272" t="str">
        <f t="shared" si="49"/>
        <v>O23011745992024020708016</v>
      </c>
      <c r="AA769" s="272" t="str">
        <f>IFERROR(VLOOKUP(Y769,TD!$K$47:$L$65,2,0)," ")</f>
        <v>PM/0131/0108/45990160207</v>
      </c>
      <c r="AB769" s="151" t="s">
        <v>138</v>
      </c>
      <c r="AC769" s="273" t="s">
        <v>204</v>
      </c>
    </row>
    <row r="770" spans="2:29" ht="99" customHeight="1" x14ac:dyDescent="0.35">
      <c r="B770" s="147">
        <v>20250798</v>
      </c>
      <c r="C770" s="182" t="s">
        <v>208</v>
      </c>
      <c r="D770" s="274" t="s">
        <v>164</v>
      </c>
      <c r="E770" s="271" t="s">
        <v>389</v>
      </c>
      <c r="F770" s="254" t="s">
        <v>463</v>
      </c>
      <c r="G770" s="270" t="s">
        <v>155</v>
      </c>
      <c r="H770" s="138">
        <v>80111600</v>
      </c>
      <c r="I770" s="255">
        <v>8</v>
      </c>
      <c r="J770" s="255">
        <v>5</v>
      </c>
      <c r="K770" s="139">
        <v>0</v>
      </c>
      <c r="L770" s="135">
        <v>26000000</v>
      </c>
      <c r="M770" s="187" t="s">
        <v>465</v>
      </c>
      <c r="N770" s="190" t="s">
        <v>113</v>
      </c>
      <c r="O770" s="268" t="s">
        <v>219</v>
      </c>
      <c r="P770" s="272" t="str">
        <f>IFERROR(VLOOKUP(C770,TD!$B$33:$F$37,2,0)," ")</f>
        <v>O230117</v>
      </c>
      <c r="Q770" s="272" t="str">
        <f>IFERROR(VLOOKUP(C770,TD!$B$33:$F$37,3,0)," ")</f>
        <v>4599</v>
      </c>
      <c r="R770" s="272">
        <f>IFERROR(VLOOKUP(C770,TD!$B$33:$F$37,4,0)," ")</f>
        <v>20240207</v>
      </c>
      <c r="S770" s="271" t="s">
        <v>185</v>
      </c>
      <c r="T770" s="249" t="str">
        <f>IFERROR(VLOOKUP(S770,TD!$J$34:$K$44,2,0)," ")</f>
        <v>Infraestructura física, mantenimiento y dotación (Sedes construidas, mantenidas reforzadas)</v>
      </c>
      <c r="U770" s="251" t="str">
        <f t="shared" si="46"/>
        <v>08-Infraestructura física, mantenimiento y dotación (Sedes construidas, mantenidas reforzadas)</v>
      </c>
      <c r="V770" s="253" t="s">
        <v>238</v>
      </c>
      <c r="W770" s="249" t="str">
        <f>IFERROR(VLOOKUP(V770,TD!$N$34:$O$46,2,0)," ")</f>
        <v>Sedes mantenidas</v>
      </c>
      <c r="X770" s="251" t="str">
        <f t="shared" si="47"/>
        <v>016_Sedes mantenidas</v>
      </c>
      <c r="Y770" s="251" t="str">
        <f t="shared" si="48"/>
        <v>08-Infraestructura física, mantenimiento y dotación (Sedes construidas, mantenidas reforzadas) 016_Sedes mantenidas</v>
      </c>
      <c r="Z770" s="272" t="str">
        <f t="shared" si="49"/>
        <v>O23011745992024020708016</v>
      </c>
      <c r="AA770" s="272" t="str">
        <f>IFERROR(VLOOKUP(Y770,TD!$K$47:$L$65,2,0)," ")</f>
        <v>PM/0131/0108/45990160207</v>
      </c>
      <c r="AB770" s="151" t="s">
        <v>120</v>
      </c>
      <c r="AC770" s="273" t="s">
        <v>204</v>
      </c>
    </row>
    <row r="771" spans="2:29" ht="99" customHeight="1" x14ac:dyDescent="0.35">
      <c r="B771" s="147">
        <v>20250799</v>
      </c>
      <c r="C771" s="182" t="s">
        <v>208</v>
      </c>
      <c r="D771" s="274" t="s">
        <v>164</v>
      </c>
      <c r="E771" s="271" t="s">
        <v>389</v>
      </c>
      <c r="F771" s="254" t="s">
        <v>464</v>
      </c>
      <c r="G771" s="270" t="s">
        <v>155</v>
      </c>
      <c r="H771" s="138">
        <v>80111600</v>
      </c>
      <c r="I771" s="255">
        <v>8</v>
      </c>
      <c r="J771" s="255">
        <v>5</v>
      </c>
      <c r="K771" s="139">
        <v>0</v>
      </c>
      <c r="L771" s="135">
        <v>30000000</v>
      </c>
      <c r="M771" s="187" t="s">
        <v>465</v>
      </c>
      <c r="N771" s="190" t="s">
        <v>113</v>
      </c>
      <c r="O771" s="268" t="s">
        <v>219</v>
      </c>
      <c r="P771" s="272" t="str">
        <f>IFERROR(VLOOKUP(C771,TD!$B$33:$F$37,2,0)," ")</f>
        <v>O230117</v>
      </c>
      <c r="Q771" s="272" t="str">
        <f>IFERROR(VLOOKUP(C771,TD!$B$33:$F$37,3,0)," ")</f>
        <v>4599</v>
      </c>
      <c r="R771" s="272">
        <f>IFERROR(VLOOKUP(C771,TD!$B$33:$F$37,4,0)," ")</f>
        <v>20240207</v>
      </c>
      <c r="S771" s="271" t="s">
        <v>185</v>
      </c>
      <c r="T771" s="249" t="str">
        <f>IFERROR(VLOOKUP(S771,TD!$J$34:$K$44,2,0)," ")</f>
        <v>Infraestructura física, mantenimiento y dotación (Sedes construidas, mantenidas reforzadas)</v>
      </c>
      <c r="U771" s="251" t="str">
        <f t="shared" si="46"/>
        <v>08-Infraestructura física, mantenimiento y dotación (Sedes construidas, mantenidas reforzadas)</v>
      </c>
      <c r="V771" s="253" t="s">
        <v>238</v>
      </c>
      <c r="W771" s="249" t="str">
        <f>IFERROR(VLOOKUP(V771,TD!$N$34:$O$46,2,0)," ")</f>
        <v>Sedes mantenidas</v>
      </c>
      <c r="X771" s="251" t="str">
        <f t="shared" si="47"/>
        <v>016_Sedes mantenidas</v>
      </c>
      <c r="Y771" s="251" t="str">
        <f t="shared" si="48"/>
        <v>08-Infraestructura física, mantenimiento y dotación (Sedes construidas, mantenidas reforzadas) 016_Sedes mantenidas</v>
      </c>
      <c r="Z771" s="272" t="str">
        <f t="shared" si="49"/>
        <v>O23011745992024020708016</v>
      </c>
      <c r="AA771" s="272" t="str">
        <f>IFERROR(VLOOKUP(Y771,TD!$K$47:$L$65,2,0)," ")</f>
        <v>PM/0131/0108/45990160207</v>
      </c>
      <c r="AB771" s="151" t="s">
        <v>120</v>
      </c>
      <c r="AC771" s="273" t="s">
        <v>204</v>
      </c>
    </row>
    <row r="772" spans="2:29" ht="99" customHeight="1" x14ac:dyDescent="0.35">
      <c r="B772" s="147">
        <v>20250800</v>
      </c>
      <c r="C772" s="182" t="s">
        <v>208</v>
      </c>
      <c r="D772" s="274" t="s">
        <v>164</v>
      </c>
      <c r="E772" s="271" t="s">
        <v>389</v>
      </c>
      <c r="F772" s="254" t="s">
        <v>715</v>
      </c>
      <c r="G772" s="270" t="s">
        <v>155</v>
      </c>
      <c r="H772" s="138">
        <v>80111600</v>
      </c>
      <c r="I772" s="255">
        <v>8</v>
      </c>
      <c r="J772" s="255">
        <v>5</v>
      </c>
      <c r="K772" s="139">
        <v>0</v>
      </c>
      <c r="L772" s="135">
        <v>30600000</v>
      </c>
      <c r="M772" s="187" t="s">
        <v>465</v>
      </c>
      <c r="N772" s="190" t="s">
        <v>113</v>
      </c>
      <c r="O772" s="268" t="s">
        <v>219</v>
      </c>
      <c r="P772" s="272" t="str">
        <f>IFERROR(VLOOKUP(C772,TD!$B$33:$F$37,2,0)," ")</f>
        <v>O230117</v>
      </c>
      <c r="Q772" s="272" t="str">
        <f>IFERROR(VLOOKUP(C772,TD!$B$33:$F$37,3,0)," ")</f>
        <v>4599</v>
      </c>
      <c r="R772" s="272">
        <f>IFERROR(VLOOKUP(C772,TD!$B$33:$F$37,4,0)," ")</f>
        <v>20240207</v>
      </c>
      <c r="S772" s="271" t="s">
        <v>185</v>
      </c>
      <c r="T772" s="249" t="str">
        <f>IFERROR(VLOOKUP(S772,TD!$J$34:$K$44,2,0)," ")</f>
        <v>Infraestructura física, mantenimiento y dotación (Sedes construidas, mantenidas reforzadas)</v>
      </c>
      <c r="U772" s="251" t="str">
        <f t="shared" si="46"/>
        <v>08-Infraestructura física, mantenimiento y dotación (Sedes construidas, mantenidas reforzadas)</v>
      </c>
      <c r="V772" s="253" t="s">
        <v>238</v>
      </c>
      <c r="W772" s="249" t="str">
        <f>IFERROR(VLOOKUP(V772,TD!$N$34:$O$46,2,0)," ")</f>
        <v>Sedes mantenidas</v>
      </c>
      <c r="X772" s="251" t="str">
        <f t="shared" si="47"/>
        <v>016_Sedes mantenidas</v>
      </c>
      <c r="Y772" s="251" t="str">
        <f t="shared" si="48"/>
        <v>08-Infraestructura física, mantenimiento y dotación (Sedes construidas, mantenidas reforzadas) 016_Sedes mantenidas</v>
      </c>
      <c r="Z772" s="272" t="str">
        <f t="shared" si="49"/>
        <v>O23011745992024020708016</v>
      </c>
      <c r="AA772" s="272" t="str">
        <f>IFERROR(VLOOKUP(Y772,TD!$K$47:$L$65,2,0)," ")</f>
        <v>PM/0131/0108/45990160207</v>
      </c>
      <c r="AB772" s="151" t="s">
        <v>120</v>
      </c>
      <c r="AC772" s="273" t="s">
        <v>204</v>
      </c>
    </row>
    <row r="773" spans="2:29" ht="99" customHeight="1" x14ac:dyDescent="0.35">
      <c r="B773" s="147">
        <v>20250801</v>
      </c>
      <c r="C773" s="182" t="s">
        <v>208</v>
      </c>
      <c r="D773" s="274" t="s">
        <v>164</v>
      </c>
      <c r="E773" s="271" t="s">
        <v>389</v>
      </c>
      <c r="F773" s="254" t="s">
        <v>727</v>
      </c>
      <c r="G773" s="270" t="s">
        <v>155</v>
      </c>
      <c r="H773" s="138">
        <v>80111600</v>
      </c>
      <c r="I773" s="255">
        <v>8</v>
      </c>
      <c r="J773" s="255">
        <v>5</v>
      </c>
      <c r="K773" s="139">
        <v>0</v>
      </c>
      <c r="L773" s="135">
        <f>64500000-57000000+40000000</f>
        <v>47500000</v>
      </c>
      <c r="M773" s="187" t="s">
        <v>465</v>
      </c>
      <c r="N773" s="190" t="s">
        <v>113</v>
      </c>
      <c r="O773" s="268" t="s">
        <v>219</v>
      </c>
      <c r="P773" s="272" t="str">
        <f>IFERROR(VLOOKUP(C773,TD!$B$33:$F$37,2,0)," ")</f>
        <v>O230117</v>
      </c>
      <c r="Q773" s="272" t="str">
        <f>IFERROR(VLOOKUP(C773,TD!$B$33:$F$37,3,0)," ")</f>
        <v>4599</v>
      </c>
      <c r="R773" s="272">
        <f>IFERROR(VLOOKUP(C773,TD!$B$33:$F$37,4,0)," ")</f>
        <v>20240207</v>
      </c>
      <c r="S773" s="271" t="s">
        <v>185</v>
      </c>
      <c r="T773" s="249" t="str">
        <f>IFERROR(VLOOKUP(S773,TD!$J$34:$K$44,2,0)," ")</f>
        <v>Infraestructura física, mantenimiento y dotación (Sedes construidas, mantenidas reforzadas)</v>
      </c>
      <c r="U773" s="251" t="str">
        <f t="shared" si="46"/>
        <v>08-Infraestructura física, mantenimiento y dotación (Sedes construidas, mantenidas reforzadas)</v>
      </c>
      <c r="V773" s="253" t="s">
        <v>238</v>
      </c>
      <c r="W773" s="249" t="str">
        <f>IFERROR(VLOOKUP(V773,TD!$N$34:$O$46,2,0)," ")</f>
        <v>Sedes mantenidas</v>
      </c>
      <c r="X773" s="251" t="str">
        <f t="shared" si="47"/>
        <v>016_Sedes mantenidas</v>
      </c>
      <c r="Y773" s="251" t="str">
        <f t="shared" si="48"/>
        <v>08-Infraestructura física, mantenimiento y dotación (Sedes construidas, mantenidas reforzadas) 016_Sedes mantenidas</v>
      </c>
      <c r="Z773" s="272" t="str">
        <f t="shared" si="49"/>
        <v>O23011745992024020708016</v>
      </c>
      <c r="AA773" s="272" t="str">
        <f>IFERROR(VLOOKUP(Y773,TD!$K$47:$L$65,2,0)," ")</f>
        <v>PM/0131/0108/45990160207</v>
      </c>
      <c r="AB773" s="151" t="s">
        <v>120</v>
      </c>
      <c r="AC773" s="273" t="s">
        <v>204</v>
      </c>
    </row>
    <row r="774" spans="2:29" ht="99" customHeight="1" x14ac:dyDescent="0.35">
      <c r="B774" s="147">
        <v>20250802</v>
      </c>
      <c r="C774" s="182" t="s">
        <v>208</v>
      </c>
      <c r="D774" s="274" t="s">
        <v>164</v>
      </c>
      <c r="E774" s="271" t="s">
        <v>389</v>
      </c>
      <c r="F774" s="254" t="s">
        <v>716</v>
      </c>
      <c r="G774" s="270" t="s">
        <v>155</v>
      </c>
      <c r="H774" s="138">
        <v>80111600</v>
      </c>
      <c r="I774" s="255">
        <v>8</v>
      </c>
      <c r="J774" s="255">
        <v>5</v>
      </c>
      <c r="K774" s="139">
        <v>0</v>
      </c>
      <c r="L774" s="135">
        <v>42000000</v>
      </c>
      <c r="M774" s="187" t="s">
        <v>465</v>
      </c>
      <c r="N774" s="190" t="s">
        <v>113</v>
      </c>
      <c r="O774" s="268" t="s">
        <v>219</v>
      </c>
      <c r="P774" s="272" t="str">
        <f>IFERROR(VLOOKUP(C774,TD!$B$33:$F$37,2,0)," ")</f>
        <v>O230117</v>
      </c>
      <c r="Q774" s="272" t="str">
        <f>IFERROR(VLOOKUP(C774,TD!$B$33:$F$37,3,0)," ")</f>
        <v>4599</v>
      </c>
      <c r="R774" s="272">
        <f>IFERROR(VLOOKUP(C774,TD!$B$33:$F$37,4,0)," ")</f>
        <v>20240207</v>
      </c>
      <c r="S774" s="271" t="s">
        <v>185</v>
      </c>
      <c r="T774" s="249" t="str">
        <f>IFERROR(VLOOKUP(S774,TD!$J$34:$K$44,2,0)," ")</f>
        <v>Infraestructura física, mantenimiento y dotación (Sedes construidas, mantenidas reforzadas)</v>
      </c>
      <c r="U774" s="251" t="str">
        <f t="shared" si="46"/>
        <v>08-Infraestructura física, mantenimiento y dotación (Sedes construidas, mantenidas reforzadas)</v>
      </c>
      <c r="V774" s="253" t="s">
        <v>238</v>
      </c>
      <c r="W774" s="249" t="str">
        <f>IFERROR(VLOOKUP(V774,TD!$N$34:$O$46,2,0)," ")</f>
        <v>Sedes mantenidas</v>
      </c>
      <c r="X774" s="251" t="str">
        <f t="shared" si="47"/>
        <v>016_Sedes mantenidas</v>
      </c>
      <c r="Y774" s="251" t="str">
        <f t="shared" si="48"/>
        <v>08-Infraestructura física, mantenimiento y dotación (Sedes construidas, mantenidas reforzadas) 016_Sedes mantenidas</v>
      </c>
      <c r="Z774" s="272" t="str">
        <f t="shared" si="49"/>
        <v>O23011745992024020708016</v>
      </c>
      <c r="AA774" s="272" t="str">
        <f>IFERROR(VLOOKUP(Y774,TD!$K$47:$L$65,2,0)," ")</f>
        <v>PM/0131/0108/45990160207</v>
      </c>
      <c r="AB774" s="151" t="s">
        <v>120</v>
      </c>
      <c r="AC774" s="273" t="s">
        <v>204</v>
      </c>
    </row>
    <row r="775" spans="2:29" ht="99" customHeight="1" x14ac:dyDescent="0.35">
      <c r="B775" s="147">
        <v>20250803</v>
      </c>
      <c r="C775" s="148" t="s">
        <v>209</v>
      </c>
      <c r="D775" s="254" t="s">
        <v>168</v>
      </c>
      <c r="E775" s="253" t="s">
        <v>611</v>
      </c>
      <c r="F775" s="270" t="s">
        <v>1018</v>
      </c>
      <c r="G775" s="270" t="s">
        <v>119</v>
      </c>
      <c r="H775" s="149">
        <v>15101500</v>
      </c>
      <c r="I775" s="276">
        <v>7</v>
      </c>
      <c r="J775" s="276">
        <v>0</v>
      </c>
      <c r="K775" s="150">
        <v>20</v>
      </c>
      <c r="L775" s="151">
        <v>64000000</v>
      </c>
      <c r="M775" s="152" t="s">
        <v>465</v>
      </c>
      <c r="N775" s="151" t="s">
        <v>123</v>
      </c>
      <c r="O775" s="264" t="s">
        <v>224</v>
      </c>
      <c r="P775" s="272" t="str">
        <f>IFERROR(VLOOKUP(C775,TD!$B$33:$F$37,2,0)," ")</f>
        <v>O230117</v>
      </c>
      <c r="Q775" s="272" t="str">
        <f>IFERROR(VLOOKUP(C775,TD!$B$33:$F$37,3,0)," ")</f>
        <v>4503</v>
      </c>
      <c r="R775" s="272">
        <f>IFERROR(VLOOKUP(C775,TD!$B$33:$F$37,4,0)," ")</f>
        <v>20240255</v>
      </c>
      <c r="S775" s="277" t="s">
        <v>191</v>
      </c>
      <c r="T775" s="249" t="str">
        <f>IFERROR(VLOOKUP(S775,TD!$J$34:$K$44,2,0)," ")</f>
        <v>Servicio de apoyo   logístico  en eventos operativos y/o emergencias.</v>
      </c>
      <c r="U775" s="251" t="str">
        <f t="shared" si="46"/>
        <v>12-Servicio de apoyo   logístico  en eventos operativos y/o emergencias.</v>
      </c>
      <c r="V775" s="253" t="s">
        <v>232</v>
      </c>
      <c r="W775" s="249" t="str">
        <f>IFERROR(VLOOKUP(V775,TD!$N$34:$O$46,2,0)," ")</f>
        <v>Servicio de atención a emergencias y desastres</v>
      </c>
      <c r="X775" s="251" t="str">
        <f t="shared" si="47"/>
        <v>004_Servicio de atención a emergencias y desastres</v>
      </c>
      <c r="Y775" s="251" t="str">
        <f t="shared" si="48"/>
        <v>12-Servicio de apoyo   logístico  en eventos operativos y/o emergencias. 004_Servicio de atención a emergencias y desastres</v>
      </c>
      <c r="Z775" s="272" t="str">
        <f t="shared" si="49"/>
        <v>O23011745032024025512004</v>
      </c>
      <c r="AA775" s="272" t="str">
        <f>IFERROR(VLOOKUP(Y775,TD!$K$47:$L$65,2,0)," ")</f>
        <v>PM/0131/0112/45030040255</v>
      </c>
      <c r="AB775" s="151" t="s">
        <v>92</v>
      </c>
      <c r="AC775" s="273" t="s">
        <v>204</v>
      </c>
    </row>
    <row r="776" spans="2:29" ht="99" customHeight="1" x14ac:dyDescent="0.35">
      <c r="B776" s="147">
        <v>20250804</v>
      </c>
      <c r="C776" s="148" t="s">
        <v>209</v>
      </c>
      <c r="D776" s="254" t="s">
        <v>168</v>
      </c>
      <c r="E776" s="253" t="s">
        <v>611</v>
      </c>
      <c r="F776" s="270" t="s">
        <v>1019</v>
      </c>
      <c r="G776" s="270" t="s">
        <v>119</v>
      </c>
      <c r="H776" s="149" t="s">
        <v>386</v>
      </c>
      <c r="I776" s="276">
        <v>7</v>
      </c>
      <c r="J776" s="276">
        <v>1</v>
      </c>
      <c r="K776" s="150">
        <v>0</v>
      </c>
      <c r="L776" s="151">
        <v>2000000</v>
      </c>
      <c r="M776" s="152" t="s">
        <v>465</v>
      </c>
      <c r="N776" s="151" t="s">
        <v>100</v>
      </c>
      <c r="O776" s="264" t="s">
        <v>224</v>
      </c>
      <c r="P776" s="272" t="str">
        <f>IFERROR(VLOOKUP(C776,TD!$B$33:$F$37,2,0)," ")</f>
        <v>O230117</v>
      </c>
      <c r="Q776" s="272" t="str">
        <f>IFERROR(VLOOKUP(C776,TD!$B$33:$F$37,3,0)," ")</f>
        <v>4503</v>
      </c>
      <c r="R776" s="272">
        <f>IFERROR(VLOOKUP(C776,TD!$B$33:$F$37,4,0)," ")</f>
        <v>20240255</v>
      </c>
      <c r="S776" s="277" t="s">
        <v>191</v>
      </c>
      <c r="T776" s="249" t="str">
        <f>IFERROR(VLOOKUP(S776,TD!$J$34:$K$44,2,0)," ")</f>
        <v>Servicio de apoyo   logístico  en eventos operativos y/o emergencias.</v>
      </c>
      <c r="U776" s="251" t="str">
        <f t="shared" si="46"/>
        <v>12-Servicio de apoyo   logístico  en eventos operativos y/o emergencias.</v>
      </c>
      <c r="V776" s="253" t="s">
        <v>232</v>
      </c>
      <c r="W776" s="249" t="str">
        <f>IFERROR(VLOOKUP(V776,TD!$N$34:$O$46,2,0)," ")</f>
        <v>Servicio de atención a emergencias y desastres</v>
      </c>
      <c r="X776" s="251" t="str">
        <f t="shared" si="47"/>
        <v>004_Servicio de atención a emergencias y desastres</v>
      </c>
      <c r="Y776" s="251" t="str">
        <f t="shared" si="48"/>
        <v>12-Servicio de apoyo   logístico  en eventos operativos y/o emergencias. 004_Servicio de atención a emergencias y desastres</v>
      </c>
      <c r="Z776" s="272" t="str">
        <f t="shared" si="49"/>
        <v>O23011745032024025512004</v>
      </c>
      <c r="AA776" s="272" t="str">
        <f>IFERROR(VLOOKUP(Y776,TD!$K$47:$L$65,2,0)," ")</f>
        <v>PM/0131/0112/45030040255</v>
      </c>
      <c r="AB776" s="151" t="s">
        <v>97</v>
      </c>
      <c r="AC776" s="273" t="s">
        <v>204</v>
      </c>
    </row>
    <row r="777" spans="2:29" ht="99" customHeight="1" x14ac:dyDescent="0.35">
      <c r="B777" s="147">
        <v>20250805</v>
      </c>
      <c r="C777" s="137" t="s">
        <v>346</v>
      </c>
      <c r="D777" s="254" t="s">
        <v>166</v>
      </c>
      <c r="E777" s="253" t="s">
        <v>565</v>
      </c>
      <c r="F777" s="270" t="s">
        <v>1021</v>
      </c>
      <c r="G777" s="270" t="s">
        <v>101</v>
      </c>
      <c r="H777" s="149" t="s">
        <v>640</v>
      </c>
      <c r="I777" s="276">
        <v>8</v>
      </c>
      <c r="J777" s="276">
        <v>12</v>
      </c>
      <c r="K777" s="150">
        <v>0</v>
      </c>
      <c r="L777" s="151">
        <v>133704463</v>
      </c>
      <c r="M777" s="152" t="s">
        <v>172</v>
      </c>
      <c r="N777" s="151" t="s">
        <v>90</v>
      </c>
      <c r="O777" s="264" t="s">
        <v>347</v>
      </c>
      <c r="P777" s="272" t="str">
        <f>IFERROR(VLOOKUP(C777,TD!$B$33:$F$37,2,0)," ")</f>
        <v>NA</v>
      </c>
      <c r="Q777" s="272" t="str">
        <f>IFERROR(VLOOKUP(C777,TD!$B$33:$F$37,3,0)," ")</f>
        <v>NA</v>
      </c>
      <c r="R777" s="272" t="str">
        <f>IFERROR(VLOOKUP(C777,TD!$B$33:$F$37,4,0)," ")</f>
        <v>NA</v>
      </c>
      <c r="S777" s="277" t="s">
        <v>406</v>
      </c>
      <c r="T777" s="249" t="str">
        <f>IFERROR(VLOOKUP(S777,TD!$J$34:$K$44,2,0)," ")</f>
        <v>N/A</v>
      </c>
      <c r="U777" s="251" t="str">
        <f t="shared" si="46"/>
        <v>N/A-N/A</v>
      </c>
      <c r="V777" s="253" t="s">
        <v>406</v>
      </c>
      <c r="W777" s="249" t="str">
        <f>IFERROR(VLOOKUP(V777,TD!$N$34:$O$46,2,0)," ")</f>
        <v>N/A</v>
      </c>
      <c r="X777" s="251" t="str">
        <f t="shared" si="47"/>
        <v>N/A_N/A</v>
      </c>
      <c r="Y777" s="251" t="str">
        <f t="shared" si="48"/>
        <v>N/A-N/A N/A_N/A</v>
      </c>
      <c r="Z777" s="272" t="str">
        <f t="shared" si="49"/>
        <v>NANANAN/AN/A</v>
      </c>
      <c r="AA777" s="272" t="str">
        <f>IFERROR(VLOOKUP(Y777,TD!$K$47:$L$65,2,0)," ")</f>
        <v>N/A</v>
      </c>
      <c r="AB777" s="151" t="s">
        <v>348</v>
      </c>
      <c r="AC777" s="273" t="s">
        <v>204</v>
      </c>
    </row>
    <row r="778" spans="2:29" ht="99" customHeight="1" x14ac:dyDescent="0.35">
      <c r="B778" s="153">
        <v>20250806</v>
      </c>
      <c r="C778" s="155" t="s">
        <v>208</v>
      </c>
      <c r="D778" s="218" t="s">
        <v>162</v>
      </c>
      <c r="E778" s="219" t="s">
        <v>355</v>
      </c>
      <c r="F778" s="263" t="s">
        <v>1024</v>
      </c>
      <c r="G778" s="263" t="s">
        <v>109</v>
      </c>
      <c r="H778" s="93" t="s">
        <v>1025</v>
      </c>
      <c r="I778" s="265">
        <v>9</v>
      </c>
      <c r="J778" s="265">
        <v>12</v>
      </c>
      <c r="K778" s="162">
        <v>0</v>
      </c>
      <c r="L778" s="154">
        <v>470000000</v>
      </c>
      <c r="M778" s="160" t="s">
        <v>465</v>
      </c>
      <c r="N778" s="154" t="s">
        <v>90</v>
      </c>
      <c r="O778" s="264" t="s">
        <v>215</v>
      </c>
      <c r="P778" s="266" t="str">
        <f>IFERROR(VLOOKUP(C778,TD!$B$33:$F$37,2,0)," ")</f>
        <v>O230117</v>
      </c>
      <c r="Q778" s="266" t="str">
        <f>IFERROR(VLOOKUP(C778,TD!$B$33:$F$37,3,0)," ")</f>
        <v>4599</v>
      </c>
      <c r="R778" s="266">
        <f>IFERROR(VLOOKUP(C778,TD!$B$33:$F$37,4,0)," ")</f>
        <v>20240207</v>
      </c>
      <c r="S778" s="277" t="s">
        <v>179</v>
      </c>
      <c r="T778" s="249" t="str">
        <f>IFERROR(VLOOKUP(S778,TD!$J$34:$K$44,2,0)," ")</f>
        <v>Infraestructura Tecnológica   (Sistemas de Información y Tecnologia)</v>
      </c>
      <c r="U778" s="251" t="str">
        <f t="shared" si="46"/>
        <v>11-Infraestructura Tecnológica   (Sistemas de Información y Tecnologia)</v>
      </c>
      <c r="V778" s="253" t="s">
        <v>239</v>
      </c>
      <c r="W778" s="249" t="str">
        <f>IFERROR(VLOOKUP(V778,TD!$N$34:$O$46,2,0)," ")</f>
        <v>Servicios tecnológicos</v>
      </c>
      <c r="X778" s="222" t="str">
        <f t="shared" si="47"/>
        <v>007_Servicios tecnológicos</v>
      </c>
      <c r="Y778" s="222" t="str">
        <f t="shared" si="48"/>
        <v>11-Infraestructura Tecnológica   (Sistemas de Información y Tecnologia) 007_Servicios tecnológicos</v>
      </c>
      <c r="Z778" s="266" t="str">
        <f t="shared" si="49"/>
        <v>O23011745992024020711007</v>
      </c>
      <c r="AA778" s="266" t="str">
        <f>IFERROR(VLOOKUP(Y778,TD!$K$47:$L$65,2,0)," ")</f>
        <v>PM/0131/0111/45990070207</v>
      </c>
      <c r="AB778" s="154" t="s">
        <v>130</v>
      </c>
      <c r="AC778" s="275" t="s">
        <v>204</v>
      </c>
    </row>
    <row r="779" spans="2:29" ht="99" customHeight="1" x14ac:dyDescent="0.35">
      <c r="B779" s="147">
        <v>20250807</v>
      </c>
      <c r="C779" s="148" t="s">
        <v>208</v>
      </c>
      <c r="D779" s="218" t="s">
        <v>164</v>
      </c>
      <c r="E779" s="219" t="s">
        <v>389</v>
      </c>
      <c r="F779" s="254" t="s">
        <v>1026</v>
      </c>
      <c r="G779" s="263" t="s">
        <v>156</v>
      </c>
      <c r="H779" s="138">
        <v>80111600</v>
      </c>
      <c r="I779" s="276">
        <v>8</v>
      </c>
      <c r="J779" s="276">
        <v>3</v>
      </c>
      <c r="K779" s="150">
        <v>0</v>
      </c>
      <c r="L779" s="151">
        <v>18600000</v>
      </c>
      <c r="M779" s="152" t="s">
        <v>465</v>
      </c>
      <c r="N779" s="154" t="s">
        <v>113</v>
      </c>
      <c r="O779" s="264" t="s">
        <v>219</v>
      </c>
      <c r="P779" s="272" t="str">
        <f>IFERROR(VLOOKUP(C779,TD!$B$33:$F$37,2,0)," ")</f>
        <v>O230117</v>
      </c>
      <c r="Q779" s="272" t="str">
        <f>IFERROR(VLOOKUP(C779,TD!$B$33:$F$37,3,0)," ")</f>
        <v>4599</v>
      </c>
      <c r="R779" s="272">
        <f>IFERROR(VLOOKUP(C779,TD!$B$33:$F$37,4,0)," ")</f>
        <v>20240207</v>
      </c>
      <c r="S779" s="277" t="s">
        <v>185</v>
      </c>
      <c r="T779" s="249" t="str">
        <f>IFERROR(VLOOKUP(S779,TD!$J$34:$K$44,2,0)," ")</f>
        <v>Infraestructura física, mantenimiento y dotación (Sedes construidas, mantenidas reforzadas)</v>
      </c>
      <c r="U779" s="251" t="str">
        <f t="shared" si="46"/>
        <v>08-Infraestructura física, mantenimiento y dotación (Sedes construidas, mantenidas reforzadas)</v>
      </c>
      <c r="V779" s="253" t="s">
        <v>238</v>
      </c>
      <c r="W779" s="249" t="str">
        <f>IFERROR(VLOOKUP(V779,TD!$N$34:$O$46,2,0)," ")</f>
        <v>Sedes mantenidas</v>
      </c>
      <c r="X779" s="251" t="str">
        <f t="shared" si="47"/>
        <v>016_Sedes mantenidas</v>
      </c>
      <c r="Y779" s="251" t="str">
        <f t="shared" si="48"/>
        <v>08-Infraestructura física, mantenimiento y dotación (Sedes construidas, mantenidas reforzadas) 016_Sedes mantenidas</v>
      </c>
      <c r="Z779" s="272" t="str">
        <f t="shared" si="49"/>
        <v>O23011745992024020708016</v>
      </c>
      <c r="AA779" s="272" t="str">
        <f>IFERROR(VLOOKUP(Y779,TD!$K$47:$L$65,2,0)," ")</f>
        <v>PM/0131/0108/45990160207</v>
      </c>
      <c r="AB779" s="151" t="s">
        <v>138</v>
      </c>
      <c r="AC779" s="273" t="s">
        <v>204</v>
      </c>
    </row>
    <row r="780" spans="2:29" ht="99" customHeight="1" x14ac:dyDescent="0.35">
      <c r="B780" s="136">
        <v>20250808</v>
      </c>
      <c r="C780" s="137" t="s">
        <v>208</v>
      </c>
      <c r="D780" s="218" t="s">
        <v>164</v>
      </c>
      <c r="E780" s="219" t="s">
        <v>389</v>
      </c>
      <c r="F780" s="254" t="s">
        <v>1027</v>
      </c>
      <c r="G780" s="218" t="s">
        <v>155</v>
      </c>
      <c r="H780" s="138">
        <v>80111600</v>
      </c>
      <c r="I780" s="255">
        <v>5</v>
      </c>
      <c r="J780" s="255">
        <v>5</v>
      </c>
      <c r="K780" s="139">
        <v>0</v>
      </c>
      <c r="L780" s="135">
        <v>30000000</v>
      </c>
      <c r="M780" s="146" t="s">
        <v>465</v>
      </c>
      <c r="N780" s="53" t="s">
        <v>113</v>
      </c>
      <c r="O780" s="219" t="s">
        <v>219</v>
      </c>
      <c r="P780" s="256" t="str">
        <f>IFERROR(VLOOKUP(C780,TD!$B$33:$F$37,2,0)," ")</f>
        <v>O230117</v>
      </c>
      <c r="Q780" s="256" t="str">
        <f>IFERROR(VLOOKUP(C780,TD!$B$33:$F$37,3,0)," ")</f>
        <v>4599</v>
      </c>
      <c r="R780" s="256">
        <f>IFERROR(VLOOKUP(C780,TD!$B$33:$F$37,4,0)," ")</f>
        <v>20240207</v>
      </c>
      <c r="S780" s="253" t="s">
        <v>185</v>
      </c>
      <c r="T780" s="256" t="str">
        <f>IFERROR(VLOOKUP(S780,TD!$J$34:$K$44,2,0)," ")</f>
        <v>Infraestructura física, mantenimiento y dotación (Sedes construidas, mantenidas reforzadas)</v>
      </c>
      <c r="U780" s="251" t="str">
        <f t="shared" ref="U780:U826" si="50">CONCATENATE(S780,"-",T780)</f>
        <v>08-Infraestructura física, mantenimiento y dotación (Sedes construidas, mantenidas reforzadas)</v>
      </c>
      <c r="V780" s="253" t="s">
        <v>238</v>
      </c>
      <c r="W780" s="221" t="str">
        <f>IFERROR(VLOOKUP(V780,TD!$N$34:$O$46,2,0)," ")</f>
        <v>Sedes mantenidas</v>
      </c>
      <c r="X780" s="251" t="str">
        <f t="shared" ref="X780:X826" si="51">CONCATENATE(V780,"_",W780)</f>
        <v>016_Sedes mantenidas</v>
      </c>
      <c r="Y780" s="251" t="str">
        <f t="shared" ref="Y780:Y826" si="52">CONCATENATE(U780," ",X780)</f>
        <v>08-Infraestructura física, mantenimiento y dotación (Sedes construidas, mantenidas reforzadas) 016_Sedes mantenidas</v>
      </c>
      <c r="Z780" s="256" t="str">
        <f t="shared" ref="Z780:Z826" si="53">CONCATENATE(P780,Q780,R780,S780,V780)</f>
        <v>O23011745992024020708016</v>
      </c>
      <c r="AA780" s="256" t="str">
        <f>IFERROR(VLOOKUP(Y780,TD!$K$47:$L$65,2,0)," ")</f>
        <v>PM/0131/0108/45990160207</v>
      </c>
      <c r="AB780" s="135" t="s">
        <v>120</v>
      </c>
      <c r="AC780" s="257" t="s">
        <v>204</v>
      </c>
    </row>
    <row r="781" spans="2:29" ht="99" customHeight="1" x14ac:dyDescent="0.35">
      <c r="B781" s="136">
        <v>20250809</v>
      </c>
      <c r="C781" s="137" t="s">
        <v>209</v>
      </c>
      <c r="D781" s="218" t="s">
        <v>167</v>
      </c>
      <c r="E781" s="219" t="s">
        <v>509</v>
      </c>
      <c r="F781" s="254" t="s">
        <v>1033</v>
      </c>
      <c r="G781" s="254" t="s">
        <v>155</v>
      </c>
      <c r="H781" s="138">
        <v>80111600</v>
      </c>
      <c r="I781" s="255">
        <v>8</v>
      </c>
      <c r="J781" s="255">
        <v>5</v>
      </c>
      <c r="K781" s="139">
        <v>0</v>
      </c>
      <c r="L781" s="135">
        <v>40000000</v>
      </c>
      <c r="M781" s="146" t="s">
        <v>465</v>
      </c>
      <c r="N781" s="135" t="s">
        <v>113</v>
      </c>
      <c r="O781" s="219" t="s">
        <v>221</v>
      </c>
      <c r="P781" s="256" t="str">
        <f>IFERROR(VLOOKUP(C781,TD!$B$33:$F$37,2,0)," ")</f>
        <v>O230117</v>
      </c>
      <c r="Q781" s="256" t="str">
        <f>IFERROR(VLOOKUP(C781,TD!$B$33:$F$37,3,0)," ")</f>
        <v>4503</v>
      </c>
      <c r="R781" s="256">
        <f>IFERROR(VLOOKUP(C781,TD!$B$33:$F$37,4,0)," ")</f>
        <v>20240255</v>
      </c>
      <c r="S781" s="253" t="s">
        <v>177</v>
      </c>
      <c r="T781" s="256" t="str">
        <f>IFERROR(VLOOKUP(S781,TD!$J$34:$K$44,2,0)," ")</f>
        <v>Servicio de capacitaciones en gestión del riesgo de incendios  a la ciudadania.</v>
      </c>
      <c r="U781" s="251" t="str">
        <f t="shared" si="50"/>
        <v>05-Servicio de capacitaciones en gestión del riesgo de incendios  a la ciudadania.</v>
      </c>
      <c r="V781" s="253" t="s">
        <v>234</v>
      </c>
      <c r="W781" s="221" t="str">
        <f>IFERROR(VLOOKUP(V781,TD!$N$34:$O$46,2,0)," ")</f>
        <v>Servicio prevención y control de incendios</v>
      </c>
      <c r="X781" s="251" t="str">
        <f t="shared" si="51"/>
        <v>035_Servicio prevención y control de incendios</v>
      </c>
      <c r="Y781" s="251" t="str">
        <f t="shared" si="52"/>
        <v>05-Servicio de capacitaciones en gestión del riesgo de incendios  a la ciudadania. 035_Servicio prevención y control de incendios</v>
      </c>
      <c r="Z781" s="256" t="str">
        <f t="shared" si="53"/>
        <v>O23011745032024025505035</v>
      </c>
      <c r="AA781" s="256" t="str">
        <f>IFERROR(VLOOKUP(Y781,TD!$K$47:$L$65,2,0)," ")</f>
        <v>PM/0131/0105/45030350255</v>
      </c>
      <c r="AB781" s="135" t="s">
        <v>120</v>
      </c>
      <c r="AC781" s="257" t="s">
        <v>204</v>
      </c>
    </row>
    <row r="782" spans="2:29" ht="99" customHeight="1" x14ac:dyDescent="0.35">
      <c r="B782" s="136">
        <v>20250810</v>
      </c>
      <c r="C782" s="137" t="s">
        <v>208</v>
      </c>
      <c r="D782" s="218" t="s">
        <v>46</v>
      </c>
      <c r="E782" s="219" t="s">
        <v>466</v>
      </c>
      <c r="F782" s="254" t="s">
        <v>1029</v>
      </c>
      <c r="G782" s="254" t="s">
        <v>155</v>
      </c>
      <c r="H782" s="138">
        <v>80111600</v>
      </c>
      <c r="I782" s="255">
        <v>9</v>
      </c>
      <c r="J782" s="255">
        <v>3</v>
      </c>
      <c r="K782" s="139">
        <v>15</v>
      </c>
      <c r="L782" s="135">
        <v>27300000</v>
      </c>
      <c r="M782" s="146" t="s">
        <v>465</v>
      </c>
      <c r="N782" s="135" t="s">
        <v>113</v>
      </c>
      <c r="O782" s="219" t="s">
        <v>219</v>
      </c>
      <c r="P782" s="256" t="str">
        <f>IFERROR(VLOOKUP(C782,TD!$B$33:$F$37,2,0)," ")</f>
        <v>O230117</v>
      </c>
      <c r="Q782" s="256" t="str">
        <f>IFERROR(VLOOKUP(C782,TD!$B$33:$F$37,3,0)," ")</f>
        <v>4599</v>
      </c>
      <c r="R782" s="256">
        <f>IFERROR(VLOOKUP(C782,TD!$B$33:$F$37,4,0)," ")</f>
        <v>20240207</v>
      </c>
      <c r="S782" s="253" t="s">
        <v>185</v>
      </c>
      <c r="T782" s="256" t="str">
        <f>IFERROR(VLOOKUP(S782,TD!$J$34:$K$44,2,0)," ")</f>
        <v>Infraestructura física, mantenimiento y dotación (Sedes construidas, mantenidas reforzadas)</v>
      </c>
      <c r="U782" s="251" t="str">
        <f t="shared" si="50"/>
        <v>08-Infraestructura física, mantenimiento y dotación (Sedes construidas, mantenidas reforzadas)</v>
      </c>
      <c r="V782" s="253" t="s">
        <v>238</v>
      </c>
      <c r="W782" s="221" t="str">
        <f>IFERROR(VLOOKUP(V782,TD!$N$34:$O$46,2,0)," ")</f>
        <v>Sedes mantenidas</v>
      </c>
      <c r="X782" s="251" t="str">
        <f t="shared" si="51"/>
        <v>016_Sedes mantenidas</v>
      </c>
      <c r="Y782" s="251" t="str">
        <f t="shared" si="52"/>
        <v>08-Infraestructura física, mantenimiento y dotación (Sedes construidas, mantenidas reforzadas) 016_Sedes mantenidas</v>
      </c>
      <c r="Z782" s="256" t="str">
        <f t="shared" si="53"/>
        <v>O23011745992024020708016</v>
      </c>
      <c r="AA782" s="256" t="str">
        <f>IFERROR(VLOOKUP(Y782,TD!$K$47:$L$65,2,0)," ")</f>
        <v>PM/0131/0108/45990160207</v>
      </c>
      <c r="AB782" s="135" t="s">
        <v>120</v>
      </c>
      <c r="AC782" s="257" t="s">
        <v>205</v>
      </c>
    </row>
    <row r="783" spans="2:29" ht="99" customHeight="1" x14ac:dyDescent="0.35">
      <c r="B783" s="136">
        <v>20250811</v>
      </c>
      <c r="C783" s="137" t="s">
        <v>208</v>
      </c>
      <c r="D783" s="218" t="s">
        <v>46</v>
      </c>
      <c r="E783" s="219" t="s">
        <v>466</v>
      </c>
      <c r="F783" s="254" t="s">
        <v>1030</v>
      </c>
      <c r="G783" s="254" t="s">
        <v>155</v>
      </c>
      <c r="H783" s="138">
        <v>80111600</v>
      </c>
      <c r="I783" s="255">
        <v>12</v>
      </c>
      <c r="J783" s="255">
        <v>1</v>
      </c>
      <c r="K783" s="139">
        <v>0</v>
      </c>
      <c r="L783" s="135">
        <v>8500000</v>
      </c>
      <c r="M783" s="146" t="s">
        <v>465</v>
      </c>
      <c r="N783" s="135" t="s">
        <v>113</v>
      </c>
      <c r="O783" s="219" t="s">
        <v>219</v>
      </c>
      <c r="P783" s="256" t="str">
        <f>IFERROR(VLOOKUP(C783,TD!$B$33:$F$37,2,0)," ")</f>
        <v>O230117</v>
      </c>
      <c r="Q783" s="256" t="str">
        <f>IFERROR(VLOOKUP(C783,TD!$B$33:$F$37,3,0)," ")</f>
        <v>4599</v>
      </c>
      <c r="R783" s="256">
        <f>IFERROR(VLOOKUP(C783,TD!$B$33:$F$37,4,0)," ")</f>
        <v>20240207</v>
      </c>
      <c r="S783" s="253" t="s">
        <v>185</v>
      </c>
      <c r="T783" s="256" t="str">
        <f>IFERROR(VLOOKUP(S783,TD!$J$34:$K$44,2,0)," ")</f>
        <v>Infraestructura física, mantenimiento y dotación (Sedes construidas, mantenidas reforzadas)</v>
      </c>
      <c r="U783" s="251" t="str">
        <f t="shared" si="50"/>
        <v>08-Infraestructura física, mantenimiento y dotación (Sedes construidas, mantenidas reforzadas)</v>
      </c>
      <c r="V783" s="253" t="s">
        <v>238</v>
      </c>
      <c r="W783" s="221" t="str">
        <f>IFERROR(VLOOKUP(V783,TD!$N$34:$O$46,2,0)," ")</f>
        <v>Sedes mantenidas</v>
      </c>
      <c r="X783" s="251" t="str">
        <f t="shared" si="51"/>
        <v>016_Sedes mantenidas</v>
      </c>
      <c r="Y783" s="251" t="str">
        <f t="shared" si="52"/>
        <v>08-Infraestructura física, mantenimiento y dotación (Sedes construidas, mantenidas reforzadas) 016_Sedes mantenidas</v>
      </c>
      <c r="Z783" s="256" t="str">
        <f t="shared" si="53"/>
        <v>O23011745992024020708016</v>
      </c>
      <c r="AA783" s="256" t="str">
        <f>IFERROR(VLOOKUP(Y783,TD!$K$47:$L$65,2,0)," ")</f>
        <v>PM/0131/0108/45990160207</v>
      </c>
      <c r="AB783" s="135" t="s">
        <v>120</v>
      </c>
      <c r="AC783" s="257" t="s">
        <v>205</v>
      </c>
    </row>
    <row r="784" spans="2:29" ht="99" customHeight="1" x14ac:dyDescent="0.35">
      <c r="B784" s="136">
        <v>20250812</v>
      </c>
      <c r="C784" s="137" t="s">
        <v>208</v>
      </c>
      <c r="D784" s="218" t="s">
        <v>46</v>
      </c>
      <c r="E784" s="219" t="s">
        <v>466</v>
      </c>
      <c r="F784" s="254" t="s">
        <v>1031</v>
      </c>
      <c r="G784" s="254" t="s">
        <v>155</v>
      </c>
      <c r="H784" s="138">
        <v>80111600</v>
      </c>
      <c r="I784" s="255">
        <v>12</v>
      </c>
      <c r="J784" s="255">
        <v>1</v>
      </c>
      <c r="K784" s="139">
        <v>7</v>
      </c>
      <c r="L784" s="135">
        <v>9250000</v>
      </c>
      <c r="M784" s="146" t="s">
        <v>465</v>
      </c>
      <c r="N784" s="135" t="s">
        <v>113</v>
      </c>
      <c r="O784" s="219" t="s">
        <v>219</v>
      </c>
      <c r="P784" s="256" t="str">
        <f>IFERROR(VLOOKUP(C784,TD!$B$33:$F$37,2,0)," ")</f>
        <v>O230117</v>
      </c>
      <c r="Q784" s="256" t="str">
        <f>IFERROR(VLOOKUP(C784,TD!$B$33:$F$37,3,0)," ")</f>
        <v>4599</v>
      </c>
      <c r="R784" s="256">
        <f>IFERROR(VLOOKUP(C784,TD!$B$33:$F$37,4,0)," ")</f>
        <v>20240207</v>
      </c>
      <c r="S784" s="253" t="s">
        <v>185</v>
      </c>
      <c r="T784" s="256" t="str">
        <f>IFERROR(VLOOKUP(S784,TD!$J$34:$K$44,2,0)," ")</f>
        <v>Infraestructura física, mantenimiento y dotación (Sedes construidas, mantenidas reforzadas)</v>
      </c>
      <c r="U784" s="251" t="str">
        <f t="shared" si="50"/>
        <v>08-Infraestructura física, mantenimiento y dotación (Sedes construidas, mantenidas reforzadas)</v>
      </c>
      <c r="V784" s="253" t="s">
        <v>238</v>
      </c>
      <c r="W784" s="221" t="str">
        <f>IFERROR(VLOOKUP(V784,TD!$N$34:$O$46,2,0)," ")</f>
        <v>Sedes mantenidas</v>
      </c>
      <c r="X784" s="251" t="str">
        <f t="shared" si="51"/>
        <v>016_Sedes mantenidas</v>
      </c>
      <c r="Y784" s="251" t="str">
        <f t="shared" si="52"/>
        <v>08-Infraestructura física, mantenimiento y dotación (Sedes construidas, mantenidas reforzadas) 016_Sedes mantenidas</v>
      </c>
      <c r="Z784" s="256" t="str">
        <f t="shared" si="53"/>
        <v>O23011745992024020708016</v>
      </c>
      <c r="AA784" s="256" t="str">
        <f>IFERROR(VLOOKUP(Y784,TD!$K$47:$L$65,2,0)," ")</f>
        <v>PM/0131/0108/45990160207</v>
      </c>
      <c r="AB784" s="135" t="s">
        <v>120</v>
      </c>
      <c r="AC784" s="257" t="s">
        <v>205</v>
      </c>
    </row>
    <row r="785" spans="2:29" ht="99" customHeight="1" x14ac:dyDescent="0.35">
      <c r="B785" s="136">
        <v>20250813</v>
      </c>
      <c r="C785" s="137" t="s">
        <v>208</v>
      </c>
      <c r="D785" s="218" t="s">
        <v>46</v>
      </c>
      <c r="E785" s="219" t="s">
        <v>466</v>
      </c>
      <c r="F785" s="254" t="s">
        <v>1032</v>
      </c>
      <c r="G785" s="254" t="s">
        <v>156</v>
      </c>
      <c r="H785" s="138">
        <v>80111600</v>
      </c>
      <c r="I785" s="255">
        <v>8</v>
      </c>
      <c r="J785" s="255">
        <v>1</v>
      </c>
      <c r="K785" s="139">
        <v>0</v>
      </c>
      <c r="L785" s="135">
        <v>3300000</v>
      </c>
      <c r="M785" s="146" t="s">
        <v>465</v>
      </c>
      <c r="N785" s="135" t="s">
        <v>113</v>
      </c>
      <c r="O785" s="219" t="s">
        <v>219</v>
      </c>
      <c r="P785" s="256" t="str">
        <f>IFERROR(VLOOKUP(C785,TD!$B$33:$F$37,2,0)," ")</f>
        <v>O230117</v>
      </c>
      <c r="Q785" s="256" t="str">
        <f>IFERROR(VLOOKUP(C785,TD!$B$33:$F$37,3,0)," ")</f>
        <v>4599</v>
      </c>
      <c r="R785" s="256">
        <f>IFERROR(VLOOKUP(C785,TD!$B$33:$F$37,4,0)," ")</f>
        <v>20240207</v>
      </c>
      <c r="S785" s="253" t="s">
        <v>185</v>
      </c>
      <c r="T785" s="256" t="str">
        <f>IFERROR(VLOOKUP(S785,TD!$J$34:$K$44,2,0)," ")</f>
        <v>Infraestructura física, mantenimiento y dotación (Sedes construidas, mantenidas reforzadas)</v>
      </c>
      <c r="U785" s="251" t="str">
        <f t="shared" si="50"/>
        <v>08-Infraestructura física, mantenimiento y dotación (Sedes construidas, mantenidas reforzadas)</v>
      </c>
      <c r="V785" s="253" t="s">
        <v>238</v>
      </c>
      <c r="W785" s="221" t="str">
        <f>IFERROR(VLOOKUP(V785,TD!$N$34:$O$46,2,0)," ")</f>
        <v>Sedes mantenidas</v>
      </c>
      <c r="X785" s="251" t="str">
        <f t="shared" si="51"/>
        <v>016_Sedes mantenidas</v>
      </c>
      <c r="Y785" s="251" t="str">
        <f t="shared" si="52"/>
        <v>08-Infraestructura física, mantenimiento y dotación (Sedes construidas, mantenidas reforzadas) 016_Sedes mantenidas</v>
      </c>
      <c r="Z785" s="256" t="str">
        <f t="shared" si="53"/>
        <v>O23011745992024020708016</v>
      </c>
      <c r="AA785" s="256" t="str">
        <f>IFERROR(VLOOKUP(Y785,TD!$K$47:$L$65,2,0)," ")</f>
        <v>PM/0131/0108/45990160207</v>
      </c>
      <c r="AB785" s="135" t="s">
        <v>138</v>
      </c>
      <c r="AC785" s="257" t="s">
        <v>205</v>
      </c>
    </row>
    <row r="786" spans="2:29" ht="127.5" customHeight="1" x14ac:dyDescent="0.35">
      <c r="B786" s="136">
        <v>20250814</v>
      </c>
      <c r="C786" s="137" t="s">
        <v>208</v>
      </c>
      <c r="D786" s="218" t="s">
        <v>46</v>
      </c>
      <c r="E786" s="219" t="s">
        <v>466</v>
      </c>
      <c r="F786" s="254" t="s">
        <v>470</v>
      </c>
      <c r="G786" s="254" t="s">
        <v>155</v>
      </c>
      <c r="H786" s="138">
        <v>80111600</v>
      </c>
      <c r="I786" s="255">
        <v>8</v>
      </c>
      <c r="J786" s="255">
        <v>4</v>
      </c>
      <c r="K786" s="139">
        <v>20</v>
      </c>
      <c r="L786" s="135">
        <v>30333333</v>
      </c>
      <c r="M786" s="146" t="s">
        <v>465</v>
      </c>
      <c r="N786" s="135" t="s">
        <v>113</v>
      </c>
      <c r="O786" s="219" t="s">
        <v>219</v>
      </c>
      <c r="P786" s="256" t="str">
        <f>IFERROR(VLOOKUP(C786,TD!$B$33:$F$37,2,0)," ")</f>
        <v>O230117</v>
      </c>
      <c r="Q786" s="256" t="str">
        <f>IFERROR(VLOOKUP(C786,TD!$B$33:$F$37,3,0)," ")</f>
        <v>4599</v>
      </c>
      <c r="R786" s="256">
        <f>IFERROR(VLOOKUP(C786,TD!$B$33:$F$37,4,0)," ")</f>
        <v>20240207</v>
      </c>
      <c r="S786" s="253" t="s">
        <v>185</v>
      </c>
      <c r="T786" s="256" t="str">
        <f>IFERROR(VLOOKUP(S786,TD!$J$34:$K$44,2,0)," ")</f>
        <v>Infraestructura física, mantenimiento y dotación (Sedes construidas, mantenidas reforzadas)</v>
      </c>
      <c r="U786" s="251" t="str">
        <f t="shared" si="50"/>
        <v>08-Infraestructura física, mantenimiento y dotación (Sedes construidas, mantenidas reforzadas)</v>
      </c>
      <c r="V786" s="253" t="s">
        <v>238</v>
      </c>
      <c r="W786" s="221" t="str">
        <f>IFERROR(VLOOKUP(V786,TD!$N$34:$O$46,2,0)," ")</f>
        <v>Sedes mantenidas</v>
      </c>
      <c r="X786" s="251" t="str">
        <f t="shared" si="51"/>
        <v>016_Sedes mantenidas</v>
      </c>
      <c r="Y786" s="251" t="str">
        <f t="shared" si="52"/>
        <v>08-Infraestructura física, mantenimiento y dotación (Sedes construidas, mantenidas reforzadas) 016_Sedes mantenidas</v>
      </c>
      <c r="Z786" s="256" t="str">
        <f t="shared" si="53"/>
        <v>O23011745992024020708016</v>
      </c>
      <c r="AA786" s="256" t="str">
        <f>IFERROR(VLOOKUP(Y786,TD!$K$47:$L$65,2,0)," ")</f>
        <v>PM/0131/0108/45990160207</v>
      </c>
      <c r="AB786" s="135" t="s">
        <v>120</v>
      </c>
      <c r="AC786" s="257" t="s">
        <v>204</v>
      </c>
    </row>
    <row r="787" spans="2:29" ht="121.5" customHeight="1" x14ac:dyDescent="0.35">
      <c r="B787" s="136">
        <v>20250815</v>
      </c>
      <c r="C787" s="137" t="s">
        <v>208</v>
      </c>
      <c r="D787" s="218" t="s">
        <v>46</v>
      </c>
      <c r="E787" s="219" t="s">
        <v>466</v>
      </c>
      <c r="F787" s="254" t="s">
        <v>470</v>
      </c>
      <c r="G787" s="254" t="s">
        <v>155</v>
      </c>
      <c r="H787" s="138">
        <v>80111600</v>
      </c>
      <c r="I787" s="255">
        <v>8</v>
      </c>
      <c r="J787" s="255">
        <v>4</v>
      </c>
      <c r="K787" s="139">
        <v>19</v>
      </c>
      <c r="L787" s="135">
        <v>30116667</v>
      </c>
      <c r="M787" s="146" t="s">
        <v>465</v>
      </c>
      <c r="N787" s="135" t="s">
        <v>113</v>
      </c>
      <c r="O787" s="219" t="s">
        <v>219</v>
      </c>
      <c r="P787" s="256" t="str">
        <f>IFERROR(VLOOKUP(C787,TD!$B$33:$F$37,2,0)," ")</f>
        <v>O230117</v>
      </c>
      <c r="Q787" s="256" t="str">
        <f>IFERROR(VLOOKUP(C787,TD!$B$33:$F$37,3,0)," ")</f>
        <v>4599</v>
      </c>
      <c r="R787" s="256">
        <f>IFERROR(VLOOKUP(C787,TD!$B$33:$F$37,4,0)," ")</f>
        <v>20240207</v>
      </c>
      <c r="S787" s="253" t="s">
        <v>185</v>
      </c>
      <c r="T787" s="256" t="str">
        <f>IFERROR(VLOOKUP(S787,TD!$J$34:$K$44,2,0)," ")</f>
        <v>Infraestructura física, mantenimiento y dotación (Sedes construidas, mantenidas reforzadas)</v>
      </c>
      <c r="U787" s="251" t="str">
        <f t="shared" si="50"/>
        <v>08-Infraestructura física, mantenimiento y dotación (Sedes construidas, mantenidas reforzadas)</v>
      </c>
      <c r="V787" s="253" t="s">
        <v>238</v>
      </c>
      <c r="W787" s="221" t="str">
        <f>IFERROR(VLOOKUP(V787,TD!$N$34:$O$46,2,0)," ")</f>
        <v>Sedes mantenidas</v>
      </c>
      <c r="X787" s="251" t="str">
        <f t="shared" si="51"/>
        <v>016_Sedes mantenidas</v>
      </c>
      <c r="Y787" s="251" t="str">
        <f t="shared" si="52"/>
        <v>08-Infraestructura física, mantenimiento y dotación (Sedes construidas, mantenidas reforzadas) 016_Sedes mantenidas</v>
      </c>
      <c r="Z787" s="256" t="str">
        <f t="shared" si="53"/>
        <v>O23011745992024020708016</v>
      </c>
      <c r="AA787" s="256" t="str">
        <f>IFERROR(VLOOKUP(Y787,TD!$K$47:$L$65,2,0)," ")</f>
        <v>PM/0131/0108/45990160207</v>
      </c>
      <c r="AB787" s="135" t="s">
        <v>120</v>
      </c>
      <c r="AC787" s="257" t="s">
        <v>204</v>
      </c>
    </row>
    <row r="788" spans="2:29" ht="120.65" customHeight="1" x14ac:dyDescent="0.35">
      <c r="B788" s="136">
        <v>20250816</v>
      </c>
      <c r="C788" s="137" t="s">
        <v>208</v>
      </c>
      <c r="D788" s="218" t="s">
        <v>46</v>
      </c>
      <c r="E788" s="219" t="s">
        <v>466</v>
      </c>
      <c r="F788" s="254" t="s">
        <v>470</v>
      </c>
      <c r="G788" s="254" t="s">
        <v>155</v>
      </c>
      <c r="H788" s="138">
        <v>80111600</v>
      </c>
      <c r="I788" s="255">
        <v>8</v>
      </c>
      <c r="J788" s="255">
        <v>4</v>
      </c>
      <c r="K788" s="139">
        <v>7</v>
      </c>
      <c r="L788" s="135">
        <v>27516667</v>
      </c>
      <c r="M788" s="146" t="s">
        <v>465</v>
      </c>
      <c r="N788" s="135" t="s">
        <v>113</v>
      </c>
      <c r="O788" s="219" t="s">
        <v>219</v>
      </c>
      <c r="P788" s="256" t="str">
        <f>IFERROR(VLOOKUP(C788,TD!$B$33:$F$37,2,0)," ")</f>
        <v>O230117</v>
      </c>
      <c r="Q788" s="256" t="str">
        <f>IFERROR(VLOOKUP(C788,TD!$B$33:$F$37,3,0)," ")</f>
        <v>4599</v>
      </c>
      <c r="R788" s="256">
        <f>IFERROR(VLOOKUP(C788,TD!$B$33:$F$37,4,0)," ")</f>
        <v>20240207</v>
      </c>
      <c r="S788" s="253" t="s">
        <v>185</v>
      </c>
      <c r="T788" s="256" t="str">
        <f>IFERROR(VLOOKUP(S788,TD!$J$34:$K$44,2,0)," ")</f>
        <v>Infraestructura física, mantenimiento y dotación (Sedes construidas, mantenidas reforzadas)</v>
      </c>
      <c r="U788" s="251" t="str">
        <f t="shared" si="50"/>
        <v>08-Infraestructura física, mantenimiento y dotación (Sedes construidas, mantenidas reforzadas)</v>
      </c>
      <c r="V788" s="253" t="s">
        <v>238</v>
      </c>
      <c r="W788" s="221" t="str">
        <f>IFERROR(VLOOKUP(V788,TD!$N$34:$O$46,2,0)," ")</f>
        <v>Sedes mantenidas</v>
      </c>
      <c r="X788" s="251" t="str">
        <f t="shared" si="51"/>
        <v>016_Sedes mantenidas</v>
      </c>
      <c r="Y788" s="251" t="str">
        <f t="shared" si="52"/>
        <v>08-Infraestructura física, mantenimiento y dotación (Sedes construidas, mantenidas reforzadas) 016_Sedes mantenidas</v>
      </c>
      <c r="Z788" s="256" t="str">
        <f t="shared" si="53"/>
        <v>O23011745992024020708016</v>
      </c>
      <c r="AA788" s="256" t="str">
        <f>IFERROR(VLOOKUP(Y788,TD!$K$47:$L$65,2,0)," ")</f>
        <v>PM/0131/0108/45990160207</v>
      </c>
      <c r="AB788" s="135" t="s">
        <v>120</v>
      </c>
      <c r="AC788" s="257" t="s">
        <v>204</v>
      </c>
    </row>
    <row r="789" spans="2:29" ht="150.65" customHeight="1" x14ac:dyDescent="0.35">
      <c r="B789" s="136">
        <v>20250817</v>
      </c>
      <c r="C789" s="137" t="s">
        <v>208</v>
      </c>
      <c r="D789" s="218" t="s">
        <v>46</v>
      </c>
      <c r="E789" s="219" t="s">
        <v>466</v>
      </c>
      <c r="F789" s="254" t="s">
        <v>470</v>
      </c>
      <c r="G789" s="254" t="s">
        <v>155</v>
      </c>
      <c r="H789" s="138">
        <v>80111600</v>
      </c>
      <c r="I789" s="255">
        <v>9</v>
      </c>
      <c r="J789" s="255">
        <v>3</v>
      </c>
      <c r="K789" s="139">
        <v>15</v>
      </c>
      <c r="L789" s="135">
        <v>22750000</v>
      </c>
      <c r="M789" s="146" t="s">
        <v>465</v>
      </c>
      <c r="N789" s="135" t="s">
        <v>113</v>
      </c>
      <c r="O789" s="219" t="s">
        <v>219</v>
      </c>
      <c r="P789" s="256" t="str">
        <f>IFERROR(VLOOKUP(C789,TD!$B$33:$F$37,2,0)," ")</f>
        <v>O230117</v>
      </c>
      <c r="Q789" s="256" t="str">
        <f>IFERROR(VLOOKUP(C789,TD!$B$33:$F$37,3,0)," ")</f>
        <v>4599</v>
      </c>
      <c r="R789" s="256">
        <f>IFERROR(VLOOKUP(C789,TD!$B$33:$F$37,4,0)," ")</f>
        <v>20240207</v>
      </c>
      <c r="S789" s="253" t="s">
        <v>185</v>
      </c>
      <c r="T789" s="256" t="str">
        <f>IFERROR(VLOOKUP(S789,TD!$J$34:$K$44,2,0)," ")</f>
        <v>Infraestructura física, mantenimiento y dotación (Sedes construidas, mantenidas reforzadas)</v>
      </c>
      <c r="U789" s="251" t="str">
        <f t="shared" si="50"/>
        <v>08-Infraestructura física, mantenimiento y dotación (Sedes construidas, mantenidas reforzadas)</v>
      </c>
      <c r="V789" s="253" t="s">
        <v>238</v>
      </c>
      <c r="W789" s="221" t="str">
        <f>IFERROR(VLOOKUP(V789,TD!$N$34:$O$46,2,0)," ")</f>
        <v>Sedes mantenidas</v>
      </c>
      <c r="X789" s="251" t="str">
        <f t="shared" si="51"/>
        <v>016_Sedes mantenidas</v>
      </c>
      <c r="Y789" s="251" t="str">
        <f t="shared" si="52"/>
        <v>08-Infraestructura física, mantenimiento y dotación (Sedes construidas, mantenidas reforzadas) 016_Sedes mantenidas</v>
      </c>
      <c r="Z789" s="256" t="str">
        <f t="shared" si="53"/>
        <v>O23011745992024020708016</v>
      </c>
      <c r="AA789" s="256" t="str">
        <f>IFERROR(VLOOKUP(Y789,TD!$K$47:$L$65,2,0)," ")</f>
        <v>PM/0131/0108/45990160207</v>
      </c>
      <c r="AB789" s="135" t="s">
        <v>120</v>
      </c>
      <c r="AC789" s="257" t="s">
        <v>204</v>
      </c>
    </row>
    <row r="790" spans="2:29" ht="99" customHeight="1" x14ac:dyDescent="0.35">
      <c r="B790" s="77">
        <v>20250818</v>
      </c>
      <c r="C790" s="50" t="s">
        <v>208</v>
      </c>
      <c r="D790" s="218" t="s">
        <v>46</v>
      </c>
      <c r="E790" s="219" t="s">
        <v>466</v>
      </c>
      <c r="F790" s="218" t="s">
        <v>830</v>
      </c>
      <c r="G790" s="218" t="s">
        <v>155</v>
      </c>
      <c r="H790" s="93">
        <v>80111600</v>
      </c>
      <c r="I790" s="220">
        <v>9</v>
      </c>
      <c r="J790" s="220">
        <v>3</v>
      </c>
      <c r="K790" s="52">
        <v>15</v>
      </c>
      <c r="L790" s="53">
        <v>17500000</v>
      </c>
      <c r="M790" s="140" t="s">
        <v>465</v>
      </c>
      <c r="N790" s="53" t="s">
        <v>113</v>
      </c>
      <c r="O790" s="219" t="s">
        <v>219</v>
      </c>
      <c r="P790" s="221" t="str">
        <f>IFERROR(VLOOKUP(C790,TD!$B$33:$F$37,2,0)," ")</f>
        <v>O230117</v>
      </c>
      <c r="Q790" s="221" t="str">
        <f>IFERROR(VLOOKUP(C790,TD!$B$33:$F$37,3,0)," ")</f>
        <v>4599</v>
      </c>
      <c r="R790" s="221">
        <f>IFERROR(VLOOKUP(C790,TD!$B$33:$F$37,4,0)," ")</f>
        <v>20240207</v>
      </c>
      <c r="S790" s="253" t="s">
        <v>185</v>
      </c>
      <c r="T790" s="256" t="str">
        <f>IFERROR(VLOOKUP(S790,TD!$J$34:$K$44,2,0)," ")</f>
        <v>Infraestructura física, mantenimiento y dotación (Sedes construidas, mantenidas reforzadas)</v>
      </c>
      <c r="U790" s="251" t="str">
        <f t="shared" si="50"/>
        <v>08-Infraestructura física, mantenimiento y dotación (Sedes construidas, mantenidas reforzadas)</v>
      </c>
      <c r="V790" s="253" t="s">
        <v>238</v>
      </c>
      <c r="W790" s="221" t="str">
        <f>IFERROR(VLOOKUP(V790,TD!$N$34:$O$46,2,0)," ")</f>
        <v>Sedes mantenidas</v>
      </c>
      <c r="X790" s="222" t="str">
        <f t="shared" si="51"/>
        <v>016_Sedes mantenidas</v>
      </c>
      <c r="Y790" s="222" t="str">
        <f t="shared" si="52"/>
        <v>08-Infraestructura física, mantenimiento y dotación (Sedes construidas, mantenidas reforzadas) 016_Sedes mantenidas</v>
      </c>
      <c r="Z790" s="221" t="str">
        <f t="shared" si="53"/>
        <v>O23011745992024020708016</v>
      </c>
      <c r="AA790" s="256" t="str">
        <f>IFERROR(VLOOKUP(Y790,TD!$K$47:$L$65,2,0)," ")</f>
        <v>PM/0131/0108/45990160207</v>
      </c>
      <c r="AB790" s="135" t="s">
        <v>120</v>
      </c>
      <c r="AC790" s="223" t="s">
        <v>204</v>
      </c>
    </row>
    <row r="791" spans="2:29" ht="99" customHeight="1" x14ac:dyDescent="0.35">
      <c r="B791" s="136">
        <v>20250819</v>
      </c>
      <c r="C791" s="50" t="s">
        <v>208</v>
      </c>
      <c r="D791" s="218" t="s">
        <v>46</v>
      </c>
      <c r="E791" s="219" t="s">
        <v>466</v>
      </c>
      <c r="F791" s="254" t="s">
        <v>471</v>
      </c>
      <c r="G791" s="254" t="s">
        <v>156</v>
      </c>
      <c r="H791" s="138">
        <v>80111600</v>
      </c>
      <c r="I791" s="255">
        <v>8</v>
      </c>
      <c r="J791" s="255">
        <v>4</v>
      </c>
      <c r="K791" s="139">
        <v>0</v>
      </c>
      <c r="L791" s="135">
        <v>14000000</v>
      </c>
      <c r="M791" s="140" t="s">
        <v>465</v>
      </c>
      <c r="N791" s="53" t="s">
        <v>113</v>
      </c>
      <c r="O791" s="219" t="s">
        <v>219</v>
      </c>
      <c r="P791" s="256" t="str">
        <f>IFERROR(VLOOKUP(C791,TD!$B$33:$F$37,2,0)," ")</f>
        <v>O230117</v>
      </c>
      <c r="Q791" s="256" t="str">
        <f>IFERROR(VLOOKUP(C791,TD!$B$33:$F$37,3,0)," ")</f>
        <v>4599</v>
      </c>
      <c r="R791" s="256">
        <f>IFERROR(VLOOKUP(C791,TD!$B$33:$F$37,4,0)," ")</f>
        <v>20240207</v>
      </c>
      <c r="S791" s="253" t="s">
        <v>185</v>
      </c>
      <c r="T791" s="256" t="str">
        <f>IFERROR(VLOOKUP(S791,TD!$J$34:$K$44,2,0)," ")</f>
        <v>Infraestructura física, mantenimiento y dotación (Sedes construidas, mantenidas reforzadas)</v>
      </c>
      <c r="U791" s="251" t="str">
        <f t="shared" si="50"/>
        <v>08-Infraestructura física, mantenimiento y dotación (Sedes construidas, mantenidas reforzadas)</v>
      </c>
      <c r="V791" s="253" t="s">
        <v>238</v>
      </c>
      <c r="W791" s="221" t="str">
        <f>IFERROR(VLOOKUP(V791,TD!$N$34:$O$46,2,0)," ")</f>
        <v>Sedes mantenidas</v>
      </c>
      <c r="X791" s="251" t="str">
        <f t="shared" si="51"/>
        <v>016_Sedes mantenidas</v>
      </c>
      <c r="Y791" s="251" t="str">
        <f t="shared" si="52"/>
        <v>08-Infraestructura física, mantenimiento y dotación (Sedes construidas, mantenidas reforzadas) 016_Sedes mantenidas</v>
      </c>
      <c r="Z791" s="256" t="str">
        <f t="shared" si="53"/>
        <v>O23011745992024020708016</v>
      </c>
      <c r="AA791" s="256" t="str">
        <f>IFERROR(VLOOKUP(Y791,TD!$K$47:$L$65,2,0)," ")</f>
        <v>PM/0131/0108/45990160207</v>
      </c>
      <c r="AB791" s="135" t="s">
        <v>138</v>
      </c>
      <c r="AC791" s="257" t="s">
        <v>204</v>
      </c>
    </row>
    <row r="792" spans="2:29" ht="99" customHeight="1" x14ac:dyDescent="0.35">
      <c r="B792" s="136">
        <v>20250820</v>
      </c>
      <c r="C792" s="50" t="s">
        <v>209</v>
      </c>
      <c r="D792" s="218" t="s">
        <v>168</v>
      </c>
      <c r="E792" s="219" t="s">
        <v>611</v>
      </c>
      <c r="F792" s="254" t="s">
        <v>971</v>
      </c>
      <c r="G792" s="254" t="s">
        <v>119</v>
      </c>
      <c r="H792" s="138" t="s">
        <v>387</v>
      </c>
      <c r="I792" s="255">
        <v>8</v>
      </c>
      <c r="J792" s="255">
        <v>2</v>
      </c>
      <c r="K792" s="139">
        <v>0</v>
      </c>
      <c r="L792" s="135">
        <v>33000000</v>
      </c>
      <c r="M792" s="140" t="s">
        <v>465</v>
      </c>
      <c r="N792" s="53" t="s">
        <v>95</v>
      </c>
      <c r="O792" s="219" t="s">
        <v>224</v>
      </c>
      <c r="P792" s="256" t="str">
        <f>IFERROR(VLOOKUP(C792,TD!$B$33:$F$37,2,0)," ")</f>
        <v>O230117</v>
      </c>
      <c r="Q792" s="256" t="str">
        <f>IFERROR(VLOOKUP(C792,TD!$B$33:$F$37,3,0)," ")</f>
        <v>4503</v>
      </c>
      <c r="R792" s="256">
        <f>IFERROR(VLOOKUP(C792,TD!$B$33:$F$37,4,0)," ")</f>
        <v>20240255</v>
      </c>
      <c r="S792" s="253" t="s">
        <v>191</v>
      </c>
      <c r="T792" s="256" t="str">
        <f>IFERROR(VLOOKUP(S792,TD!$J$34:$K$44,2,0)," ")</f>
        <v>Servicio de apoyo   logístico  en eventos operativos y/o emergencias.</v>
      </c>
      <c r="U792" s="251" t="str">
        <f t="shared" si="50"/>
        <v>12-Servicio de apoyo   logístico  en eventos operativos y/o emergencias.</v>
      </c>
      <c r="V792" s="253" t="s">
        <v>232</v>
      </c>
      <c r="W792" s="221" t="str">
        <f>IFERROR(VLOOKUP(V792,TD!$N$34:$O$46,2,0)," ")</f>
        <v>Servicio de atención a emergencias y desastres</v>
      </c>
      <c r="X792" s="251" t="str">
        <f t="shared" si="51"/>
        <v>004_Servicio de atención a emergencias y desastres</v>
      </c>
      <c r="Y792" s="251" t="str">
        <f t="shared" si="52"/>
        <v>12-Servicio de apoyo   logístico  en eventos operativos y/o emergencias. 004_Servicio de atención a emergencias y desastres</v>
      </c>
      <c r="Z792" s="256" t="str">
        <f t="shared" si="53"/>
        <v>O23011745032024025512004</v>
      </c>
      <c r="AA792" s="256" t="str">
        <f>IFERROR(VLOOKUP(Y792,TD!$K$47:$L$65,2,0)," ")</f>
        <v>PM/0131/0112/45030040255</v>
      </c>
      <c r="AB792" s="135" t="s">
        <v>110</v>
      </c>
      <c r="AC792" s="257" t="s">
        <v>205</v>
      </c>
    </row>
    <row r="793" spans="2:29" ht="125.15" customHeight="1" x14ac:dyDescent="0.35">
      <c r="B793" s="136">
        <v>20250821</v>
      </c>
      <c r="C793" s="50" t="s">
        <v>209</v>
      </c>
      <c r="D793" s="218" t="s">
        <v>168</v>
      </c>
      <c r="E793" s="219" t="s">
        <v>611</v>
      </c>
      <c r="F793" s="254" t="s">
        <v>1018</v>
      </c>
      <c r="G793" s="254" t="s">
        <v>119</v>
      </c>
      <c r="H793" s="138">
        <v>15101500</v>
      </c>
      <c r="I793" s="255">
        <v>8</v>
      </c>
      <c r="J793" s="255">
        <v>1</v>
      </c>
      <c r="K793" s="139">
        <v>20</v>
      </c>
      <c r="L793" s="135">
        <v>50000000</v>
      </c>
      <c r="M793" s="140" t="s">
        <v>465</v>
      </c>
      <c r="N793" s="53" t="s">
        <v>123</v>
      </c>
      <c r="O793" s="219" t="s">
        <v>224</v>
      </c>
      <c r="P793" s="256" t="str">
        <f>IFERROR(VLOOKUP(C793,TD!$B$33:$F$37,2,0)," ")</f>
        <v>O230117</v>
      </c>
      <c r="Q793" s="256" t="str">
        <f>IFERROR(VLOOKUP(C793,TD!$B$33:$F$37,3,0)," ")</f>
        <v>4503</v>
      </c>
      <c r="R793" s="256">
        <f>IFERROR(VLOOKUP(C793,TD!$B$33:$F$37,4,0)," ")</f>
        <v>20240255</v>
      </c>
      <c r="S793" s="253" t="s">
        <v>191</v>
      </c>
      <c r="T793" s="256" t="str">
        <f>IFERROR(VLOOKUP(S793,TD!$J$34:$K$44,2,0)," ")</f>
        <v>Servicio de apoyo   logístico  en eventos operativos y/o emergencias.</v>
      </c>
      <c r="U793" s="251" t="str">
        <f t="shared" si="50"/>
        <v>12-Servicio de apoyo   logístico  en eventos operativos y/o emergencias.</v>
      </c>
      <c r="V793" s="253" t="s">
        <v>232</v>
      </c>
      <c r="W793" s="221" t="str">
        <f>IFERROR(VLOOKUP(V793,TD!$N$34:$O$46,2,0)," ")</f>
        <v>Servicio de atención a emergencias y desastres</v>
      </c>
      <c r="X793" s="251" t="str">
        <f t="shared" si="51"/>
        <v>004_Servicio de atención a emergencias y desastres</v>
      </c>
      <c r="Y793" s="251" t="str">
        <f t="shared" si="52"/>
        <v>12-Servicio de apoyo   logístico  en eventos operativos y/o emergencias. 004_Servicio de atención a emergencias y desastres</v>
      </c>
      <c r="Z793" s="256" t="str">
        <f t="shared" si="53"/>
        <v>O23011745032024025512004</v>
      </c>
      <c r="AA793" s="256" t="str">
        <f>IFERROR(VLOOKUP(Y793,TD!$K$47:$L$65,2,0)," ")</f>
        <v>PM/0131/0112/45030040255</v>
      </c>
      <c r="AB793" s="135" t="s">
        <v>92</v>
      </c>
      <c r="AC793" s="257" t="s">
        <v>205</v>
      </c>
    </row>
    <row r="794" spans="2:29" ht="99" customHeight="1" x14ac:dyDescent="0.35">
      <c r="B794" s="136">
        <v>20250822</v>
      </c>
      <c r="C794" s="50" t="s">
        <v>209</v>
      </c>
      <c r="D794" s="218" t="s">
        <v>169</v>
      </c>
      <c r="E794" s="219" t="s">
        <v>466</v>
      </c>
      <c r="F794" s="254" t="s">
        <v>1039</v>
      </c>
      <c r="G794" s="254" t="s">
        <v>156</v>
      </c>
      <c r="H794" s="138">
        <v>80111600</v>
      </c>
      <c r="I794" s="255">
        <v>9</v>
      </c>
      <c r="J794" s="255">
        <v>3</v>
      </c>
      <c r="K794" s="139">
        <v>0</v>
      </c>
      <c r="L794" s="135">
        <f>9000000</f>
        <v>9000000</v>
      </c>
      <c r="M794" s="140" t="s">
        <v>465</v>
      </c>
      <c r="N794" s="53" t="s">
        <v>113</v>
      </c>
      <c r="O794" s="219" t="s">
        <v>222</v>
      </c>
      <c r="P794" s="256" t="str">
        <f>IFERROR(VLOOKUP(C794,TD!$B$33:$F$37,2,0)," ")</f>
        <v>O230117</v>
      </c>
      <c r="Q794" s="256" t="str">
        <f>IFERROR(VLOOKUP(C794,TD!$B$33:$F$37,3,0)," ")</f>
        <v>4503</v>
      </c>
      <c r="R794" s="256">
        <f>IFERROR(VLOOKUP(C794,TD!$B$33:$F$37,4,0)," ")</f>
        <v>20240255</v>
      </c>
      <c r="S794" s="253" t="s">
        <v>175</v>
      </c>
      <c r="T794" s="256" t="str">
        <f>IFERROR(VLOOKUP(S794,TD!$J$34:$K$44,2,0)," ")</f>
        <v>Servicio de atención a incidentes y emergencias.</v>
      </c>
      <c r="U794" s="251" t="str">
        <f t="shared" si="50"/>
        <v>04-Servicio de atención a incidentes y emergencias.</v>
      </c>
      <c r="V794" s="253" t="s">
        <v>232</v>
      </c>
      <c r="W794" s="221" t="str">
        <f>IFERROR(VLOOKUP(V794,TD!$N$34:$O$46,2,0)," ")</f>
        <v>Servicio de atención a emergencias y desastres</v>
      </c>
      <c r="X794" s="251" t="str">
        <f t="shared" si="51"/>
        <v>004_Servicio de atención a emergencias y desastres</v>
      </c>
      <c r="Y794" s="251" t="str">
        <f t="shared" si="52"/>
        <v>04-Servicio de atención a incidentes y emergencias. 004_Servicio de atención a emergencias y desastres</v>
      </c>
      <c r="Z794" s="256" t="str">
        <f t="shared" si="53"/>
        <v>O23011745032024025504004</v>
      </c>
      <c r="AA794" s="256" t="str">
        <f>IFERROR(VLOOKUP(Y794,TD!$K$47:$L$65,2,0)," ")</f>
        <v>PM/0131/0104/45030040255</v>
      </c>
      <c r="AB794" s="135" t="s">
        <v>138</v>
      </c>
      <c r="AC794" s="257" t="s">
        <v>205</v>
      </c>
    </row>
    <row r="795" spans="2:29" ht="99" customHeight="1" x14ac:dyDescent="0.35">
      <c r="B795" s="136">
        <v>20250823</v>
      </c>
      <c r="C795" s="50" t="s">
        <v>209</v>
      </c>
      <c r="D795" s="218" t="s">
        <v>169</v>
      </c>
      <c r="E795" s="219" t="s">
        <v>466</v>
      </c>
      <c r="F795" s="254" t="s">
        <v>1040</v>
      </c>
      <c r="G795" s="254" t="s">
        <v>156</v>
      </c>
      <c r="H795" s="138">
        <v>80111600</v>
      </c>
      <c r="I795" s="255">
        <v>9</v>
      </c>
      <c r="J795" s="255">
        <v>3</v>
      </c>
      <c r="K795" s="139">
        <v>0</v>
      </c>
      <c r="L795" s="135">
        <f>8700000</f>
        <v>8700000</v>
      </c>
      <c r="M795" s="140" t="s">
        <v>465</v>
      </c>
      <c r="N795" s="53" t="s">
        <v>113</v>
      </c>
      <c r="O795" s="219" t="s">
        <v>222</v>
      </c>
      <c r="P795" s="256" t="str">
        <f>IFERROR(VLOOKUP(C795,TD!$B$33:$F$37,2,0)," ")</f>
        <v>O230117</v>
      </c>
      <c r="Q795" s="256" t="str">
        <f>IFERROR(VLOOKUP(C795,TD!$B$33:$F$37,3,0)," ")</f>
        <v>4503</v>
      </c>
      <c r="R795" s="256">
        <f>IFERROR(VLOOKUP(C795,TD!$B$33:$F$37,4,0)," ")</f>
        <v>20240255</v>
      </c>
      <c r="S795" s="253" t="s">
        <v>175</v>
      </c>
      <c r="T795" s="256" t="str">
        <f>IFERROR(VLOOKUP(S795,TD!$J$34:$K$44,2,0)," ")</f>
        <v>Servicio de atención a incidentes y emergencias.</v>
      </c>
      <c r="U795" s="251" t="str">
        <f t="shared" si="50"/>
        <v>04-Servicio de atención a incidentes y emergencias.</v>
      </c>
      <c r="V795" s="253" t="s">
        <v>232</v>
      </c>
      <c r="W795" s="221" t="str">
        <f>IFERROR(VLOOKUP(V795,TD!$N$34:$O$46,2,0)," ")</f>
        <v>Servicio de atención a emergencias y desastres</v>
      </c>
      <c r="X795" s="251" t="str">
        <f t="shared" si="51"/>
        <v>004_Servicio de atención a emergencias y desastres</v>
      </c>
      <c r="Y795" s="251" t="str">
        <f t="shared" si="52"/>
        <v>04-Servicio de atención a incidentes y emergencias. 004_Servicio de atención a emergencias y desastres</v>
      </c>
      <c r="Z795" s="256" t="str">
        <f t="shared" si="53"/>
        <v>O23011745032024025504004</v>
      </c>
      <c r="AA795" s="256" t="str">
        <f>IFERROR(VLOOKUP(Y795,TD!$K$47:$L$65,2,0)," ")</f>
        <v>PM/0131/0104/45030040255</v>
      </c>
      <c r="AB795" s="135" t="s">
        <v>138</v>
      </c>
      <c r="AC795" s="257" t="s">
        <v>205</v>
      </c>
    </row>
    <row r="796" spans="2:29" ht="99" customHeight="1" x14ac:dyDescent="0.35">
      <c r="B796" s="136">
        <v>20250824</v>
      </c>
      <c r="C796" s="50" t="s">
        <v>209</v>
      </c>
      <c r="D796" s="218" t="s">
        <v>169</v>
      </c>
      <c r="E796" s="219" t="s">
        <v>466</v>
      </c>
      <c r="F796" s="254" t="s">
        <v>1041</v>
      </c>
      <c r="G796" s="254" t="s">
        <v>156</v>
      </c>
      <c r="H796" s="138">
        <v>80111600</v>
      </c>
      <c r="I796" s="255">
        <v>9</v>
      </c>
      <c r="J796" s="255">
        <v>3</v>
      </c>
      <c r="K796" s="139">
        <v>0</v>
      </c>
      <c r="L796" s="135">
        <f>8700000</f>
        <v>8700000</v>
      </c>
      <c r="M796" s="140" t="s">
        <v>465</v>
      </c>
      <c r="N796" s="53" t="s">
        <v>113</v>
      </c>
      <c r="O796" s="219" t="s">
        <v>222</v>
      </c>
      <c r="P796" s="256" t="str">
        <f>IFERROR(VLOOKUP(C796,TD!$B$33:$F$37,2,0)," ")</f>
        <v>O230117</v>
      </c>
      <c r="Q796" s="256" t="str">
        <f>IFERROR(VLOOKUP(C796,TD!$B$33:$F$37,3,0)," ")</f>
        <v>4503</v>
      </c>
      <c r="R796" s="256">
        <f>IFERROR(VLOOKUP(C796,TD!$B$33:$F$37,4,0)," ")</f>
        <v>20240255</v>
      </c>
      <c r="S796" s="253" t="s">
        <v>175</v>
      </c>
      <c r="T796" s="256" t="str">
        <f>IFERROR(VLOOKUP(S796,TD!$J$34:$K$44,2,0)," ")</f>
        <v>Servicio de atención a incidentes y emergencias.</v>
      </c>
      <c r="U796" s="251" t="str">
        <f t="shared" si="50"/>
        <v>04-Servicio de atención a incidentes y emergencias.</v>
      </c>
      <c r="V796" s="253" t="s">
        <v>232</v>
      </c>
      <c r="W796" s="221" t="str">
        <f>IFERROR(VLOOKUP(V796,TD!$N$34:$O$46,2,0)," ")</f>
        <v>Servicio de atención a emergencias y desastres</v>
      </c>
      <c r="X796" s="251" t="str">
        <f t="shared" si="51"/>
        <v>004_Servicio de atención a emergencias y desastres</v>
      </c>
      <c r="Y796" s="251" t="str">
        <f t="shared" si="52"/>
        <v>04-Servicio de atención a incidentes y emergencias. 004_Servicio de atención a emergencias y desastres</v>
      </c>
      <c r="Z796" s="256" t="str">
        <f t="shared" si="53"/>
        <v>O23011745032024025504004</v>
      </c>
      <c r="AA796" s="256" t="str">
        <f>IFERROR(VLOOKUP(Y796,TD!$K$47:$L$65,2,0)," ")</f>
        <v>PM/0131/0104/45030040255</v>
      </c>
      <c r="AB796" s="135" t="s">
        <v>138</v>
      </c>
      <c r="AC796" s="257" t="s">
        <v>205</v>
      </c>
    </row>
    <row r="797" spans="2:29" ht="99" customHeight="1" x14ac:dyDescent="0.35">
      <c r="B797" s="136">
        <v>20250825</v>
      </c>
      <c r="C797" s="50" t="s">
        <v>209</v>
      </c>
      <c r="D797" s="218" t="s">
        <v>169</v>
      </c>
      <c r="E797" s="219" t="s">
        <v>466</v>
      </c>
      <c r="F797" s="254" t="s">
        <v>1042</v>
      </c>
      <c r="G797" s="254" t="s">
        <v>156</v>
      </c>
      <c r="H797" s="138" t="s">
        <v>1047</v>
      </c>
      <c r="I797" s="255">
        <v>9</v>
      </c>
      <c r="J797" s="255">
        <v>3</v>
      </c>
      <c r="K797" s="139">
        <v>0</v>
      </c>
      <c r="L797" s="135">
        <f>9000000</f>
        <v>9000000</v>
      </c>
      <c r="M797" s="140" t="s">
        <v>465</v>
      </c>
      <c r="N797" s="53" t="s">
        <v>113</v>
      </c>
      <c r="O797" s="219" t="s">
        <v>222</v>
      </c>
      <c r="P797" s="256" t="str">
        <f>IFERROR(VLOOKUP(C797,TD!$B$33:$F$37,2,0)," ")</f>
        <v>O230117</v>
      </c>
      <c r="Q797" s="256" t="str">
        <f>IFERROR(VLOOKUP(C797,TD!$B$33:$F$37,3,0)," ")</f>
        <v>4503</v>
      </c>
      <c r="R797" s="256">
        <f>IFERROR(VLOOKUP(C797,TD!$B$33:$F$37,4,0)," ")</f>
        <v>20240255</v>
      </c>
      <c r="S797" s="253" t="s">
        <v>175</v>
      </c>
      <c r="T797" s="256" t="str">
        <f>IFERROR(VLOOKUP(S797,TD!$J$34:$K$44,2,0)," ")</f>
        <v>Servicio de atención a incidentes y emergencias.</v>
      </c>
      <c r="U797" s="251" t="str">
        <f t="shared" si="50"/>
        <v>04-Servicio de atención a incidentes y emergencias.</v>
      </c>
      <c r="V797" s="253" t="s">
        <v>232</v>
      </c>
      <c r="W797" s="221" t="str">
        <f>IFERROR(VLOOKUP(V797,TD!$N$34:$O$46,2,0)," ")</f>
        <v>Servicio de atención a emergencias y desastres</v>
      </c>
      <c r="X797" s="251" t="str">
        <f t="shared" si="51"/>
        <v>004_Servicio de atención a emergencias y desastres</v>
      </c>
      <c r="Y797" s="251" t="str">
        <f t="shared" si="52"/>
        <v>04-Servicio de atención a incidentes y emergencias. 004_Servicio de atención a emergencias y desastres</v>
      </c>
      <c r="Z797" s="256" t="str">
        <f t="shared" si="53"/>
        <v>O23011745032024025504004</v>
      </c>
      <c r="AA797" s="256" t="str">
        <f>IFERROR(VLOOKUP(Y797,TD!$K$47:$L$65,2,0)," ")</f>
        <v>PM/0131/0104/45030040255</v>
      </c>
      <c r="AB797" s="135" t="s">
        <v>138</v>
      </c>
      <c r="AC797" s="257" t="s">
        <v>205</v>
      </c>
    </row>
    <row r="798" spans="2:29" ht="99" customHeight="1" x14ac:dyDescent="0.35">
      <c r="B798" s="136">
        <v>20250826</v>
      </c>
      <c r="C798" s="50" t="s">
        <v>209</v>
      </c>
      <c r="D798" s="218" t="s">
        <v>169</v>
      </c>
      <c r="E798" s="219" t="s">
        <v>466</v>
      </c>
      <c r="F798" s="254" t="s">
        <v>1043</v>
      </c>
      <c r="G798" s="254" t="s">
        <v>156</v>
      </c>
      <c r="H798" s="138">
        <v>80111600</v>
      </c>
      <c r="I798" s="255">
        <v>9</v>
      </c>
      <c r="J798" s="255">
        <v>3</v>
      </c>
      <c r="K798" s="139">
        <v>0</v>
      </c>
      <c r="L798" s="135">
        <f>9000000</f>
        <v>9000000</v>
      </c>
      <c r="M798" s="140" t="s">
        <v>465</v>
      </c>
      <c r="N798" s="53" t="s">
        <v>113</v>
      </c>
      <c r="O798" s="219" t="s">
        <v>222</v>
      </c>
      <c r="P798" s="256" t="str">
        <f>IFERROR(VLOOKUP(C798,TD!$B$33:$F$37,2,0)," ")</f>
        <v>O230117</v>
      </c>
      <c r="Q798" s="256" t="str">
        <f>IFERROR(VLOOKUP(C798,TD!$B$33:$F$37,3,0)," ")</f>
        <v>4503</v>
      </c>
      <c r="R798" s="256">
        <f>IFERROR(VLOOKUP(C798,TD!$B$33:$F$37,4,0)," ")</f>
        <v>20240255</v>
      </c>
      <c r="S798" s="253" t="s">
        <v>175</v>
      </c>
      <c r="T798" s="256" t="str">
        <f>IFERROR(VLOOKUP(S798,TD!$J$34:$K$44,2,0)," ")</f>
        <v>Servicio de atención a incidentes y emergencias.</v>
      </c>
      <c r="U798" s="251" t="str">
        <f t="shared" si="50"/>
        <v>04-Servicio de atención a incidentes y emergencias.</v>
      </c>
      <c r="V798" s="253" t="s">
        <v>232</v>
      </c>
      <c r="W798" s="221" t="str">
        <f>IFERROR(VLOOKUP(V798,TD!$N$34:$O$46,2,0)," ")</f>
        <v>Servicio de atención a emergencias y desastres</v>
      </c>
      <c r="X798" s="251" t="str">
        <f t="shared" si="51"/>
        <v>004_Servicio de atención a emergencias y desastres</v>
      </c>
      <c r="Y798" s="251" t="str">
        <f t="shared" si="52"/>
        <v>04-Servicio de atención a incidentes y emergencias. 004_Servicio de atención a emergencias y desastres</v>
      </c>
      <c r="Z798" s="256" t="str">
        <f t="shared" si="53"/>
        <v>O23011745032024025504004</v>
      </c>
      <c r="AA798" s="256" t="str">
        <f>IFERROR(VLOOKUP(Y798,TD!$K$47:$L$65,2,0)," ")</f>
        <v>PM/0131/0104/45030040255</v>
      </c>
      <c r="AB798" s="135" t="s">
        <v>138</v>
      </c>
      <c r="AC798" s="257" t="s">
        <v>205</v>
      </c>
    </row>
    <row r="799" spans="2:29" ht="99" customHeight="1" x14ac:dyDescent="0.35">
      <c r="B799" s="136">
        <v>20250827</v>
      </c>
      <c r="C799" s="50" t="s">
        <v>209</v>
      </c>
      <c r="D799" s="218" t="s">
        <v>169</v>
      </c>
      <c r="E799" s="219" t="s">
        <v>466</v>
      </c>
      <c r="F799" s="254" t="s">
        <v>1044</v>
      </c>
      <c r="G799" s="254" t="s">
        <v>156</v>
      </c>
      <c r="H799" s="138">
        <v>80111600</v>
      </c>
      <c r="I799" s="255">
        <v>9</v>
      </c>
      <c r="J799" s="255">
        <v>3</v>
      </c>
      <c r="K799" s="139">
        <v>0</v>
      </c>
      <c r="L799" s="135">
        <f>8700000</f>
        <v>8700000</v>
      </c>
      <c r="M799" s="140" t="s">
        <v>465</v>
      </c>
      <c r="N799" s="53" t="s">
        <v>113</v>
      </c>
      <c r="O799" s="219" t="s">
        <v>222</v>
      </c>
      <c r="P799" s="256" t="str">
        <f>IFERROR(VLOOKUP(C799,TD!$B$33:$F$37,2,0)," ")</f>
        <v>O230117</v>
      </c>
      <c r="Q799" s="256" t="str">
        <f>IFERROR(VLOOKUP(C799,TD!$B$33:$F$37,3,0)," ")</f>
        <v>4503</v>
      </c>
      <c r="R799" s="256">
        <f>IFERROR(VLOOKUP(C799,TD!$B$33:$F$37,4,0)," ")</f>
        <v>20240255</v>
      </c>
      <c r="S799" s="253" t="s">
        <v>175</v>
      </c>
      <c r="T799" s="256" t="str">
        <f>IFERROR(VLOOKUP(S799,TD!$J$34:$K$44,2,0)," ")</f>
        <v>Servicio de atención a incidentes y emergencias.</v>
      </c>
      <c r="U799" s="251" t="str">
        <f t="shared" si="50"/>
        <v>04-Servicio de atención a incidentes y emergencias.</v>
      </c>
      <c r="V799" s="253" t="s">
        <v>232</v>
      </c>
      <c r="W799" s="221" t="str">
        <f>IFERROR(VLOOKUP(V799,TD!$N$34:$O$46,2,0)," ")</f>
        <v>Servicio de atención a emergencias y desastres</v>
      </c>
      <c r="X799" s="251" t="str">
        <f t="shared" si="51"/>
        <v>004_Servicio de atención a emergencias y desastres</v>
      </c>
      <c r="Y799" s="251" t="str">
        <f t="shared" si="52"/>
        <v>04-Servicio de atención a incidentes y emergencias. 004_Servicio de atención a emergencias y desastres</v>
      </c>
      <c r="Z799" s="256" t="str">
        <f t="shared" si="53"/>
        <v>O23011745032024025504004</v>
      </c>
      <c r="AA799" s="256" t="str">
        <f>IFERROR(VLOOKUP(Y799,TD!$K$47:$L$65,2,0)," ")</f>
        <v>PM/0131/0104/45030040255</v>
      </c>
      <c r="AB799" s="135" t="s">
        <v>138</v>
      </c>
      <c r="AC799" s="257" t="s">
        <v>205</v>
      </c>
    </row>
    <row r="800" spans="2:29" ht="99" customHeight="1" x14ac:dyDescent="0.35">
      <c r="B800" s="136">
        <v>20250828</v>
      </c>
      <c r="C800" s="137" t="s">
        <v>209</v>
      </c>
      <c r="D800" s="254" t="s">
        <v>169</v>
      </c>
      <c r="E800" s="253" t="s">
        <v>466</v>
      </c>
      <c r="F800" s="254" t="s">
        <v>1045</v>
      </c>
      <c r="G800" s="254" t="s">
        <v>156</v>
      </c>
      <c r="H800" s="138">
        <v>80111600</v>
      </c>
      <c r="I800" s="255">
        <v>9</v>
      </c>
      <c r="J800" s="255">
        <v>3</v>
      </c>
      <c r="K800" s="139">
        <v>0</v>
      </c>
      <c r="L800" s="135">
        <f>8700000</f>
        <v>8700000</v>
      </c>
      <c r="M800" s="140" t="s">
        <v>465</v>
      </c>
      <c r="N800" s="53" t="s">
        <v>113</v>
      </c>
      <c r="O800" s="219" t="s">
        <v>222</v>
      </c>
      <c r="P800" s="256" t="str">
        <f>IFERROR(VLOOKUP(C800,TD!$B$33:$F$37,2,0)," ")</f>
        <v>O230117</v>
      </c>
      <c r="Q800" s="256" t="str">
        <f>IFERROR(VLOOKUP(C800,TD!$B$33:$F$37,3,0)," ")</f>
        <v>4503</v>
      </c>
      <c r="R800" s="256">
        <f>IFERROR(VLOOKUP(C800,TD!$B$33:$F$37,4,0)," ")</f>
        <v>20240255</v>
      </c>
      <c r="S800" s="253" t="s">
        <v>175</v>
      </c>
      <c r="T800" s="256" t="str">
        <f>IFERROR(VLOOKUP(S800,TD!$J$34:$K$44,2,0)," ")</f>
        <v>Servicio de atención a incidentes y emergencias.</v>
      </c>
      <c r="U800" s="251" t="str">
        <f t="shared" si="50"/>
        <v>04-Servicio de atención a incidentes y emergencias.</v>
      </c>
      <c r="V800" s="253" t="s">
        <v>232</v>
      </c>
      <c r="W800" s="221" t="str">
        <f>IFERROR(VLOOKUP(V800,TD!$N$34:$O$46,2,0)," ")</f>
        <v>Servicio de atención a emergencias y desastres</v>
      </c>
      <c r="X800" s="251" t="str">
        <f t="shared" si="51"/>
        <v>004_Servicio de atención a emergencias y desastres</v>
      </c>
      <c r="Y800" s="251" t="str">
        <f t="shared" si="52"/>
        <v>04-Servicio de atención a incidentes y emergencias. 004_Servicio de atención a emergencias y desastres</v>
      </c>
      <c r="Z800" s="256" t="str">
        <f t="shared" si="53"/>
        <v>O23011745032024025504004</v>
      </c>
      <c r="AA800" s="256" t="str">
        <f>IFERROR(VLOOKUP(Y800,TD!$K$47:$L$65,2,0)," ")</f>
        <v>PM/0131/0104/45030040255</v>
      </c>
      <c r="AB800" s="135" t="s">
        <v>138</v>
      </c>
      <c r="AC800" s="257" t="s">
        <v>205</v>
      </c>
    </row>
    <row r="801" spans="2:29" ht="99" customHeight="1" x14ac:dyDescent="0.35">
      <c r="B801" s="77">
        <v>20250829</v>
      </c>
      <c r="C801" s="50" t="s">
        <v>209</v>
      </c>
      <c r="D801" s="218" t="s">
        <v>169</v>
      </c>
      <c r="E801" s="219" t="s">
        <v>466</v>
      </c>
      <c r="F801" s="218" t="s">
        <v>1046</v>
      </c>
      <c r="G801" s="218" t="s">
        <v>155</v>
      </c>
      <c r="H801" s="93">
        <v>80111600</v>
      </c>
      <c r="I801" s="220">
        <v>8</v>
      </c>
      <c r="J801" s="220">
        <v>5</v>
      </c>
      <c r="K801" s="52">
        <v>0</v>
      </c>
      <c r="L801" s="53">
        <f>42500000</f>
        <v>42500000</v>
      </c>
      <c r="M801" s="140" t="s">
        <v>465</v>
      </c>
      <c r="N801" s="53" t="s">
        <v>113</v>
      </c>
      <c r="O801" s="219" t="s">
        <v>222</v>
      </c>
      <c r="P801" s="221" t="str">
        <f>IFERROR(VLOOKUP(C801,TD!$B$33:$F$37,2,0)," ")</f>
        <v>O230117</v>
      </c>
      <c r="Q801" s="221" t="str">
        <f>IFERROR(VLOOKUP(C801,TD!$B$33:$F$37,3,0)," ")</f>
        <v>4503</v>
      </c>
      <c r="R801" s="221">
        <f>IFERROR(VLOOKUP(C801,TD!$B$33:$F$37,4,0)," ")</f>
        <v>20240255</v>
      </c>
      <c r="S801" s="219" t="s">
        <v>175</v>
      </c>
      <c r="T801" s="256" t="str">
        <f>IFERROR(VLOOKUP(S801,TD!$J$34:$K$44,2,0)," ")</f>
        <v>Servicio de atención a incidentes y emergencias.</v>
      </c>
      <c r="U801" s="222" t="str">
        <f t="shared" si="50"/>
        <v>04-Servicio de atención a incidentes y emergencias.</v>
      </c>
      <c r="V801" s="253" t="s">
        <v>232</v>
      </c>
      <c r="W801" s="221" t="str">
        <f>IFERROR(VLOOKUP(V801,TD!$N$34:$O$46,2,0)," ")</f>
        <v>Servicio de atención a emergencias y desastres</v>
      </c>
      <c r="X801" s="222" t="str">
        <f t="shared" si="51"/>
        <v>004_Servicio de atención a emergencias y desastres</v>
      </c>
      <c r="Y801" s="222" t="str">
        <f t="shared" si="52"/>
        <v>04-Servicio de atención a incidentes y emergencias. 004_Servicio de atención a emergencias y desastres</v>
      </c>
      <c r="Z801" s="221" t="str">
        <f t="shared" si="53"/>
        <v>O23011745032024025504004</v>
      </c>
      <c r="AA801" s="221" t="str">
        <f>IFERROR(VLOOKUP(Y801,TD!$K$47:$L$65,2,0)," ")</f>
        <v>PM/0131/0104/45030040255</v>
      </c>
      <c r="AB801" s="53" t="s">
        <v>120</v>
      </c>
      <c r="AC801" s="223" t="s">
        <v>204</v>
      </c>
    </row>
    <row r="802" spans="2:29" ht="99" customHeight="1" x14ac:dyDescent="0.35">
      <c r="B802" s="136">
        <v>20250830</v>
      </c>
      <c r="C802" s="50" t="s">
        <v>346</v>
      </c>
      <c r="D802" s="218" t="s">
        <v>165</v>
      </c>
      <c r="E802" s="219" t="s">
        <v>486</v>
      </c>
      <c r="F802" s="254" t="s">
        <v>1048</v>
      </c>
      <c r="G802" s="254" t="s">
        <v>137</v>
      </c>
      <c r="H802" s="138" t="s">
        <v>406</v>
      </c>
      <c r="I802" s="255">
        <v>8</v>
      </c>
      <c r="J802" s="255">
        <v>1</v>
      </c>
      <c r="K802" s="139">
        <v>0</v>
      </c>
      <c r="L802" s="135">
        <v>74022000</v>
      </c>
      <c r="M802" s="140" t="s">
        <v>172</v>
      </c>
      <c r="N802" s="135" t="s">
        <v>128</v>
      </c>
      <c r="O802" s="219" t="s">
        <v>347</v>
      </c>
      <c r="P802" s="256" t="str">
        <f>IFERROR(VLOOKUP(C802,TD!$B$33:$F$37,2,0)," ")</f>
        <v>NA</v>
      </c>
      <c r="Q802" s="256" t="str">
        <f>IFERROR(VLOOKUP(C802,TD!$B$33:$F$37,3,0)," ")</f>
        <v>NA</v>
      </c>
      <c r="R802" s="256" t="str">
        <f>IFERROR(VLOOKUP(C802,TD!$B$33:$F$37,4,0)," ")</f>
        <v>NA</v>
      </c>
      <c r="S802" s="219" t="s">
        <v>406</v>
      </c>
      <c r="T802" s="256" t="str">
        <f>IFERROR(VLOOKUP(S802,TD!$J$34:$K$44,2,0)," ")</f>
        <v>N/A</v>
      </c>
      <c r="U802" s="251" t="str">
        <f t="shared" si="50"/>
        <v>N/A-N/A</v>
      </c>
      <c r="V802" s="253" t="s">
        <v>406</v>
      </c>
      <c r="W802" s="221" t="str">
        <f>IFERROR(VLOOKUP(V802,TD!$N$34:$O$46,2,0)," ")</f>
        <v>N/A</v>
      </c>
      <c r="X802" s="251" t="str">
        <f t="shared" si="51"/>
        <v>N/A_N/A</v>
      </c>
      <c r="Y802" s="251" t="str">
        <f t="shared" si="52"/>
        <v>N/A-N/A N/A_N/A</v>
      </c>
      <c r="Z802" s="256" t="str">
        <f t="shared" si="53"/>
        <v>NANANAN/AN/A</v>
      </c>
      <c r="AA802" s="256" t="str">
        <f>IFERROR(VLOOKUP(Y802,TD!$K$47:$L$65,2,0)," ")</f>
        <v>N/A</v>
      </c>
      <c r="AB802" s="135" t="s">
        <v>348</v>
      </c>
      <c r="AC802" s="257" t="s">
        <v>204</v>
      </c>
    </row>
    <row r="803" spans="2:29" ht="99" customHeight="1" x14ac:dyDescent="0.35">
      <c r="B803" s="136">
        <v>20250831</v>
      </c>
      <c r="C803" s="50" t="s">
        <v>209</v>
      </c>
      <c r="D803" s="218" t="s">
        <v>165</v>
      </c>
      <c r="E803" s="219" t="s">
        <v>486</v>
      </c>
      <c r="F803" s="254" t="s">
        <v>1049</v>
      </c>
      <c r="G803" s="254" t="s">
        <v>137</v>
      </c>
      <c r="H803" s="138" t="s">
        <v>406</v>
      </c>
      <c r="I803" s="255" t="s">
        <v>406</v>
      </c>
      <c r="J803" s="255" t="s">
        <v>406</v>
      </c>
      <c r="K803" s="139" t="s">
        <v>406</v>
      </c>
      <c r="L803" s="135">
        <v>2100000</v>
      </c>
      <c r="M803" s="140" t="s">
        <v>465</v>
      </c>
      <c r="N803" s="135" t="s">
        <v>128</v>
      </c>
      <c r="O803" s="219" t="s">
        <v>229</v>
      </c>
      <c r="P803" s="256" t="str">
        <f>IFERROR(VLOOKUP(C803,TD!$B$33:$F$37,2,0)," ")</f>
        <v>O230117</v>
      </c>
      <c r="Q803" s="256" t="str">
        <f>IFERROR(VLOOKUP(C803,TD!$B$33:$F$37,3,0)," ")</f>
        <v>4503</v>
      </c>
      <c r="R803" s="256">
        <f>IFERROR(VLOOKUP(C803,TD!$B$33:$F$37,4,0)," ")</f>
        <v>20240255</v>
      </c>
      <c r="S803" s="219" t="s">
        <v>183</v>
      </c>
      <c r="T803" s="256" t="str">
        <f>IFERROR(VLOOKUP(S803,TD!$J$34:$K$44,2,0)," ")</f>
        <v>Servicio de formación en gestión del riesgo de incendios para el personal UAECOB</v>
      </c>
      <c r="U803" s="251" t="str">
        <f t="shared" si="50"/>
        <v>07-Servicio de formación en gestión del riesgo de incendios para el personal UAECOB</v>
      </c>
      <c r="V803" s="253" t="s">
        <v>233</v>
      </c>
      <c r="W803" s="221" t="str">
        <f>IFERROR(VLOOKUP(V803,TD!$N$34:$O$46,2,0)," ")</f>
        <v>Servicio de educación informal</v>
      </c>
      <c r="X803" s="251" t="str">
        <f t="shared" si="51"/>
        <v>002_Servicio de educación informal</v>
      </c>
      <c r="Y803" s="251" t="str">
        <f t="shared" si="52"/>
        <v>07-Servicio de formación en gestión del riesgo de incendios para el personal UAECOB 002_Servicio de educación informal</v>
      </c>
      <c r="Z803" s="256" t="str">
        <f t="shared" si="53"/>
        <v>O23011745032024025507002</v>
      </c>
      <c r="AA803" s="256" t="str">
        <f>IFERROR(VLOOKUP(Y803,TD!$K$47:$L$65,2,0)," ")</f>
        <v>PM/0131/0107/45030020255</v>
      </c>
      <c r="AB803" s="135" t="s">
        <v>138</v>
      </c>
      <c r="AC803" s="257" t="s">
        <v>205</v>
      </c>
    </row>
    <row r="804" spans="2:29" ht="99" customHeight="1" x14ac:dyDescent="0.35">
      <c r="B804" s="136">
        <v>20250832</v>
      </c>
      <c r="C804" s="50" t="s">
        <v>208</v>
      </c>
      <c r="D804" s="218" t="s">
        <v>166</v>
      </c>
      <c r="E804" s="219" t="s">
        <v>565</v>
      </c>
      <c r="F804" s="254" t="s">
        <v>1052</v>
      </c>
      <c r="G804" s="254" t="s">
        <v>96</v>
      </c>
      <c r="H804" s="138" t="s">
        <v>567</v>
      </c>
      <c r="I804" s="255">
        <v>8</v>
      </c>
      <c r="J804" s="255">
        <v>1</v>
      </c>
      <c r="K804" s="139">
        <v>0</v>
      </c>
      <c r="L804" s="135">
        <v>39178422</v>
      </c>
      <c r="M804" s="140" t="s">
        <v>465</v>
      </c>
      <c r="N804" s="135" t="s">
        <v>123</v>
      </c>
      <c r="O804" s="219" t="s">
        <v>218</v>
      </c>
      <c r="P804" s="256" t="str">
        <f>IFERROR(VLOOKUP(C804,TD!$B$33:$F$37,2,0)," ")</f>
        <v>O230117</v>
      </c>
      <c r="Q804" s="256" t="str">
        <f>IFERROR(VLOOKUP(C804,TD!$B$33:$F$37,3,0)," ")</f>
        <v>4599</v>
      </c>
      <c r="R804" s="256">
        <f>IFERROR(VLOOKUP(C804,TD!$B$33:$F$37,4,0)," ")</f>
        <v>20240207</v>
      </c>
      <c r="S804" s="219" t="s">
        <v>185</v>
      </c>
      <c r="T804" s="256" t="str">
        <f>IFERROR(VLOOKUP(S804,TD!$J$34:$K$44,2,0)," ")</f>
        <v>Infraestructura física, mantenimiento y dotación (Sedes construidas, mantenidas reforzadas)</v>
      </c>
      <c r="U804" s="251" t="str">
        <f t="shared" si="50"/>
        <v>08-Infraestructura física, mantenimiento y dotación (Sedes construidas, mantenidas reforzadas)</v>
      </c>
      <c r="V804" s="253" t="s">
        <v>238</v>
      </c>
      <c r="W804" s="221" t="str">
        <f>IFERROR(VLOOKUP(V804,TD!$N$34:$O$46,2,0)," ")</f>
        <v>Sedes mantenidas</v>
      </c>
      <c r="X804" s="251" t="str">
        <f t="shared" si="51"/>
        <v>016_Sedes mantenidas</v>
      </c>
      <c r="Y804" s="251" t="str">
        <f t="shared" si="52"/>
        <v>08-Infraestructura física, mantenimiento y dotación (Sedes construidas, mantenidas reforzadas) 016_Sedes mantenidas</v>
      </c>
      <c r="Z804" s="256" t="str">
        <f t="shared" si="53"/>
        <v>O23011745992024020708016</v>
      </c>
      <c r="AA804" s="256" t="str">
        <f>IFERROR(VLOOKUP(Y804,TD!$K$47:$L$65,2,0)," ")</f>
        <v>PM/0131/0108/45990160207</v>
      </c>
      <c r="AB804" s="135" t="s">
        <v>143</v>
      </c>
      <c r="AC804" s="257" t="s">
        <v>204</v>
      </c>
    </row>
    <row r="805" spans="2:29" ht="99" customHeight="1" x14ac:dyDescent="0.35">
      <c r="B805" s="136">
        <v>20250833</v>
      </c>
      <c r="C805" s="50" t="s">
        <v>346</v>
      </c>
      <c r="D805" s="218" t="s">
        <v>166</v>
      </c>
      <c r="E805" s="219" t="s">
        <v>565</v>
      </c>
      <c r="F805" s="254" t="s">
        <v>1052</v>
      </c>
      <c r="G805" s="254" t="s">
        <v>96</v>
      </c>
      <c r="H805" s="138" t="s">
        <v>567</v>
      </c>
      <c r="I805" s="255">
        <v>8</v>
      </c>
      <c r="J805" s="255">
        <v>1</v>
      </c>
      <c r="K805" s="139">
        <v>0</v>
      </c>
      <c r="L805" s="135">
        <v>39178422</v>
      </c>
      <c r="M805" s="140" t="s">
        <v>172</v>
      </c>
      <c r="N805" s="135" t="s">
        <v>123</v>
      </c>
      <c r="O805" s="219" t="s">
        <v>347</v>
      </c>
      <c r="P805" s="256" t="str">
        <f>IFERROR(VLOOKUP(C805,TD!$B$33:$F$37,2,0)," ")</f>
        <v>NA</v>
      </c>
      <c r="Q805" s="256" t="str">
        <f>IFERROR(VLOOKUP(C805,TD!$B$33:$F$37,3,0)," ")</f>
        <v>NA</v>
      </c>
      <c r="R805" s="256" t="str">
        <f>IFERROR(VLOOKUP(C805,TD!$B$33:$F$37,4,0)," ")</f>
        <v>NA</v>
      </c>
      <c r="S805" s="219" t="s">
        <v>406</v>
      </c>
      <c r="T805" s="256" t="str">
        <f>IFERROR(VLOOKUP(S805,TD!$J$34:$K$44,2,0)," ")</f>
        <v>N/A</v>
      </c>
      <c r="U805" s="251" t="str">
        <f t="shared" si="50"/>
        <v>N/A-N/A</v>
      </c>
      <c r="V805" s="253" t="s">
        <v>406</v>
      </c>
      <c r="W805" s="221" t="str">
        <f>IFERROR(VLOOKUP(V805,TD!$J$34:$K$44,2,0)," ")</f>
        <v>N/A</v>
      </c>
      <c r="X805" s="251" t="str">
        <f t="shared" si="51"/>
        <v>N/A_N/A</v>
      </c>
      <c r="Y805" s="251" t="str">
        <f t="shared" si="52"/>
        <v>N/A-N/A N/A_N/A</v>
      </c>
      <c r="Z805" s="256" t="str">
        <f t="shared" si="53"/>
        <v>NANANAN/AN/A</v>
      </c>
      <c r="AA805" s="256" t="str">
        <f>IFERROR(VLOOKUP(Y805,TD!$K$47:$L$65,2,0)," ")</f>
        <v>N/A</v>
      </c>
      <c r="AB805" s="135" t="s">
        <v>348</v>
      </c>
      <c r="AC805" s="257" t="s">
        <v>204</v>
      </c>
    </row>
    <row r="806" spans="2:29" ht="99" customHeight="1" x14ac:dyDescent="0.35">
      <c r="B806" s="136">
        <v>20250834</v>
      </c>
      <c r="C806" s="50" t="s">
        <v>346</v>
      </c>
      <c r="D806" s="218" t="s">
        <v>166</v>
      </c>
      <c r="E806" s="219" t="s">
        <v>565</v>
      </c>
      <c r="F806" s="254" t="s">
        <v>1052</v>
      </c>
      <c r="G806" s="254" t="s">
        <v>96</v>
      </c>
      <c r="H806" s="138" t="s">
        <v>567</v>
      </c>
      <c r="I806" s="255">
        <v>8</v>
      </c>
      <c r="J806" s="255">
        <v>1</v>
      </c>
      <c r="K806" s="139">
        <v>0</v>
      </c>
      <c r="L806" s="135">
        <v>24625216</v>
      </c>
      <c r="M806" s="140" t="s">
        <v>172</v>
      </c>
      <c r="N806" s="135" t="s">
        <v>123</v>
      </c>
      <c r="O806" s="219" t="s">
        <v>347</v>
      </c>
      <c r="P806" s="256" t="str">
        <f>IFERROR(VLOOKUP(C806,TD!$B$33:$F$37,2,0)," ")</f>
        <v>NA</v>
      </c>
      <c r="Q806" s="256" t="str">
        <f>IFERROR(VLOOKUP(C806,TD!$B$33:$F$37,3,0)," ")</f>
        <v>NA</v>
      </c>
      <c r="R806" s="256" t="str">
        <f>IFERROR(VLOOKUP(C806,TD!$B$33:$F$37,4,0)," ")</f>
        <v>NA</v>
      </c>
      <c r="S806" s="219" t="s">
        <v>406</v>
      </c>
      <c r="T806" s="256" t="str">
        <f>IFERROR(VLOOKUP(S806,TD!$J$34:$K$44,2,0)," ")</f>
        <v>N/A</v>
      </c>
      <c r="U806" s="251" t="str">
        <f t="shared" si="50"/>
        <v>N/A-N/A</v>
      </c>
      <c r="V806" s="253" t="s">
        <v>406</v>
      </c>
      <c r="W806" s="221" t="str">
        <f>IFERROR(VLOOKUP(V806,TD!$N$34:$O$46,2,0)," ")</f>
        <v>N/A</v>
      </c>
      <c r="X806" s="251" t="str">
        <f t="shared" si="51"/>
        <v>N/A_N/A</v>
      </c>
      <c r="Y806" s="251" t="str">
        <f t="shared" si="52"/>
        <v>N/A-N/A N/A_N/A</v>
      </c>
      <c r="Z806" s="256" t="str">
        <f t="shared" si="53"/>
        <v>NANANAN/AN/A</v>
      </c>
      <c r="AA806" s="256" t="str">
        <f>IFERROR(VLOOKUP(Y806,TD!$K$47:$L$65,2,0)," ")</f>
        <v>N/A</v>
      </c>
      <c r="AB806" s="135" t="s">
        <v>348</v>
      </c>
      <c r="AC806" s="257" t="s">
        <v>204</v>
      </c>
    </row>
    <row r="807" spans="2:29" ht="99" customHeight="1" x14ac:dyDescent="0.35">
      <c r="B807" s="136">
        <v>20250835</v>
      </c>
      <c r="C807" s="50" t="s">
        <v>209</v>
      </c>
      <c r="D807" s="218" t="s">
        <v>166</v>
      </c>
      <c r="E807" s="219" t="s">
        <v>565</v>
      </c>
      <c r="F807" s="254" t="s">
        <v>1053</v>
      </c>
      <c r="G807" s="254" t="s">
        <v>137</v>
      </c>
      <c r="H807" s="138" t="s">
        <v>406</v>
      </c>
      <c r="I807" s="255" t="s">
        <v>406</v>
      </c>
      <c r="J807" s="255" t="s">
        <v>406</v>
      </c>
      <c r="K807" s="139" t="s">
        <v>406</v>
      </c>
      <c r="L807" s="135">
        <v>12461974</v>
      </c>
      <c r="M807" s="140" t="s">
        <v>173</v>
      </c>
      <c r="N807" s="135" t="s">
        <v>128</v>
      </c>
      <c r="O807" s="219" t="s">
        <v>227</v>
      </c>
      <c r="P807" s="256" t="str">
        <f>IFERROR(VLOOKUP(C807,TD!$B$33:$F$37,2,0)," ")</f>
        <v>O230117</v>
      </c>
      <c r="Q807" s="256" t="str">
        <f>IFERROR(VLOOKUP(C807,TD!$B$33:$F$37,3,0)," ")</f>
        <v>4503</v>
      </c>
      <c r="R807" s="256">
        <f>IFERROR(VLOOKUP(C807,TD!$B$33:$F$37,4,0)," ")</f>
        <v>20240255</v>
      </c>
      <c r="S807" s="219" t="s">
        <v>185</v>
      </c>
      <c r="T807" s="256" t="str">
        <f>IFERROR(VLOOKUP(S807,TD!$J$34:$K$44,2,0)," ")</f>
        <v>Infraestructura física, mantenimiento y dotación (Sedes construidas, mantenidas reforzadas)</v>
      </c>
      <c r="U807" s="251" t="str">
        <f t="shared" si="50"/>
        <v>08-Infraestructura física, mantenimiento y dotación (Sedes construidas, mantenidas reforzadas)</v>
      </c>
      <c r="V807" s="253" t="s">
        <v>236</v>
      </c>
      <c r="W807" s="221" t="str">
        <f>IFERROR(VLOOKUP(V807,TD!$N$34:$O$46,2,0)," ")</f>
        <v>Estaciones de bomberos adecuadas</v>
      </c>
      <c r="X807" s="251" t="str">
        <f t="shared" si="51"/>
        <v>014_Estaciones de bomberos adecuadas</v>
      </c>
      <c r="Y807" s="251" t="str">
        <f t="shared" si="52"/>
        <v>08-Infraestructura física, mantenimiento y dotación (Sedes construidas, mantenidas reforzadas) 014_Estaciones de bomberos adecuadas</v>
      </c>
      <c r="Z807" s="256" t="str">
        <f t="shared" si="53"/>
        <v>O23011745032024025508014</v>
      </c>
      <c r="AA807" s="256" t="str">
        <f>IFERROR(VLOOKUP(Y807,TD!$K$47:$L$65,2,0)," ")</f>
        <v>PM/0131/0108/45030140255</v>
      </c>
      <c r="AB807" s="135" t="s">
        <v>102</v>
      </c>
      <c r="AC807" s="257" t="s">
        <v>205</v>
      </c>
    </row>
    <row r="808" spans="2:29" ht="99" customHeight="1" x14ac:dyDescent="0.35">
      <c r="B808" s="136">
        <v>20250836</v>
      </c>
      <c r="C808" s="50" t="s">
        <v>209</v>
      </c>
      <c r="D808" s="218" t="s">
        <v>166</v>
      </c>
      <c r="E808" s="219" t="s">
        <v>565</v>
      </c>
      <c r="F808" s="254" t="s">
        <v>1054</v>
      </c>
      <c r="G808" s="254" t="s">
        <v>137</v>
      </c>
      <c r="H808" s="138" t="s">
        <v>406</v>
      </c>
      <c r="I808" s="255" t="s">
        <v>406</v>
      </c>
      <c r="J808" s="255" t="s">
        <v>406</v>
      </c>
      <c r="K808" s="139" t="s">
        <v>406</v>
      </c>
      <c r="L808" s="135">
        <v>19812726</v>
      </c>
      <c r="M808" s="140" t="s">
        <v>173</v>
      </c>
      <c r="N808" s="135" t="s">
        <v>128</v>
      </c>
      <c r="O808" s="219" t="s">
        <v>227</v>
      </c>
      <c r="P808" s="256" t="str">
        <f>IFERROR(VLOOKUP(C808,TD!$B$33:$F$37,2,0)," ")</f>
        <v>O230117</v>
      </c>
      <c r="Q808" s="256" t="str">
        <f>IFERROR(VLOOKUP(C808,TD!$B$33:$F$37,3,0)," ")</f>
        <v>4503</v>
      </c>
      <c r="R808" s="256">
        <f>IFERROR(VLOOKUP(C808,TD!$B$33:$F$37,4,0)," ")</f>
        <v>20240255</v>
      </c>
      <c r="S808" s="219" t="s">
        <v>185</v>
      </c>
      <c r="T808" s="256" t="str">
        <f>IFERROR(VLOOKUP(S808,TD!$J$34:$K$44,2,0)," ")</f>
        <v>Infraestructura física, mantenimiento y dotación (Sedes construidas, mantenidas reforzadas)</v>
      </c>
      <c r="U808" s="251" t="str">
        <f t="shared" si="50"/>
        <v>08-Infraestructura física, mantenimiento y dotación (Sedes construidas, mantenidas reforzadas)</v>
      </c>
      <c r="V808" s="253" t="s">
        <v>236</v>
      </c>
      <c r="W808" s="221" t="str">
        <f>IFERROR(VLOOKUP(V808,TD!$N$34:$O$46,2,0)," ")</f>
        <v>Estaciones de bomberos adecuadas</v>
      </c>
      <c r="X808" s="251" t="str">
        <f t="shared" si="51"/>
        <v>014_Estaciones de bomberos adecuadas</v>
      </c>
      <c r="Y808" s="251" t="str">
        <f t="shared" si="52"/>
        <v>08-Infraestructura física, mantenimiento y dotación (Sedes construidas, mantenidas reforzadas) 014_Estaciones de bomberos adecuadas</v>
      </c>
      <c r="Z808" s="256" t="str">
        <f t="shared" si="53"/>
        <v>O23011745032024025508014</v>
      </c>
      <c r="AA808" s="256" t="str">
        <f>IFERROR(VLOOKUP(Y808,TD!$K$47:$L$65,2,0)," ")</f>
        <v>PM/0131/0108/45030140255</v>
      </c>
      <c r="AB808" s="135" t="s">
        <v>102</v>
      </c>
      <c r="AC808" s="257" t="s">
        <v>205</v>
      </c>
    </row>
    <row r="809" spans="2:29" ht="99" customHeight="1" x14ac:dyDescent="0.35">
      <c r="B809" s="136">
        <v>20250837</v>
      </c>
      <c r="C809" s="50" t="s">
        <v>209</v>
      </c>
      <c r="D809" s="218" t="s">
        <v>166</v>
      </c>
      <c r="E809" s="219" t="s">
        <v>565</v>
      </c>
      <c r="F809" s="254" t="s">
        <v>1055</v>
      </c>
      <c r="G809" s="254" t="s">
        <v>137</v>
      </c>
      <c r="H809" s="138" t="s">
        <v>406</v>
      </c>
      <c r="I809" s="255" t="s">
        <v>406</v>
      </c>
      <c r="J809" s="255" t="s">
        <v>406</v>
      </c>
      <c r="K809" s="139" t="s">
        <v>406</v>
      </c>
      <c r="L809" s="135">
        <v>21730672</v>
      </c>
      <c r="M809" s="140" t="s">
        <v>173</v>
      </c>
      <c r="N809" s="135" t="s">
        <v>128</v>
      </c>
      <c r="O809" s="219" t="s">
        <v>227</v>
      </c>
      <c r="P809" s="256" t="str">
        <f>IFERROR(VLOOKUP(C809,TD!$B$33:$F$37,2,0)," ")</f>
        <v>O230117</v>
      </c>
      <c r="Q809" s="256" t="str">
        <f>IFERROR(VLOOKUP(C809,TD!$B$33:$F$37,3,0)," ")</f>
        <v>4503</v>
      </c>
      <c r="R809" s="256">
        <f>IFERROR(VLOOKUP(C809,TD!$B$33:$F$37,4,0)," ")</f>
        <v>20240255</v>
      </c>
      <c r="S809" s="219" t="s">
        <v>185</v>
      </c>
      <c r="T809" s="256" t="str">
        <f>IFERROR(VLOOKUP(S809,TD!$J$34:$K$44,2,0)," ")</f>
        <v>Infraestructura física, mantenimiento y dotación (Sedes construidas, mantenidas reforzadas)</v>
      </c>
      <c r="U809" s="251" t="str">
        <f t="shared" si="50"/>
        <v>08-Infraestructura física, mantenimiento y dotación (Sedes construidas, mantenidas reforzadas)</v>
      </c>
      <c r="V809" s="253" t="s">
        <v>236</v>
      </c>
      <c r="W809" s="221" t="str">
        <f>IFERROR(VLOOKUP(V809,TD!$N$34:$O$46,2,0)," ")</f>
        <v>Estaciones de bomberos adecuadas</v>
      </c>
      <c r="X809" s="251" t="str">
        <f t="shared" si="51"/>
        <v>014_Estaciones de bomberos adecuadas</v>
      </c>
      <c r="Y809" s="251" t="str">
        <f t="shared" si="52"/>
        <v>08-Infraestructura física, mantenimiento y dotación (Sedes construidas, mantenidas reforzadas) 014_Estaciones de bomberos adecuadas</v>
      </c>
      <c r="Z809" s="256" t="str">
        <f t="shared" si="53"/>
        <v>O23011745032024025508014</v>
      </c>
      <c r="AA809" s="256" t="str">
        <f>IFERROR(VLOOKUP(Y809,TD!$K$47:$L$65,2,0)," ")</f>
        <v>PM/0131/0108/45030140255</v>
      </c>
      <c r="AB809" s="135" t="s">
        <v>102</v>
      </c>
      <c r="AC809" s="257" t="s">
        <v>205</v>
      </c>
    </row>
    <row r="810" spans="2:29" ht="99" customHeight="1" x14ac:dyDescent="0.35">
      <c r="B810" s="136">
        <v>20250838</v>
      </c>
      <c r="C810" s="50" t="s">
        <v>208</v>
      </c>
      <c r="D810" s="218" t="s">
        <v>166</v>
      </c>
      <c r="E810" s="219" t="s">
        <v>565</v>
      </c>
      <c r="F810" s="254" t="s">
        <v>1056</v>
      </c>
      <c r="G810" s="254" t="s">
        <v>137</v>
      </c>
      <c r="H810" s="138" t="s">
        <v>406</v>
      </c>
      <c r="I810" s="255" t="s">
        <v>406</v>
      </c>
      <c r="J810" s="255" t="s">
        <v>406</v>
      </c>
      <c r="K810" s="139" t="s">
        <v>406</v>
      </c>
      <c r="L810" s="135">
        <v>9295000</v>
      </c>
      <c r="M810" s="140" t="s">
        <v>173</v>
      </c>
      <c r="N810" s="135" t="s">
        <v>128</v>
      </c>
      <c r="O810" s="219" t="s">
        <v>218</v>
      </c>
      <c r="P810" s="256" t="str">
        <f>IFERROR(VLOOKUP(C810,TD!$B$33:$F$37,2,0)," ")</f>
        <v>O230117</v>
      </c>
      <c r="Q810" s="256" t="str">
        <f>IFERROR(VLOOKUP(C810,TD!$B$33:$F$37,3,0)," ")</f>
        <v>4599</v>
      </c>
      <c r="R810" s="256">
        <f>IFERROR(VLOOKUP(C810,TD!$B$33:$F$37,4,0)," ")</f>
        <v>20240207</v>
      </c>
      <c r="S810" s="219" t="s">
        <v>185</v>
      </c>
      <c r="T810" s="256" t="str">
        <f>IFERROR(VLOOKUP(S810,TD!$J$34:$K$44,2,0)," ")</f>
        <v>Infraestructura física, mantenimiento y dotación (Sedes construidas, mantenidas reforzadas)</v>
      </c>
      <c r="U810" s="251" t="str">
        <f t="shared" si="50"/>
        <v>08-Infraestructura física, mantenimiento y dotación (Sedes construidas, mantenidas reforzadas)</v>
      </c>
      <c r="V810" s="253" t="s">
        <v>238</v>
      </c>
      <c r="W810" s="221" t="str">
        <f>IFERROR(VLOOKUP(V810,TD!$N$34:$O$46,2,0)," ")</f>
        <v>Sedes mantenidas</v>
      </c>
      <c r="X810" s="251" t="str">
        <f t="shared" si="51"/>
        <v>016_Sedes mantenidas</v>
      </c>
      <c r="Y810" s="251" t="str">
        <f t="shared" si="52"/>
        <v>08-Infraestructura física, mantenimiento y dotación (Sedes construidas, mantenidas reforzadas) 016_Sedes mantenidas</v>
      </c>
      <c r="Z810" s="256" t="str">
        <f t="shared" si="53"/>
        <v>O23011745992024020708016</v>
      </c>
      <c r="AA810" s="256" t="str">
        <f>IFERROR(VLOOKUP(Y810,TD!$K$47:$L$65,2,0)," ")</f>
        <v>PM/0131/0108/45990160207</v>
      </c>
      <c r="AB810" s="135" t="s">
        <v>147</v>
      </c>
      <c r="AC810" s="257" t="s">
        <v>205</v>
      </c>
    </row>
    <row r="811" spans="2:29" ht="99" customHeight="1" x14ac:dyDescent="0.35">
      <c r="B811" s="136">
        <v>20250839</v>
      </c>
      <c r="C811" s="50" t="s">
        <v>208</v>
      </c>
      <c r="D811" s="218" t="s">
        <v>166</v>
      </c>
      <c r="E811" s="219" t="s">
        <v>565</v>
      </c>
      <c r="F811" s="254" t="s">
        <v>1057</v>
      </c>
      <c r="G811" s="254" t="s">
        <v>137</v>
      </c>
      <c r="H811" s="138" t="s">
        <v>406</v>
      </c>
      <c r="I811" s="255" t="s">
        <v>406</v>
      </c>
      <c r="J811" s="255" t="s">
        <v>406</v>
      </c>
      <c r="K811" s="139" t="s">
        <v>406</v>
      </c>
      <c r="L811" s="135">
        <v>735000</v>
      </c>
      <c r="M811" s="140" t="s">
        <v>173</v>
      </c>
      <c r="N811" s="135" t="s">
        <v>128</v>
      </c>
      <c r="O811" s="219" t="s">
        <v>218</v>
      </c>
      <c r="P811" s="256" t="str">
        <f>IFERROR(VLOOKUP(C811,TD!$B$33:$F$37,2,0)," ")</f>
        <v>O230117</v>
      </c>
      <c r="Q811" s="256" t="str">
        <f>IFERROR(VLOOKUP(C811,TD!$B$33:$F$37,3,0)," ")</f>
        <v>4599</v>
      </c>
      <c r="R811" s="256">
        <f>IFERROR(VLOOKUP(C811,TD!$B$33:$F$37,4,0)," ")</f>
        <v>20240207</v>
      </c>
      <c r="S811" s="219" t="s">
        <v>185</v>
      </c>
      <c r="T811" s="256" t="str">
        <f>IFERROR(VLOOKUP(S811,TD!$J$34:$K$44,2,0)," ")</f>
        <v>Infraestructura física, mantenimiento y dotación (Sedes construidas, mantenidas reforzadas)</v>
      </c>
      <c r="U811" s="251" t="str">
        <f t="shared" si="50"/>
        <v>08-Infraestructura física, mantenimiento y dotación (Sedes construidas, mantenidas reforzadas)</v>
      </c>
      <c r="V811" s="253" t="s">
        <v>238</v>
      </c>
      <c r="W811" s="221" t="str">
        <f>IFERROR(VLOOKUP(V811,TD!$N$34:$O$46,2,0)," ")</f>
        <v>Sedes mantenidas</v>
      </c>
      <c r="X811" s="251" t="str">
        <f t="shared" si="51"/>
        <v>016_Sedes mantenidas</v>
      </c>
      <c r="Y811" s="251" t="str">
        <f t="shared" si="52"/>
        <v>08-Infraestructura física, mantenimiento y dotación (Sedes construidas, mantenidas reforzadas) 016_Sedes mantenidas</v>
      </c>
      <c r="Z811" s="256" t="str">
        <f t="shared" si="53"/>
        <v>O23011745992024020708016</v>
      </c>
      <c r="AA811" s="256" t="str">
        <f>IFERROR(VLOOKUP(Y811,TD!$K$47:$L$65,2,0)," ")</f>
        <v>PM/0131/0108/45990160207</v>
      </c>
      <c r="AB811" s="135" t="s">
        <v>138</v>
      </c>
      <c r="AC811" s="257" t="s">
        <v>205</v>
      </c>
    </row>
    <row r="812" spans="2:29" ht="99" customHeight="1" x14ac:dyDescent="0.35">
      <c r="B812" s="136">
        <v>20250840</v>
      </c>
      <c r="C812" s="50" t="s">
        <v>208</v>
      </c>
      <c r="D812" s="218" t="s">
        <v>166</v>
      </c>
      <c r="E812" s="219" t="s">
        <v>565</v>
      </c>
      <c r="F812" s="254" t="s">
        <v>1058</v>
      </c>
      <c r="G812" s="254" t="s">
        <v>137</v>
      </c>
      <c r="H812" s="138" t="s">
        <v>406</v>
      </c>
      <c r="I812" s="255" t="s">
        <v>406</v>
      </c>
      <c r="J812" s="255" t="s">
        <v>406</v>
      </c>
      <c r="K812" s="139" t="s">
        <v>406</v>
      </c>
      <c r="L812" s="135">
        <v>1306667</v>
      </c>
      <c r="M812" s="146" t="s">
        <v>173</v>
      </c>
      <c r="N812" s="135" t="s">
        <v>128</v>
      </c>
      <c r="O812" s="219" t="s">
        <v>218</v>
      </c>
      <c r="P812" s="256" t="str">
        <f>IFERROR(VLOOKUP(C812,TD!$B$33:$F$37,2,0)," ")</f>
        <v>O230117</v>
      </c>
      <c r="Q812" s="256" t="str">
        <f>IFERROR(VLOOKUP(C812,TD!$B$33:$F$37,3,0)," ")</f>
        <v>4599</v>
      </c>
      <c r="R812" s="256">
        <f>IFERROR(VLOOKUP(C812,TD!$B$33:$F$37,4,0)," ")</f>
        <v>20240207</v>
      </c>
      <c r="S812" s="253" t="s">
        <v>185</v>
      </c>
      <c r="T812" s="256" t="str">
        <f>IFERROR(VLOOKUP(S812,TD!$J$34:$K$44,2,0)," ")</f>
        <v>Infraestructura física, mantenimiento y dotación (Sedes construidas, mantenidas reforzadas)</v>
      </c>
      <c r="U812" s="251" t="str">
        <f t="shared" si="50"/>
        <v>08-Infraestructura física, mantenimiento y dotación (Sedes construidas, mantenidas reforzadas)</v>
      </c>
      <c r="V812" s="253" t="s">
        <v>238</v>
      </c>
      <c r="W812" s="221" t="str">
        <f>IFERROR(VLOOKUP(V812,TD!$N$34:$O$46,2,0)," ")</f>
        <v>Sedes mantenidas</v>
      </c>
      <c r="X812" s="251" t="str">
        <f t="shared" si="51"/>
        <v>016_Sedes mantenidas</v>
      </c>
      <c r="Y812" s="251" t="str">
        <f t="shared" si="52"/>
        <v>08-Infraestructura física, mantenimiento y dotación (Sedes construidas, mantenidas reforzadas) 016_Sedes mantenidas</v>
      </c>
      <c r="Z812" s="256" t="str">
        <f t="shared" si="53"/>
        <v>O23011745992024020708016</v>
      </c>
      <c r="AA812" s="256" t="str">
        <f>IFERROR(VLOOKUP(Y812,TD!$K$47:$L$65,2,0)," ")</f>
        <v>PM/0131/0108/45990160207</v>
      </c>
      <c r="AB812" s="135" t="s">
        <v>138</v>
      </c>
      <c r="AC812" s="257" t="s">
        <v>205</v>
      </c>
    </row>
    <row r="813" spans="2:29" ht="99" customHeight="1" x14ac:dyDescent="0.35">
      <c r="B813" s="136">
        <v>20250841</v>
      </c>
      <c r="C813" s="137" t="s">
        <v>208</v>
      </c>
      <c r="D813" s="218" t="s">
        <v>166</v>
      </c>
      <c r="E813" s="219" t="s">
        <v>565</v>
      </c>
      <c r="F813" s="254" t="s">
        <v>1059</v>
      </c>
      <c r="G813" s="254" t="s">
        <v>137</v>
      </c>
      <c r="H813" s="138" t="s">
        <v>406</v>
      </c>
      <c r="I813" s="255" t="s">
        <v>406</v>
      </c>
      <c r="J813" s="255" t="s">
        <v>406</v>
      </c>
      <c r="K813" s="139" t="s">
        <v>406</v>
      </c>
      <c r="L813" s="135">
        <v>1460000</v>
      </c>
      <c r="M813" s="146" t="s">
        <v>173</v>
      </c>
      <c r="N813" s="135" t="s">
        <v>128</v>
      </c>
      <c r="O813" s="219" t="s">
        <v>218</v>
      </c>
      <c r="P813" s="256" t="str">
        <f>IFERROR(VLOOKUP(C813,TD!$B$33:$F$37,2,0)," ")</f>
        <v>O230117</v>
      </c>
      <c r="Q813" s="256" t="str">
        <f>IFERROR(VLOOKUP(C813,TD!$B$33:$F$37,3,0)," ")</f>
        <v>4599</v>
      </c>
      <c r="R813" s="256">
        <f>IFERROR(VLOOKUP(C813,TD!$B$33:$F$37,4,0)," ")</f>
        <v>20240207</v>
      </c>
      <c r="S813" s="253" t="s">
        <v>185</v>
      </c>
      <c r="T813" s="256" t="str">
        <f>IFERROR(VLOOKUP(S813,TD!$J$34:$K$44,2,0)," ")</f>
        <v>Infraestructura física, mantenimiento y dotación (Sedes construidas, mantenidas reforzadas)</v>
      </c>
      <c r="U813" s="251" t="str">
        <f t="shared" si="50"/>
        <v>08-Infraestructura física, mantenimiento y dotación (Sedes construidas, mantenidas reforzadas)</v>
      </c>
      <c r="V813" s="253" t="s">
        <v>238</v>
      </c>
      <c r="W813" s="221" t="str">
        <f>IFERROR(VLOOKUP(V813,TD!$N$34:$O$46,2,0)," ")</f>
        <v>Sedes mantenidas</v>
      </c>
      <c r="X813" s="251" t="str">
        <f t="shared" si="51"/>
        <v>016_Sedes mantenidas</v>
      </c>
      <c r="Y813" s="251" t="str">
        <f t="shared" si="52"/>
        <v>08-Infraestructura física, mantenimiento y dotación (Sedes construidas, mantenidas reforzadas) 016_Sedes mantenidas</v>
      </c>
      <c r="Z813" s="256" t="str">
        <f t="shared" si="53"/>
        <v>O23011745992024020708016</v>
      </c>
      <c r="AA813" s="256" t="str">
        <f>IFERROR(VLOOKUP(Y813,TD!$K$47:$L$65,2,0)," ")</f>
        <v>PM/0131/0108/45990160207</v>
      </c>
      <c r="AB813" s="135" t="s">
        <v>138</v>
      </c>
      <c r="AC813" s="257" t="s">
        <v>205</v>
      </c>
    </row>
    <row r="814" spans="2:29" ht="123" customHeight="1" x14ac:dyDescent="0.35">
      <c r="B814" s="77">
        <v>20250842</v>
      </c>
      <c r="C814" s="50" t="s">
        <v>208</v>
      </c>
      <c r="D814" s="218" t="s">
        <v>166</v>
      </c>
      <c r="E814" s="219" t="s">
        <v>565</v>
      </c>
      <c r="F814" s="218" t="s">
        <v>1060</v>
      </c>
      <c r="G814" s="218" t="s">
        <v>137</v>
      </c>
      <c r="H814" s="93" t="s">
        <v>406</v>
      </c>
      <c r="I814" s="220" t="s">
        <v>406</v>
      </c>
      <c r="J814" s="220" t="s">
        <v>406</v>
      </c>
      <c r="K814" s="52" t="s">
        <v>406</v>
      </c>
      <c r="L814" s="53">
        <v>2041667</v>
      </c>
      <c r="M814" s="140" t="s">
        <v>173</v>
      </c>
      <c r="N814" s="53" t="s">
        <v>128</v>
      </c>
      <c r="O814" s="219" t="s">
        <v>218</v>
      </c>
      <c r="P814" s="221" t="str">
        <f>IFERROR(VLOOKUP(C814,TD!$B$33:$F$37,2,0)," ")</f>
        <v>O230117</v>
      </c>
      <c r="Q814" s="221" t="str">
        <f>IFERROR(VLOOKUP(C814,TD!$B$33:$F$37,3,0)," ")</f>
        <v>4599</v>
      </c>
      <c r="R814" s="221">
        <f>IFERROR(VLOOKUP(C814,TD!$B$33:$F$37,4,0)," ")</f>
        <v>20240207</v>
      </c>
      <c r="S814" s="219" t="s">
        <v>185</v>
      </c>
      <c r="T814" s="221" t="str">
        <f>IFERROR(VLOOKUP(S814,TD!$J$34:$K$44,2,0)," ")</f>
        <v>Infraestructura física, mantenimiento y dotación (Sedes construidas, mantenidas reforzadas)</v>
      </c>
      <c r="U814" s="222" t="str">
        <f t="shared" si="50"/>
        <v>08-Infraestructura física, mantenimiento y dotación (Sedes construidas, mantenidas reforzadas)</v>
      </c>
      <c r="V814" s="219" t="s">
        <v>238</v>
      </c>
      <c r="W814" s="221" t="str">
        <f>IFERROR(VLOOKUP(V814,TD!$N$34:$O$46,2,0)," ")</f>
        <v>Sedes mantenidas</v>
      </c>
      <c r="X814" s="222" t="str">
        <f t="shared" si="51"/>
        <v>016_Sedes mantenidas</v>
      </c>
      <c r="Y814" s="222" t="str">
        <f t="shared" si="52"/>
        <v>08-Infraestructura física, mantenimiento y dotación (Sedes construidas, mantenidas reforzadas) 016_Sedes mantenidas</v>
      </c>
      <c r="Z814" s="221" t="str">
        <f t="shared" si="53"/>
        <v>O23011745992024020708016</v>
      </c>
      <c r="AA814" s="221" t="str">
        <f>IFERROR(VLOOKUP(Y814,TD!$K$47:$L$65,2,0)," ")</f>
        <v>PM/0131/0108/45990160207</v>
      </c>
      <c r="AB814" s="53" t="s">
        <v>138</v>
      </c>
      <c r="AC814" s="223" t="s">
        <v>205</v>
      </c>
    </row>
    <row r="815" spans="2:29" ht="99" customHeight="1" x14ac:dyDescent="0.35">
      <c r="B815" s="136">
        <v>20250843</v>
      </c>
      <c r="C815" s="137" t="s">
        <v>208</v>
      </c>
      <c r="D815" s="254" t="s">
        <v>166</v>
      </c>
      <c r="E815" s="253" t="s">
        <v>565</v>
      </c>
      <c r="F815" s="254" t="s">
        <v>1061</v>
      </c>
      <c r="G815" s="254" t="s">
        <v>137</v>
      </c>
      <c r="H815" s="138" t="s">
        <v>406</v>
      </c>
      <c r="I815" s="255" t="s">
        <v>406</v>
      </c>
      <c r="J815" s="255" t="s">
        <v>406</v>
      </c>
      <c r="K815" s="139" t="s">
        <v>406</v>
      </c>
      <c r="L815" s="135">
        <v>4583333</v>
      </c>
      <c r="M815" s="140" t="s">
        <v>173</v>
      </c>
      <c r="N815" s="53" t="s">
        <v>128</v>
      </c>
      <c r="O815" s="219" t="s">
        <v>219</v>
      </c>
      <c r="P815" s="256" t="str">
        <f>IFERROR(VLOOKUP(C815,TD!$B$33:$F$37,2,0)," ")</f>
        <v>O230117</v>
      </c>
      <c r="Q815" s="256" t="str">
        <f>IFERROR(VLOOKUP(C815,TD!$B$33:$F$37,3,0)," ")</f>
        <v>4599</v>
      </c>
      <c r="R815" s="256">
        <f>IFERROR(VLOOKUP(C815,TD!$B$33:$F$37,4,0)," ")</f>
        <v>20240207</v>
      </c>
      <c r="S815" s="219" t="s">
        <v>185</v>
      </c>
      <c r="T815" s="221" t="str">
        <f>IFERROR(VLOOKUP(S815,TD!$J$34:$K$44,2,0)," ")</f>
        <v>Infraestructura física, mantenimiento y dotación (Sedes construidas, mantenidas reforzadas)</v>
      </c>
      <c r="U815" s="222" t="str">
        <f t="shared" si="50"/>
        <v>08-Infraestructura física, mantenimiento y dotación (Sedes construidas, mantenidas reforzadas)</v>
      </c>
      <c r="V815" s="219" t="s">
        <v>238</v>
      </c>
      <c r="W815" s="221" t="str">
        <f>IFERROR(VLOOKUP(V815,TD!$N$34:$O$46,2,0)," ")</f>
        <v>Sedes mantenidas</v>
      </c>
      <c r="X815" s="251" t="str">
        <f t="shared" si="51"/>
        <v>016_Sedes mantenidas</v>
      </c>
      <c r="Y815" s="251" t="str">
        <f t="shared" si="52"/>
        <v>08-Infraestructura física, mantenimiento y dotación (Sedes construidas, mantenidas reforzadas) 016_Sedes mantenidas</v>
      </c>
      <c r="Z815" s="256" t="str">
        <f t="shared" si="53"/>
        <v>O23011745992024020708016</v>
      </c>
      <c r="AA815" s="256" t="str">
        <f>IFERROR(VLOOKUP(Y815,TD!$K$47:$L$65,2,0)," ")</f>
        <v>PM/0131/0108/45990160207</v>
      </c>
      <c r="AB815" s="53" t="s">
        <v>138</v>
      </c>
      <c r="AC815" s="257" t="s">
        <v>205</v>
      </c>
    </row>
    <row r="816" spans="2:29" ht="99" customHeight="1" x14ac:dyDescent="0.35">
      <c r="B816" s="136">
        <v>20250844</v>
      </c>
      <c r="C816" s="137" t="s">
        <v>208</v>
      </c>
      <c r="D816" s="254" t="s">
        <v>36</v>
      </c>
      <c r="E816" s="253" t="s">
        <v>378</v>
      </c>
      <c r="F816" s="254" t="s">
        <v>1062</v>
      </c>
      <c r="G816" s="254" t="s">
        <v>156</v>
      </c>
      <c r="H816" s="138">
        <v>80111600</v>
      </c>
      <c r="I816" s="255">
        <v>10</v>
      </c>
      <c r="J816" s="255">
        <v>3</v>
      </c>
      <c r="K816" s="139">
        <v>0</v>
      </c>
      <c r="L816" s="135">
        <v>11260554</v>
      </c>
      <c r="M816" s="140" t="s">
        <v>465</v>
      </c>
      <c r="N816" s="53" t="s">
        <v>113</v>
      </c>
      <c r="O816" s="219" t="s">
        <v>211</v>
      </c>
      <c r="P816" s="256" t="str">
        <f>IFERROR(VLOOKUP(C816,TD!$B$33:$F$37,2,0)," ")</f>
        <v>O230117</v>
      </c>
      <c r="Q816" s="256" t="str">
        <f>IFERROR(VLOOKUP(C816,TD!$B$33:$F$37,3,0)," ")</f>
        <v>4599</v>
      </c>
      <c r="R816" s="256">
        <f>IFERROR(VLOOKUP(C816,TD!$B$33:$F$37,4,0)," ")</f>
        <v>20240207</v>
      </c>
      <c r="S816" s="219" t="s">
        <v>193</v>
      </c>
      <c r="T816" s="221" t="str">
        <f>IFERROR(VLOOKUP(S816,TD!$J$34:$K$44,2,0)," ")</f>
        <v>Servicios para la planeación y sistemas de gestión y comunicación estratégica</v>
      </c>
      <c r="U816" s="222" t="str">
        <f t="shared" si="50"/>
        <v>13-Servicios para la planeación y sistemas de gestión y comunicación estratégica</v>
      </c>
      <c r="V816" s="219" t="s">
        <v>240</v>
      </c>
      <c r="W816" s="221" t="str">
        <f>IFERROR(VLOOKUP(V816,TD!$N$34:$O$46,2,0)," ")</f>
        <v>Servicio de asistencia técnica</v>
      </c>
      <c r="X816" s="251" t="str">
        <f t="shared" si="51"/>
        <v>031_Servicio de asistencia técnica</v>
      </c>
      <c r="Y816" s="251" t="str">
        <f t="shared" si="52"/>
        <v>13-Servicios para la planeación y sistemas de gestión y comunicación estratégica 031_Servicio de asistencia técnica</v>
      </c>
      <c r="Z816" s="256" t="str">
        <f t="shared" si="53"/>
        <v>O23011745992024020713031</v>
      </c>
      <c r="AA816" s="256" t="str">
        <f>IFERROR(VLOOKUP(Y816,TD!$K$47:$L$65,2,0)," ")</f>
        <v>PM/0131/0113/45990310207</v>
      </c>
      <c r="AB816" s="53" t="s">
        <v>138</v>
      </c>
      <c r="AC816" s="257" t="s">
        <v>205</v>
      </c>
    </row>
    <row r="817" spans="2:29" ht="99" customHeight="1" x14ac:dyDescent="0.35">
      <c r="B817" s="136">
        <v>20250845</v>
      </c>
      <c r="C817" s="137" t="s">
        <v>208</v>
      </c>
      <c r="D817" s="254" t="s">
        <v>36</v>
      </c>
      <c r="E817" s="253" t="s">
        <v>378</v>
      </c>
      <c r="F817" s="254" t="s">
        <v>1063</v>
      </c>
      <c r="G817" s="254" t="s">
        <v>156</v>
      </c>
      <c r="H817" s="138">
        <v>80111600</v>
      </c>
      <c r="I817" s="255">
        <v>10</v>
      </c>
      <c r="J817" s="255">
        <v>3</v>
      </c>
      <c r="K817" s="139">
        <v>0</v>
      </c>
      <c r="L817" s="135">
        <v>13472448</v>
      </c>
      <c r="M817" s="140" t="s">
        <v>465</v>
      </c>
      <c r="N817" s="53" t="s">
        <v>113</v>
      </c>
      <c r="O817" s="219" t="s">
        <v>211</v>
      </c>
      <c r="P817" s="256" t="str">
        <f>IFERROR(VLOOKUP(C817,TD!$B$33:$F$37,2,0)," ")</f>
        <v>O230117</v>
      </c>
      <c r="Q817" s="256" t="str">
        <f>IFERROR(VLOOKUP(C817,TD!$B$33:$F$37,3,0)," ")</f>
        <v>4599</v>
      </c>
      <c r="R817" s="256">
        <f>IFERROR(VLOOKUP(C817,TD!$B$33:$F$37,4,0)," ")</f>
        <v>20240207</v>
      </c>
      <c r="S817" s="219" t="s">
        <v>193</v>
      </c>
      <c r="T817" s="221" t="str">
        <f>IFERROR(VLOOKUP(S817,TD!$J$34:$K$44,2,0)," ")</f>
        <v>Servicios para la planeación y sistemas de gestión y comunicación estratégica</v>
      </c>
      <c r="U817" s="222" t="str">
        <f t="shared" si="50"/>
        <v>13-Servicios para la planeación y sistemas de gestión y comunicación estratégica</v>
      </c>
      <c r="V817" s="219" t="s">
        <v>240</v>
      </c>
      <c r="W817" s="221" t="str">
        <f>IFERROR(VLOOKUP(V817,TD!$N$34:$O$46,2,0)," ")</f>
        <v>Servicio de asistencia técnica</v>
      </c>
      <c r="X817" s="251" t="str">
        <f t="shared" si="51"/>
        <v>031_Servicio de asistencia técnica</v>
      </c>
      <c r="Y817" s="251" t="str">
        <f t="shared" si="52"/>
        <v>13-Servicios para la planeación y sistemas de gestión y comunicación estratégica 031_Servicio de asistencia técnica</v>
      </c>
      <c r="Z817" s="256" t="str">
        <f t="shared" si="53"/>
        <v>O23011745992024020713031</v>
      </c>
      <c r="AA817" s="256" t="str">
        <f>IFERROR(VLOOKUP(Y817,TD!$K$47:$L$65,2,0)," ")</f>
        <v>PM/0131/0113/45990310207</v>
      </c>
      <c r="AB817" s="53" t="s">
        <v>138</v>
      </c>
      <c r="AC817" s="257" t="s">
        <v>205</v>
      </c>
    </row>
    <row r="818" spans="2:29" ht="99" customHeight="1" x14ac:dyDescent="0.35">
      <c r="B818" s="136">
        <v>20250846</v>
      </c>
      <c r="C818" s="137" t="s">
        <v>208</v>
      </c>
      <c r="D818" s="254" t="s">
        <v>36</v>
      </c>
      <c r="E818" s="253" t="s">
        <v>378</v>
      </c>
      <c r="F818" s="254" t="s">
        <v>1064</v>
      </c>
      <c r="G818" s="254" t="s">
        <v>155</v>
      </c>
      <c r="H818" s="138">
        <v>80111600</v>
      </c>
      <c r="I818" s="255">
        <v>9</v>
      </c>
      <c r="J818" s="255">
        <v>4</v>
      </c>
      <c r="K818" s="139">
        <v>0</v>
      </c>
      <c r="L818" s="135">
        <v>28000000</v>
      </c>
      <c r="M818" s="140" t="s">
        <v>465</v>
      </c>
      <c r="N818" s="135" t="s">
        <v>113</v>
      </c>
      <c r="O818" s="219" t="s">
        <v>213</v>
      </c>
      <c r="P818" s="256" t="str">
        <f>IFERROR(VLOOKUP(C818,TD!$B$33:$F$37,2,0)," ")</f>
        <v>O230117</v>
      </c>
      <c r="Q818" s="256" t="str">
        <f>IFERROR(VLOOKUP(C818,TD!$B$33:$F$37,3,0)," ")</f>
        <v>4599</v>
      </c>
      <c r="R818" s="256">
        <f>IFERROR(VLOOKUP(C818,TD!$B$33:$F$37,4,0)," ")</f>
        <v>20240207</v>
      </c>
      <c r="S818" s="219" t="s">
        <v>193</v>
      </c>
      <c r="T818" s="221" t="str">
        <f>IFERROR(VLOOKUP(S818,TD!$J$34:$K$44,2,0)," ")</f>
        <v>Servicios para la planeación y sistemas de gestión y comunicación estratégica</v>
      </c>
      <c r="U818" s="222" t="str">
        <f t="shared" si="50"/>
        <v>13-Servicios para la planeación y sistemas de gestión y comunicación estratégica</v>
      </c>
      <c r="V818" s="219" t="s">
        <v>240</v>
      </c>
      <c r="W818" s="221" t="str">
        <f>IFERROR(VLOOKUP(V818,TD!$N$34:$O$46,2,0)," ")</f>
        <v>Servicio de asistencia técnica</v>
      </c>
      <c r="X818" s="251" t="str">
        <f t="shared" si="51"/>
        <v>031_Servicio de asistencia técnica</v>
      </c>
      <c r="Y818" s="251" t="str">
        <f t="shared" si="52"/>
        <v>13-Servicios para la planeación y sistemas de gestión y comunicación estratégica 031_Servicio de asistencia técnica</v>
      </c>
      <c r="Z818" s="256" t="str">
        <f t="shared" si="53"/>
        <v>O23011745992024020713031</v>
      </c>
      <c r="AA818" s="256" t="str">
        <f>IFERROR(VLOOKUP(Y818,TD!$K$47:$L$65,2,0)," ")</f>
        <v>PM/0131/0113/45990310207</v>
      </c>
      <c r="AB818" s="53" t="s">
        <v>138</v>
      </c>
      <c r="AC818" s="257" t="s">
        <v>204</v>
      </c>
    </row>
    <row r="819" spans="2:29" ht="99" customHeight="1" x14ac:dyDescent="0.35">
      <c r="B819" s="136">
        <v>20250847</v>
      </c>
      <c r="C819" s="137" t="s">
        <v>208</v>
      </c>
      <c r="D819" s="254" t="s">
        <v>36</v>
      </c>
      <c r="E819" s="253" t="s">
        <v>378</v>
      </c>
      <c r="F819" s="254" t="s">
        <v>1065</v>
      </c>
      <c r="G819" s="254" t="s">
        <v>155</v>
      </c>
      <c r="H819" s="138">
        <v>80111600</v>
      </c>
      <c r="I819" s="255">
        <v>9</v>
      </c>
      <c r="J819" s="255">
        <v>3</v>
      </c>
      <c r="K819" s="139">
        <v>0</v>
      </c>
      <c r="L819" s="135">
        <v>21900000</v>
      </c>
      <c r="M819" s="140" t="s">
        <v>465</v>
      </c>
      <c r="N819" s="53" t="s">
        <v>113</v>
      </c>
      <c r="O819" s="219" t="s">
        <v>211</v>
      </c>
      <c r="P819" s="256" t="str">
        <f>IFERROR(VLOOKUP(C819,TD!$B$33:$F$37,2,0)," ")</f>
        <v>O230117</v>
      </c>
      <c r="Q819" s="256" t="str">
        <f>IFERROR(VLOOKUP(C819,TD!$B$33:$F$37,3,0)," ")</f>
        <v>4599</v>
      </c>
      <c r="R819" s="256">
        <f>IFERROR(VLOOKUP(C819,TD!$B$33:$F$37,4,0)," ")</f>
        <v>20240207</v>
      </c>
      <c r="S819" s="219" t="s">
        <v>193</v>
      </c>
      <c r="T819" s="221" t="str">
        <f>IFERROR(VLOOKUP(S819,TD!$J$34:$K$44,2,0)," ")</f>
        <v>Servicios para la planeación y sistemas de gestión y comunicación estratégica</v>
      </c>
      <c r="U819" s="222" t="str">
        <f t="shared" si="50"/>
        <v>13-Servicios para la planeación y sistemas de gestión y comunicación estratégica</v>
      </c>
      <c r="V819" s="219" t="s">
        <v>240</v>
      </c>
      <c r="W819" s="221" t="str">
        <f>IFERROR(VLOOKUP(V819,TD!$N$34:$O$46,2,0)," ")</f>
        <v>Servicio de asistencia técnica</v>
      </c>
      <c r="X819" s="251" t="str">
        <f t="shared" si="51"/>
        <v>031_Servicio de asistencia técnica</v>
      </c>
      <c r="Y819" s="251" t="str">
        <f t="shared" si="52"/>
        <v>13-Servicios para la planeación y sistemas de gestión y comunicación estratégica 031_Servicio de asistencia técnica</v>
      </c>
      <c r="Z819" s="256" t="str">
        <f t="shared" si="53"/>
        <v>O23011745992024020713031</v>
      </c>
      <c r="AA819" s="256" t="str">
        <f>IFERROR(VLOOKUP(Y819,TD!$K$47:$L$65,2,0)," ")</f>
        <v>PM/0131/0113/45990310207</v>
      </c>
      <c r="AB819" s="53" t="s">
        <v>138</v>
      </c>
      <c r="AC819" s="257" t="s">
        <v>205</v>
      </c>
    </row>
    <row r="820" spans="2:29" ht="99" customHeight="1" x14ac:dyDescent="0.35">
      <c r="B820" s="136">
        <v>20250848</v>
      </c>
      <c r="C820" s="137" t="s">
        <v>208</v>
      </c>
      <c r="D820" s="254" t="s">
        <v>36</v>
      </c>
      <c r="E820" s="253" t="s">
        <v>378</v>
      </c>
      <c r="F820" s="254" t="s">
        <v>1066</v>
      </c>
      <c r="G820" s="254" t="s">
        <v>155</v>
      </c>
      <c r="H820" s="138">
        <v>80111600</v>
      </c>
      <c r="I820" s="255">
        <v>9</v>
      </c>
      <c r="J820" s="255">
        <v>4</v>
      </c>
      <c r="K820" s="139">
        <v>0</v>
      </c>
      <c r="L820" s="135">
        <v>30000000</v>
      </c>
      <c r="M820" s="140" t="s">
        <v>465</v>
      </c>
      <c r="N820" s="135" t="s">
        <v>113</v>
      </c>
      <c r="O820" s="219" t="s">
        <v>213</v>
      </c>
      <c r="P820" s="256" t="str">
        <f>IFERROR(VLOOKUP(C820,TD!$B$33:$F$37,2,0)," ")</f>
        <v>O230117</v>
      </c>
      <c r="Q820" s="256" t="str">
        <f>IFERROR(VLOOKUP(C820,TD!$B$33:$F$37,3,0)," ")</f>
        <v>4599</v>
      </c>
      <c r="R820" s="256">
        <f>IFERROR(VLOOKUP(C820,TD!$B$33:$F$37,4,0)," ")</f>
        <v>20240207</v>
      </c>
      <c r="S820" s="219" t="s">
        <v>193</v>
      </c>
      <c r="T820" s="221" t="str">
        <f>IFERROR(VLOOKUP(S820,TD!$J$34:$K$44,2,0)," ")</f>
        <v>Servicios para la planeación y sistemas de gestión y comunicación estratégica</v>
      </c>
      <c r="U820" s="222" t="str">
        <f t="shared" si="50"/>
        <v>13-Servicios para la planeación y sistemas de gestión y comunicación estratégica</v>
      </c>
      <c r="V820" s="219" t="s">
        <v>240</v>
      </c>
      <c r="W820" s="221" t="str">
        <f>IFERROR(VLOOKUP(V820,TD!$N$34:$O$46,2,0)," ")</f>
        <v>Servicio de asistencia técnica</v>
      </c>
      <c r="X820" s="251" t="str">
        <f t="shared" si="51"/>
        <v>031_Servicio de asistencia técnica</v>
      </c>
      <c r="Y820" s="251" t="str">
        <f t="shared" si="52"/>
        <v>13-Servicios para la planeación y sistemas de gestión y comunicación estratégica 031_Servicio de asistencia técnica</v>
      </c>
      <c r="Z820" s="256" t="str">
        <f t="shared" si="53"/>
        <v>O23011745992024020713031</v>
      </c>
      <c r="AA820" s="256" t="str">
        <f>IFERROR(VLOOKUP(Y820,TD!$K$47:$L$65,2,0)," ")</f>
        <v>PM/0131/0113/45990310207</v>
      </c>
      <c r="AB820" s="53" t="s">
        <v>138</v>
      </c>
      <c r="AC820" s="257" t="s">
        <v>204</v>
      </c>
    </row>
    <row r="821" spans="2:29" ht="99" customHeight="1" x14ac:dyDescent="0.35">
      <c r="B821" s="136">
        <v>20250849</v>
      </c>
      <c r="C821" s="137" t="s">
        <v>208</v>
      </c>
      <c r="D821" s="254" t="s">
        <v>36</v>
      </c>
      <c r="E821" s="253" t="s">
        <v>378</v>
      </c>
      <c r="F821" s="254" t="s">
        <v>1067</v>
      </c>
      <c r="G821" s="254" t="s">
        <v>156</v>
      </c>
      <c r="H821" s="138">
        <v>80111600</v>
      </c>
      <c r="I821" s="255">
        <v>9</v>
      </c>
      <c r="J821" s="255">
        <v>4</v>
      </c>
      <c r="K821" s="139">
        <v>0</v>
      </c>
      <c r="L821" s="135">
        <v>16000000</v>
      </c>
      <c r="M821" s="140" t="s">
        <v>465</v>
      </c>
      <c r="N821" s="53" t="s">
        <v>113</v>
      </c>
      <c r="O821" s="219" t="s">
        <v>213</v>
      </c>
      <c r="P821" s="256" t="str">
        <f>IFERROR(VLOOKUP(C821,TD!$B$33:$F$37,2,0)," ")</f>
        <v>O230117</v>
      </c>
      <c r="Q821" s="256" t="str">
        <f>IFERROR(VLOOKUP(C821,TD!$B$33:$F$37,3,0)," ")</f>
        <v>4599</v>
      </c>
      <c r="R821" s="256">
        <f>IFERROR(VLOOKUP(C821,TD!$B$33:$F$37,4,0)," ")</f>
        <v>20240207</v>
      </c>
      <c r="S821" s="219" t="s">
        <v>193</v>
      </c>
      <c r="T821" s="221" t="str">
        <f>IFERROR(VLOOKUP(S821,TD!$J$34:$K$44,2,0)," ")</f>
        <v>Servicios para la planeación y sistemas de gestión y comunicación estratégica</v>
      </c>
      <c r="U821" s="222" t="str">
        <f t="shared" si="50"/>
        <v>13-Servicios para la planeación y sistemas de gestión y comunicación estratégica</v>
      </c>
      <c r="V821" s="219" t="s">
        <v>240</v>
      </c>
      <c r="W821" s="221" t="str">
        <f>IFERROR(VLOOKUP(V821,TD!$N$34:$O$46,2,0)," ")</f>
        <v>Servicio de asistencia técnica</v>
      </c>
      <c r="X821" s="251" t="str">
        <f t="shared" si="51"/>
        <v>031_Servicio de asistencia técnica</v>
      </c>
      <c r="Y821" s="251" t="str">
        <f t="shared" si="52"/>
        <v>13-Servicios para la planeación y sistemas de gestión y comunicación estratégica 031_Servicio de asistencia técnica</v>
      </c>
      <c r="Z821" s="256" t="str">
        <f t="shared" si="53"/>
        <v>O23011745992024020713031</v>
      </c>
      <c r="AA821" s="256" t="str">
        <f>IFERROR(VLOOKUP(Y821,TD!$K$47:$L$65,2,0)," ")</f>
        <v>PM/0131/0113/45990310207</v>
      </c>
      <c r="AB821" s="53" t="s">
        <v>138</v>
      </c>
      <c r="AC821" s="257" t="s">
        <v>204</v>
      </c>
    </row>
    <row r="822" spans="2:29" ht="99" customHeight="1" x14ac:dyDescent="0.35">
      <c r="B822" s="136">
        <v>20250850</v>
      </c>
      <c r="C822" s="137" t="s">
        <v>208</v>
      </c>
      <c r="D822" s="254" t="s">
        <v>36</v>
      </c>
      <c r="E822" s="253" t="s">
        <v>378</v>
      </c>
      <c r="F822" s="254" t="s">
        <v>1068</v>
      </c>
      <c r="G822" s="254" t="s">
        <v>155</v>
      </c>
      <c r="H822" s="138">
        <v>80111600</v>
      </c>
      <c r="I822" s="255">
        <v>9</v>
      </c>
      <c r="J822" s="255">
        <v>3</v>
      </c>
      <c r="K822" s="139">
        <v>0</v>
      </c>
      <c r="L822" s="135">
        <v>25500000</v>
      </c>
      <c r="M822" s="140" t="s">
        <v>465</v>
      </c>
      <c r="N822" s="53" t="s">
        <v>113</v>
      </c>
      <c r="O822" s="219" t="s">
        <v>211</v>
      </c>
      <c r="P822" s="256" t="str">
        <f>IFERROR(VLOOKUP(C822,TD!$B$33:$F$37,2,0)," ")</f>
        <v>O230117</v>
      </c>
      <c r="Q822" s="256" t="str">
        <f>IFERROR(VLOOKUP(C822,TD!$B$33:$F$37,3,0)," ")</f>
        <v>4599</v>
      </c>
      <c r="R822" s="256">
        <f>IFERROR(VLOOKUP(C822,TD!$B$33:$F$37,4,0)," ")</f>
        <v>20240207</v>
      </c>
      <c r="S822" s="219" t="s">
        <v>193</v>
      </c>
      <c r="T822" s="221" t="str">
        <f>IFERROR(VLOOKUP(S822,TD!$J$34:$K$44,2,0)," ")</f>
        <v>Servicios para la planeación y sistemas de gestión y comunicación estratégica</v>
      </c>
      <c r="U822" s="222" t="str">
        <f t="shared" si="50"/>
        <v>13-Servicios para la planeación y sistemas de gestión y comunicación estratégica</v>
      </c>
      <c r="V822" s="219" t="s">
        <v>241</v>
      </c>
      <c r="W822" s="221" t="str">
        <f>IFERROR(VLOOKUP(V822,TD!$N$34:$O$46,2,0)," ")</f>
        <v>Servicio de Implementación Sistemas de Gestión</v>
      </c>
      <c r="X822" s="251" t="str">
        <f t="shared" si="51"/>
        <v>023_Servicio de Implementación Sistemas de Gestión</v>
      </c>
      <c r="Y822" s="251" t="str">
        <f t="shared" si="52"/>
        <v>13-Servicios para la planeación y sistemas de gestión y comunicación estratégica 023_Servicio de Implementación Sistemas de Gestión</v>
      </c>
      <c r="Z822" s="256" t="str">
        <f t="shared" si="53"/>
        <v>O23011745992024020713023</v>
      </c>
      <c r="AA822" s="256" t="str">
        <f>IFERROR(VLOOKUP(Y822,TD!$K$47:$L$65,2,0)," ")</f>
        <v>PM/0131/0113/45990230207</v>
      </c>
      <c r="AB822" s="53" t="s">
        <v>138</v>
      </c>
      <c r="AC822" s="257" t="s">
        <v>205</v>
      </c>
    </row>
    <row r="823" spans="2:29" ht="99" customHeight="1" x14ac:dyDescent="0.35">
      <c r="B823" s="136">
        <v>20250851</v>
      </c>
      <c r="C823" s="137" t="s">
        <v>208</v>
      </c>
      <c r="D823" s="254" t="s">
        <v>36</v>
      </c>
      <c r="E823" s="253" t="s">
        <v>378</v>
      </c>
      <c r="F823" s="254" t="s">
        <v>1069</v>
      </c>
      <c r="G823" s="254" t="s">
        <v>155</v>
      </c>
      <c r="H823" s="138">
        <v>80111600</v>
      </c>
      <c r="I823" s="255">
        <v>9</v>
      </c>
      <c r="J823" s="255">
        <v>3</v>
      </c>
      <c r="K823" s="139">
        <v>0</v>
      </c>
      <c r="L823" s="135">
        <v>19500000</v>
      </c>
      <c r="M823" s="140" t="s">
        <v>465</v>
      </c>
      <c r="N823" s="53" t="s">
        <v>113</v>
      </c>
      <c r="O823" s="219" t="s">
        <v>212</v>
      </c>
      <c r="P823" s="256" t="str">
        <f>IFERROR(VLOOKUP(C823,TD!$B$33:$F$37,2,0)," ")</f>
        <v>O230117</v>
      </c>
      <c r="Q823" s="256" t="str">
        <f>IFERROR(VLOOKUP(C823,TD!$B$33:$F$37,3,0)," ")</f>
        <v>4599</v>
      </c>
      <c r="R823" s="256">
        <f>IFERROR(VLOOKUP(C823,TD!$B$33:$F$37,4,0)," ")</f>
        <v>20240207</v>
      </c>
      <c r="S823" s="219" t="s">
        <v>193</v>
      </c>
      <c r="T823" s="221" t="str">
        <f>IFERROR(VLOOKUP(S823,TD!$J$34:$K$44,2,0)," ")</f>
        <v>Servicios para la planeación y sistemas de gestión y comunicación estratégica</v>
      </c>
      <c r="U823" s="222" t="str">
        <f t="shared" si="50"/>
        <v>13-Servicios para la planeación y sistemas de gestión y comunicación estratégica</v>
      </c>
      <c r="V823" s="219" t="s">
        <v>241</v>
      </c>
      <c r="W823" s="221" t="str">
        <f>IFERROR(VLOOKUP(V823,TD!$N$34:$O$46,2,0)," ")</f>
        <v>Servicio de Implementación Sistemas de Gestión</v>
      </c>
      <c r="X823" s="251" t="str">
        <f t="shared" si="51"/>
        <v>023_Servicio de Implementación Sistemas de Gestión</v>
      </c>
      <c r="Y823" s="251" t="str">
        <f t="shared" si="52"/>
        <v>13-Servicios para la planeación y sistemas de gestión y comunicación estratégica 023_Servicio de Implementación Sistemas de Gestión</v>
      </c>
      <c r="Z823" s="256" t="str">
        <f t="shared" si="53"/>
        <v>O23011745992024020713023</v>
      </c>
      <c r="AA823" s="256" t="str">
        <f>IFERROR(VLOOKUP(Y823,TD!$K$47:$L$65,2,0)," ")</f>
        <v>PM/0131/0113/45990230207</v>
      </c>
      <c r="AB823" s="53" t="s">
        <v>138</v>
      </c>
      <c r="AC823" s="257" t="s">
        <v>205</v>
      </c>
    </row>
    <row r="824" spans="2:29" ht="99" customHeight="1" x14ac:dyDescent="0.35">
      <c r="B824" s="136">
        <v>20250852</v>
      </c>
      <c r="C824" s="137" t="s">
        <v>208</v>
      </c>
      <c r="D824" s="254" t="s">
        <v>36</v>
      </c>
      <c r="E824" s="253" t="s">
        <v>378</v>
      </c>
      <c r="F824" s="254" t="s">
        <v>1070</v>
      </c>
      <c r="G824" s="254" t="s">
        <v>155</v>
      </c>
      <c r="H824" s="138">
        <v>80111600</v>
      </c>
      <c r="I824" s="255">
        <v>9</v>
      </c>
      <c r="J824" s="255">
        <v>3</v>
      </c>
      <c r="K824" s="139">
        <v>0</v>
      </c>
      <c r="L824" s="135">
        <v>21000000</v>
      </c>
      <c r="M824" s="140" t="s">
        <v>465</v>
      </c>
      <c r="N824" s="53" t="s">
        <v>113</v>
      </c>
      <c r="O824" s="219" t="s">
        <v>212</v>
      </c>
      <c r="P824" s="256" t="str">
        <f>IFERROR(VLOOKUP(C824,TD!$B$33:$F$37,2,0)," ")</f>
        <v>O230117</v>
      </c>
      <c r="Q824" s="256" t="str">
        <f>IFERROR(VLOOKUP(C824,TD!$B$33:$F$37,3,0)," ")</f>
        <v>4599</v>
      </c>
      <c r="R824" s="256">
        <f>IFERROR(VLOOKUP(C824,TD!$B$33:$F$37,4,0)," ")</f>
        <v>20240207</v>
      </c>
      <c r="S824" s="219" t="s">
        <v>193</v>
      </c>
      <c r="T824" s="221" t="str">
        <f>IFERROR(VLOOKUP(S824,TD!$J$34:$K$44,2,0)," ")</f>
        <v>Servicios para la planeación y sistemas de gestión y comunicación estratégica</v>
      </c>
      <c r="U824" s="222" t="str">
        <f t="shared" si="50"/>
        <v>13-Servicios para la planeación y sistemas de gestión y comunicación estratégica</v>
      </c>
      <c r="V824" s="219" t="s">
        <v>241</v>
      </c>
      <c r="W824" s="221" t="str">
        <f>IFERROR(VLOOKUP(V824,TD!$N$34:$O$46,2,0)," ")</f>
        <v>Servicio de Implementación Sistemas de Gestión</v>
      </c>
      <c r="X824" s="251" t="str">
        <f t="shared" si="51"/>
        <v>023_Servicio de Implementación Sistemas de Gestión</v>
      </c>
      <c r="Y824" s="251" t="str">
        <f t="shared" si="52"/>
        <v>13-Servicios para la planeación y sistemas de gestión y comunicación estratégica 023_Servicio de Implementación Sistemas de Gestión</v>
      </c>
      <c r="Z824" s="256" t="str">
        <f t="shared" si="53"/>
        <v>O23011745992024020713023</v>
      </c>
      <c r="AA824" s="256" t="str">
        <f>IFERROR(VLOOKUP(Y824,TD!$K$47:$L$65,2,0)," ")</f>
        <v>PM/0131/0113/45990230207</v>
      </c>
      <c r="AB824" s="53" t="s">
        <v>138</v>
      </c>
      <c r="AC824" s="257" t="s">
        <v>205</v>
      </c>
    </row>
    <row r="825" spans="2:29" ht="99" customHeight="1" x14ac:dyDescent="0.35">
      <c r="B825" s="136">
        <v>20250853</v>
      </c>
      <c r="C825" s="137" t="s">
        <v>208</v>
      </c>
      <c r="D825" s="254" t="s">
        <v>36</v>
      </c>
      <c r="E825" s="253" t="s">
        <v>378</v>
      </c>
      <c r="F825" s="254" t="s">
        <v>1071</v>
      </c>
      <c r="G825" s="254" t="s">
        <v>156</v>
      </c>
      <c r="H825" s="138">
        <v>80111600</v>
      </c>
      <c r="I825" s="255">
        <v>12</v>
      </c>
      <c r="J825" s="255">
        <v>1</v>
      </c>
      <c r="K825" s="139">
        <v>0</v>
      </c>
      <c r="L825" s="135">
        <v>4490816</v>
      </c>
      <c r="M825" s="140" t="s">
        <v>465</v>
      </c>
      <c r="N825" s="53" t="s">
        <v>113</v>
      </c>
      <c r="O825" s="219" t="s">
        <v>211</v>
      </c>
      <c r="P825" s="256" t="str">
        <f>IFERROR(VLOOKUP(C825,TD!$B$33:$F$37,2,0)," ")</f>
        <v>O230117</v>
      </c>
      <c r="Q825" s="256" t="str">
        <f>IFERROR(VLOOKUP(C825,TD!$B$33:$F$37,3,0)," ")</f>
        <v>4599</v>
      </c>
      <c r="R825" s="256">
        <f>IFERROR(VLOOKUP(C825,TD!$B$33:$F$37,4,0)," ")</f>
        <v>20240207</v>
      </c>
      <c r="S825" s="219" t="s">
        <v>193</v>
      </c>
      <c r="T825" s="221" t="str">
        <f>IFERROR(VLOOKUP(S825,TD!$J$34:$K$44,2,0)," ")</f>
        <v>Servicios para la planeación y sistemas de gestión y comunicación estratégica</v>
      </c>
      <c r="U825" s="222" t="str">
        <f t="shared" si="50"/>
        <v>13-Servicios para la planeación y sistemas de gestión y comunicación estratégica</v>
      </c>
      <c r="V825" s="219" t="s">
        <v>241</v>
      </c>
      <c r="W825" s="221" t="str">
        <f>IFERROR(VLOOKUP(V825,TD!$N$34:$O$46,2,0)," ")</f>
        <v>Servicio de Implementación Sistemas de Gestión</v>
      </c>
      <c r="X825" s="251" t="str">
        <f t="shared" si="51"/>
        <v>023_Servicio de Implementación Sistemas de Gestión</v>
      </c>
      <c r="Y825" s="251" t="str">
        <f t="shared" si="52"/>
        <v>13-Servicios para la planeación y sistemas de gestión y comunicación estratégica 023_Servicio de Implementación Sistemas de Gestión</v>
      </c>
      <c r="Z825" s="256" t="str">
        <f t="shared" si="53"/>
        <v>O23011745992024020713023</v>
      </c>
      <c r="AA825" s="256" t="str">
        <f>IFERROR(VLOOKUP(Y825,TD!$K$47:$L$65,2,0)," ")</f>
        <v>PM/0131/0113/45990230207</v>
      </c>
      <c r="AB825" s="53" t="s">
        <v>138</v>
      </c>
      <c r="AC825" s="257" t="s">
        <v>205</v>
      </c>
    </row>
    <row r="826" spans="2:29" ht="99" customHeight="1" x14ac:dyDescent="0.35">
      <c r="B826" s="170"/>
      <c r="C826" s="171"/>
      <c r="D826" s="172"/>
      <c r="E826" s="173"/>
      <c r="F826" s="172"/>
      <c r="G826" s="172"/>
      <c r="H826" s="174"/>
      <c r="I826" s="175"/>
      <c r="J826" s="175"/>
      <c r="K826" s="176"/>
      <c r="L826" s="177"/>
      <c r="M826" s="178"/>
      <c r="N826" s="177"/>
      <c r="O826" s="173"/>
      <c r="P826" s="179" t="str">
        <f>IFERROR(VLOOKUP(C826,TD!$B$33:$F$37,2,0)," ")</f>
        <v xml:space="preserve"> </v>
      </c>
      <c r="Q826" s="179" t="str">
        <f>IFERROR(VLOOKUP(C826,TD!$B$33:$F$37,3,0)," ")</f>
        <v xml:space="preserve"> </v>
      </c>
      <c r="R826" s="179" t="str">
        <f>IFERROR(VLOOKUP(C826,TD!$B$33:$F$37,4,0)," ")</f>
        <v xml:space="preserve"> </v>
      </c>
      <c r="S826" s="173"/>
      <c r="T826" s="179"/>
      <c r="U826" s="169" t="str">
        <f t="shared" si="50"/>
        <v>-</v>
      </c>
      <c r="V826" s="173"/>
      <c r="W826" s="179"/>
      <c r="X826" s="169" t="str">
        <f t="shared" si="51"/>
        <v>_</v>
      </c>
      <c r="Y826" s="169" t="str">
        <f t="shared" si="52"/>
        <v>- _</v>
      </c>
      <c r="Z826" s="179" t="str">
        <f t="shared" si="53"/>
        <v xml:space="preserve">   </v>
      </c>
      <c r="AA826" s="179" t="str">
        <f>IFERROR(VLOOKUP(Y826,TD!$K$47:$L$65,2,0)," ")</f>
        <v xml:space="preserve"> </v>
      </c>
      <c r="AB826" s="177"/>
      <c r="AC826" s="180"/>
    </row>
  </sheetData>
  <mergeCells count="7">
    <mergeCell ref="M7:O7"/>
    <mergeCell ref="B2:C2"/>
    <mergeCell ref="E3:L3"/>
    <mergeCell ref="E4:L4"/>
    <mergeCell ref="E5:L5"/>
    <mergeCell ref="M4:O4"/>
    <mergeCell ref="M5:O5"/>
  </mergeCells>
  <conditionalFormatting sqref="B1:B1048576">
    <cfRule type="duplicateValues" dxfId="52" priority="1"/>
    <cfRule type="duplicateValues" dxfId="51" priority="2"/>
    <cfRule type="duplicateValues" dxfId="50" priority="4"/>
    <cfRule type="duplicateValues" dxfId="49" priority="5"/>
    <cfRule type="duplicateValues" dxfId="48" priority="7"/>
    <cfRule type="duplicateValues" dxfId="47" priority="9"/>
    <cfRule type="duplicateValues" dxfId="46" priority="10"/>
    <cfRule type="duplicateValues" dxfId="45" priority="17"/>
    <cfRule type="duplicateValues" dxfId="44" priority="3967"/>
    <cfRule type="duplicateValues" dxfId="43" priority="3968"/>
  </conditionalFormatting>
  <conditionalFormatting sqref="B5:B676">
    <cfRule type="duplicateValues" dxfId="42" priority="17035"/>
    <cfRule type="duplicateValues" dxfId="41" priority="17036"/>
    <cfRule type="duplicateValues" dxfId="40" priority="17037"/>
    <cfRule type="duplicateValues" dxfId="39" priority="17038" stopIfTrue="1"/>
  </conditionalFormatting>
  <conditionalFormatting sqref="B11:B826">
    <cfRule type="duplicateValues" dxfId="38" priority="17061" stopIfTrue="1"/>
    <cfRule type="duplicateValues" dxfId="37" priority="17062" stopIfTrue="1"/>
    <cfRule type="duplicateValues" dxfId="36" priority="17063"/>
    <cfRule type="duplicateValues" dxfId="35" priority="17064"/>
    <cfRule type="duplicateValues" dxfId="34" priority="17065"/>
    <cfRule type="duplicateValues" dxfId="33" priority="17066"/>
    <cfRule type="expression" dxfId="32" priority="17043" stopIfTrue="1">
      <formula>AND(COUNTIF(#REF!, B11)+COUNTIF($B$2:$B$11, B11)+COUNTIF($B$12:$B$826, B11)&gt;1,NOT(ISBLANK(B11)))</formula>
    </cfRule>
    <cfRule type="expression" dxfId="31" priority="17044" stopIfTrue="1">
      <formula>AND(COUNTIF($B$2:$B$11, B11)+COUNTIF($B$12:$B$826, B11)&gt;1,NOT(ISBLANK(B11)))</formula>
    </cfRule>
    <cfRule type="expression" dxfId="30" priority="17045" stopIfTrue="1">
      <formula>AND(COUNTIF(#REF!, B11)+COUNTIF($B$11:$B$11, B11)&gt;1,NOT(ISBLANK(B11)))</formula>
    </cfRule>
    <cfRule type="duplicateValues" dxfId="29" priority="17046" stopIfTrue="1"/>
    <cfRule type="duplicateValues" dxfId="28" priority="17047" stopIfTrue="1"/>
    <cfRule type="duplicateValues" dxfId="27" priority="17048" stopIfTrue="1"/>
    <cfRule type="duplicateValues" dxfId="26" priority="17049" stopIfTrue="1"/>
    <cfRule type="duplicateValues" dxfId="25" priority="17050" stopIfTrue="1"/>
    <cfRule type="duplicateValues" dxfId="24" priority="17051"/>
    <cfRule type="duplicateValues" dxfId="23" priority="17052"/>
    <cfRule type="duplicateValues" dxfId="22" priority="17053" stopIfTrue="1"/>
    <cfRule type="duplicateValues" dxfId="21" priority="17054" stopIfTrue="1"/>
    <cfRule type="duplicateValues" dxfId="20" priority="17055" stopIfTrue="1"/>
    <cfRule type="duplicateValues" dxfId="19" priority="17056" stopIfTrue="1"/>
    <cfRule type="duplicateValues" dxfId="18" priority="17057" stopIfTrue="1"/>
    <cfRule type="duplicateValues" dxfId="17" priority="17058" stopIfTrue="1"/>
    <cfRule type="duplicateValues" dxfId="16" priority="17059" stopIfTrue="1"/>
    <cfRule type="duplicateValues" dxfId="15" priority="17060" stopIfTrue="1"/>
  </conditionalFormatting>
  <conditionalFormatting sqref="B12:B826">
    <cfRule type="duplicateValues" dxfId="14" priority="17091"/>
    <cfRule type="duplicateValues" dxfId="13" priority="17092"/>
    <cfRule type="duplicateValues" dxfId="12" priority="17093"/>
    <cfRule type="duplicateValues" dxfId="11" priority="17094"/>
    <cfRule type="duplicateValues" dxfId="10" priority="17095"/>
    <cfRule type="duplicateValues" dxfId="9" priority="17096"/>
    <cfRule type="duplicateValues" dxfId="8" priority="17097"/>
    <cfRule type="duplicateValues" dxfId="7" priority="17098"/>
    <cfRule type="duplicateValues" dxfId="6" priority="17099"/>
  </conditionalFormatting>
  <conditionalFormatting sqref="E3:E6">
    <cfRule type="duplicateValues" dxfId="5" priority="161" stopIfTrue="1"/>
    <cfRule type="duplicateValues" dxfId="4" priority="162" stopIfTrue="1"/>
    <cfRule type="duplicateValues" dxfId="3" priority="163"/>
    <cfRule type="duplicateValues" dxfId="2" priority="164"/>
    <cfRule type="duplicateValues" dxfId="1" priority="165"/>
  </conditionalFormatting>
  <conditionalFormatting sqref="E3:E9 B5:B676">
    <cfRule type="expression" dxfId="0" priority="3626" stopIfTrue="1">
      <formula>AND(COUNTIF($E$3:$E$9, B3)+COUNTIF(#REF!, B3)&gt;1,NOT(ISBLANK(B3)))</formula>
    </cfRule>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218" r:id="rId5" name="Control 194">
              <controlPr defaultSize="0" print="0" uiObject="1" autoLine="0" autoPict="0">
                <anchor moveWithCells="1" sizeWithCells="1">
                  <from>
                    <xdr:col>2</xdr:col>
                    <xdr:colOff>0</xdr:colOff>
                    <xdr:row>72</xdr:row>
                    <xdr:rowOff>0</xdr:rowOff>
                  </from>
                  <to>
                    <xdr:col>3</xdr:col>
                    <xdr:colOff>342900</xdr:colOff>
                    <xdr:row>72</xdr:row>
                    <xdr:rowOff>209550</xdr:rowOff>
                  </to>
                </anchor>
              </controlPr>
            </control>
          </mc:Choice>
        </mc:AlternateContent>
        <mc:AlternateContent xmlns:mc="http://schemas.openxmlformats.org/markup-compatibility/2006">
          <mc:Choice Requires="x14">
            <control shapeId="1240" r:id="rId6" name="Control 216">
              <controlPr defaultSize="0" print="0" uiObject="1" autoLine="0" autoPict="0">
                <anchor moveWithCells="1" sizeWithCells="1">
                  <from>
                    <xdr:col>2</xdr:col>
                    <xdr:colOff>0</xdr:colOff>
                    <xdr:row>72</xdr:row>
                    <xdr:rowOff>0</xdr:rowOff>
                  </from>
                  <to>
                    <xdr:col>3</xdr:col>
                    <xdr:colOff>279400</xdr:colOff>
                    <xdr:row>72</xdr:row>
                    <xdr:rowOff>209550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TD!$J$3:$J$24</xm:f>
          </x14:formula1>
          <xm:sqref>O12:O413 O421:O825</xm:sqref>
        </x14:dataValidation>
        <x14:dataValidation type="list" allowBlank="1" showInputMessage="1" showErrorMessage="1" xr:uid="{00000000-0002-0000-0100-000007000000}">
          <x14:formula1>
            <xm:f>TD!$Q$2:$Q$5</xm:f>
          </x14:formula1>
          <xm:sqref>M12:M826</xm:sqref>
        </x14:dataValidation>
        <x14:dataValidation type="list" allowBlank="1" showInputMessage="1" showErrorMessage="1" xr:uid="{00000000-0002-0000-0100-000002000000}">
          <x14:formula1>
            <xm:f>TD!$D$2:$D$29</xm:f>
          </x14:formula1>
          <xm:sqref>G12:G826</xm:sqref>
        </x14:dataValidation>
        <x14:dataValidation type="list" allowBlank="1" showInputMessage="1" showErrorMessage="1" xr:uid="{00000000-0002-0000-0100-000003000000}">
          <x14:formula1>
            <xm:f>TD!$J$34:$J$44</xm:f>
          </x14:formula1>
          <xm:sqref>S12:S826</xm:sqref>
        </x14:dataValidation>
        <x14:dataValidation type="list" allowBlank="1" showInputMessage="1" showErrorMessage="1" xr:uid="{00000000-0002-0000-0100-000004000000}">
          <x14:formula1>
            <xm:f>TD!$X$34:$X$35</xm:f>
          </x14:formula1>
          <xm:sqref>AC12:AC826</xm:sqref>
        </x14:dataValidation>
        <x14:dataValidation type="list" allowBlank="1" showInputMessage="1" showErrorMessage="1" xr:uid="{00000000-0002-0000-0100-000005000000}">
          <x14:formula1>
            <xm:f>TD!$B$2:$B$11</xm:f>
          </x14:formula1>
          <xm:sqref>N12:N826</xm:sqref>
        </x14:dataValidation>
        <x14:dataValidation type="list" allowBlank="1" showInputMessage="1" showErrorMessage="1" xr:uid="{00000000-0002-0000-0100-000009000000}">
          <x14:formula1>
            <xm:f>TD!$N$34:$N$46</xm:f>
          </x14:formula1>
          <xm:sqref>V12:V826</xm:sqref>
        </x14:dataValidation>
        <x14:dataValidation type="list" allowBlank="1" showInputMessage="1" showErrorMessage="1" xr:uid="{00000000-0002-0000-0100-000006000000}">
          <x14:formula1>
            <xm:f>TD!$L$2:$L$5</xm:f>
          </x14:formula1>
          <xm:sqref>C12:C1048576</xm:sqref>
        </x14:dataValidation>
        <x14:dataValidation type="list" allowBlank="1" showInputMessage="1" showErrorMessage="1" xr:uid="{00000000-0002-0000-0100-000008000000}">
          <x14:formula1>
            <xm:f>TD!$O$2:$O$15</xm:f>
          </x14:formula1>
          <xm:sqref>D12:D1048576</xm:sqref>
        </x14:dataValidation>
        <x14:dataValidation type="list" allowBlank="1" showInputMessage="1" showErrorMessage="1" xr:uid="{00000000-0002-0000-0100-000001000000}">
          <x14:formula1>
            <xm:f>TD!$F$2:$F$31</xm:f>
          </x14:formula1>
          <xm:sqref>AB12:AB1048576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79" customWidth="1"/>
    <col min="2" max="3" width="17.1796875" style="79"/>
    <col min="4" max="4" width="20.453125" style="79" customWidth="1"/>
    <col min="5" max="5" width="29.453125" style="79" customWidth="1"/>
    <col min="6" max="6" width="20.453125" style="80" customWidth="1"/>
    <col min="7" max="7" width="6.453125" style="79" customWidth="1"/>
    <col min="8" max="9" width="24.453125" style="79" customWidth="1"/>
    <col min="10" max="10" width="19.26953125" style="79" customWidth="1"/>
    <col min="11" max="11" width="28.81640625" style="80" bestFit="1" customWidth="1"/>
    <col min="12" max="12" width="21.453125" style="79" customWidth="1"/>
    <col min="13" max="16384" width="17.1796875" style="79"/>
  </cols>
  <sheetData>
    <row r="2" spans="2:13" x14ac:dyDescent="0.45">
      <c r="B2" s="78" t="s">
        <v>417</v>
      </c>
      <c r="C2" s="78"/>
      <c r="H2" s="78" t="s">
        <v>423</v>
      </c>
    </row>
    <row r="3" spans="2:13" x14ac:dyDescent="0.45">
      <c r="B3" s="78" t="s">
        <v>418</v>
      </c>
      <c r="H3" s="78" t="s">
        <v>418</v>
      </c>
    </row>
    <row r="4" spans="2:13" x14ac:dyDescent="0.45">
      <c r="B4" s="78" t="s">
        <v>208</v>
      </c>
      <c r="C4" s="78"/>
      <c r="H4" s="78" t="s">
        <v>208</v>
      </c>
      <c r="I4" s="78"/>
    </row>
    <row r="5" spans="2:13" s="25" customFormat="1" ht="33" x14ac:dyDescent="0.35">
      <c r="B5" s="55" t="s">
        <v>52</v>
      </c>
      <c r="C5" s="55" t="s">
        <v>0</v>
      </c>
      <c r="D5" s="64" t="s">
        <v>2</v>
      </c>
      <c r="E5" s="55" t="s">
        <v>231</v>
      </c>
      <c r="F5" s="87" t="s">
        <v>416</v>
      </c>
      <c r="G5" s="24"/>
      <c r="H5" s="55" t="s">
        <v>52</v>
      </c>
      <c r="I5" s="55" t="s">
        <v>0</v>
      </c>
      <c r="J5" s="64" t="s">
        <v>2</v>
      </c>
      <c r="K5" s="55" t="s">
        <v>231</v>
      </c>
      <c r="L5" s="87" t="s">
        <v>416</v>
      </c>
      <c r="M5" s="87" t="s">
        <v>419</v>
      </c>
    </row>
    <row r="6" spans="2:13" x14ac:dyDescent="0.45">
      <c r="B6" s="82" t="s">
        <v>208</v>
      </c>
      <c r="C6" s="82" t="s">
        <v>45</v>
      </c>
      <c r="D6" s="82" t="s">
        <v>219</v>
      </c>
      <c r="E6" s="82" t="s">
        <v>266</v>
      </c>
      <c r="F6" s="83">
        <v>260870960</v>
      </c>
      <c r="H6" s="82" t="s">
        <v>208</v>
      </c>
      <c r="I6" s="82" t="s">
        <v>45</v>
      </c>
      <c r="J6" s="82" t="s">
        <v>219</v>
      </c>
      <c r="K6" s="82" t="s">
        <v>266</v>
      </c>
      <c r="L6" s="83">
        <v>260870960</v>
      </c>
      <c r="M6" s="85">
        <f t="shared" ref="M6:M19" si="0">+F6-L6</f>
        <v>0</v>
      </c>
    </row>
    <row r="7" spans="2:13" x14ac:dyDescent="0.45">
      <c r="B7" s="82" t="s">
        <v>208</v>
      </c>
      <c r="C7" s="82" t="s">
        <v>161</v>
      </c>
      <c r="D7" s="82" t="s">
        <v>220</v>
      </c>
      <c r="E7" s="82" t="s">
        <v>273</v>
      </c>
      <c r="F7" s="83">
        <v>260870960</v>
      </c>
      <c r="H7" s="82" t="s">
        <v>208</v>
      </c>
      <c r="I7" s="82" t="s">
        <v>161</v>
      </c>
      <c r="J7" s="82" t="s">
        <v>220</v>
      </c>
      <c r="K7" s="82" t="s">
        <v>273</v>
      </c>
      <c r="L7" s="83">
        <v>260870960</v>
      </c>
      <c r="M7" s="85">
        <f t="shared" si="0"/>
        <v>0</v>
      </c>
    </row>
    <row r="8" spans="2:13" x14ac:dyDescent="0.45">
      <c r="B8" s="82" t="s">
        <v>208</v>
      </c>
      <c r="C8" s="82" t="s">
        <v>162</v>
      </c>
      <c r="D8" s="82" t="s">
        <v>214</v>
      </c>
      <c r="E8" s="82" t="s">
        <v>269</v>
      </c>
      <c r="F8" s="83">
        <v>481960117</v>
      </c>
      <c r="H8" s="82" t="s">
        <v>208</v>
      </c>
      <c r="I8" s="82" t="s">
        <v>162</v>
      </c>
      <c r="J8" s="82" t="s">
        <v>214</v>
      </c>
      <c r="K8" s="82" t="s">
        <v>269</v>
      </c>
      <c r="L8" s="83">
        <v>481960117</v>
      </c>
      <c r="M8" s="85">
        <f t="shared" si="0"/>
        <v>0</v>
      </c>
    </row>
    <row r="9" spans="2:13" x14ac:dyDescent="0.45">
      <c r="B9" s="82" t="s">
        <v>208</v>
      </c>
      <c r="C9" s="82" t="s">
        <v>162</v>
      </c>
      <c r="D9" s="82" t="s">
        <v>215</v>
      </c>
      <c r="E9" s="82" t="s">
        <v>269</v>
      </c>
      <c r="F9" s="83">
        <v>926338572</v>
      </c>
      <c r="H9" s="82" t="s">
        <v>208</v>
      </c>
      <c r="I9" s="82" t="s">
        <v>162</v>
      </c>
      <c r="J9" s="82" t="s">
        <v>215</v>
      </c>
      <c r="K9" s="82" t="s">
        <v>269</v>
      </c>
      <c r="L9" s="83">
        <v>926338572</v>
      </c>
      <c r="M9" s="85">
        <f t="shared" si="0"/>
        <v>0</v>
      </c>
    </row>
    <row r="10" spans="2:13" x14ac:dyDescent="0.45">
      <c r="B10" s="82" t="s">
        <v>208</v>
      </c>
      <c r="C10" s="82" t="s">
        <v>162</v>
      </c>
      <c r="D10" s="82" t="s">
        <v>216</v>
      </c>
      <c r="E10" s="82" t="s">
        <v>269</v>
      </c>
      <c r="F10" s="83">
        <v>475003732</v>
      </c>
      <c r="H10" s="82" t="s">
        <v>208</v>
      </c>
      <c r="I10" s="82" t="s">
        <v>162</v>
      </c>
      <c r="J10" s="82" t="s">
        <v>216</v>
      </c>
      <c r="K10" s="82" t="s">
        <v>269</v>
      </c>
      <c r="L10" s="83">
        <v>475003732</v>
      </c>
      <c r="M10" s="85">
        <f t="shared" si="0"/>
        <v>0</v>
      </c>
    </row>
    <row r="11" spans="2:13" x14ac:dyDescent="0.45">
      <c r="B11" s="82" t="s">
        <v>208</v>
      </c>
      <c r="C11" s="82" t="s">
        <v>162</v>
      </c>
      <c r="D11" s="82" t="s">
        <v>217</v>
      </c>
      <c r="E11" s="82" t="s">
        <v>269</v>
      </c>
      <c r="F11" s="83">
        <v>175876971</v>
      </c>
      <c r="H11" s="82" t="s">
        <v>208</v>
      </c>
      <c r="I11" s="82" t="s">
        <v>162</v>
      </c>
      <c r="J11" s="82" t="s">
        <v>217</v>
      </c>
      <c r="K11" s="82" t="s">
        <v>269</v>
      </c>
      <c r="L11" s="83">
        <v>175876971</v>
      </c>
      <c r="M11" s="85">
        <f t="shared" si="0"/>
        <v>0</v>
      </c>
    </row>
    <row r="12" spans="2:13" x14ac:dyDescent="0.45">
      <c r="B12" s="82" t="s">
        <v>208</v>
      </c>
      <c r="C12" s="82" t="s">
        <v>36</v>
      </c>
      <c r="D12" s="82" t="s">
        <v>211</v>
      </c>
      <c r="E12" s="82" t="s">
        <v>271</v>
      </c>
      <c r="F12" s="83">
        <v>336851064</v>
      </c>
      <c r="H12" s="82" t="s">
        <v>208</v>
      </c>
      <c r="I12" s="82" t="s">
        <v>36</v>
      </c>
      <c r="J12" s="82" t="s">
        <v>211</v>
      </c>
      <c r="K12" s="82" t="s">
        <v>271</v>
      </c>
      <c r="L12" s="83">
        <v>336851064</v>
      </c>
      <c r="M12" s="85">
        <f t="shared" si="0"/>
        <v>0</v>
      </c>
    </row>
    <row r="13" spans="2:13" x14ac:dyDescent="0.45">
      <c r="B13" s="82" t="s">
        <v>208</v>
      </c>
      <c r="C13" s="82" t="s">
        <v>36</v>
      </c>
      <c r="D13" s="82" t="s">
        <v>212</v>
      </c>
      <c r="E13" s="82" t="s">
        <v>272</v>
      </c>
      <c r="F13" s="83">
        <v>168425532</v>
      </c>
      <c r="H13" s="82" t="s">
        <v>208</v>
      </c>
      <c r="I13" s="82" t="s">
        <v>36</v>
      </c>
      <c r="J13" s="82" t="s">
        <v>212</v>
      </c>
      <c r="K13" s="82" t="s">
        <v>272</v>
      </c>
      <c r="L13" s="83">
        <v>168425532</v>
      </c>
      <c r="M13" s="85">
        <f t="shared" si="0"/>
        <v>0</v>
      </c>
    </row>
    <row r="14" spans="2:13" x14ac:dyDescent="0.45">
      <c r="B14" s="82" t="s">
        <v>208</v>
      </c>
      <c r="C14" s="82" t="s">
        <v>36</v>
      </c>
      <c r="D14" s="82" t="s">
        <v>213</v>
      </c>
      <c r="E14" s="82" t="s">
        <v>272</v>
      </c>
      <c r="F14" s="83">
        <v>56141844</v>
      </c>
      <c r="H14" s="82" t="s">
        <v>208</v>
      </c>
      <c r="I14" s="82" t="s">
        <v>36</v>
      </c>
      <c r="J14" s="82" t="s">
        <v>213</v>
      </c>
      <c r="K14" s="82" t="s">
        <v>272</v>
      </c>
      <c r="L14" s="83">
        <v>56141844</v>
      </c>
      <c r="M14" s="85">
        <f t="shared" si="0"/>
        <v>0</v>
      </c>
    </row>
    <row r="15" spans="2:13" x14ac:dyDescent="0.45">
      <c r="B15" s="82" t="s">
        <v>208</v>
      </c>
      <c r="C15" s="82" t="s">
        <v>46</v>
      </c>
      <c r="D15" s="82" t="s">
        <v>219</v>
      </c>
      <c r="E15" s="82" t="s">
        <v>266</v>
      </c>
      <c r="F15" s="83">
        <v>206558000</v>
      </c>
      <c r="H15" s="82" t="s">
        <v>208</v>
      </c>
      <c r="I15" s="82" t="s">
        <v>46</v>
      </c>
      <c r="J15" s="82" t="s">
        <v>219</v>
      </c>
      <c r="K15" s="82" t="s">
        <v>266</v>
      </c>
      <c r="L15" s="83">
        <v>206558000</v>
      </c>
      <c r="M15" s="85">
        <f t="shared" si="0"/>
        <v>0</v>
      </c>
    </row>
    <row r="16" spans="2:13" x14ac:dyDescent="0.45">
      <c r="B16" s="82" t="s">
        <v>208</v>
      </c>
      <c r="C16" s="82" t="s">
        <v>163</v>
      </c>
      <c r="D16" s="82" t="s">
        <v>219</v>
      </c>
      <c r="E16" s="82" t="s">
        <v>266</v>
      </c>
      <c r="F16" s="83">
        <v>171068294</v>
      </c>
      <c r="H16" s="82" t="s">
        <v>208</v>
      </c>
      <c r="I16" s="82" t="s">
        <v>163</v>
      </c>
      <c r="J16" s="82" t="s">
        <v>219</v>
      </c>
      <c r="K16" s="82" t="s">
        <v>266</v>
      </c>
      <c r="L16" s="83">
        <v>171068294</v>
      </c>
      <c r="M16" s="85">
        <f t="shared" si="0"/>
        <v>0</v>
      </c>
    </row>
    <row r="17" spans="2:13" x14ac:dyDescent="0.45">
      <c r="B17" s="82" t="s">
        <v>208</v>
      </c>
      <c r="C17" s="82" t="s">
        <v>164</v>
      </c>
      <c r="D17" s="82" t="s">
        <v>219</v>
      </c>
      <c r="E17" s="82" t="s">
        <v>266</v>
      </c>
      <c r="F17" s="83">
        <v>229431788</v>
      </c>
      <c r="H17" s="82" t="s">
        <v>208</v>
      </c>
      <c r="I17" s="82" t="s">
        <v>164</v>
      </c>
      <c r="J17" s="82" t="s">
        <v>219</v>
      </c>
      <c r="K17" s="82" t="s">
        <v>266</v>
      </c>
      <c r="L17" s="83">
        <v>229431788</v>
      </c>
      <c r="M17" s="85">
        <f t="shared" si="0"/>
        <v>0</v>
      </c>
    </row>
    <row r="18" spans="2:13" x14ac:dyDescent="0.45">
      <c r="B18" s="82" t="s">
        <v>208</v>
      </c>
      <c r="C18" s="82" t="s">
        <v>166</v>
      </c>
      <c r="D18" s="82" t="s">
        <v>218</v>
      </c>
      <c r="E18" s="82" t="s">
        <v>266</v>
      </c>
      <c r="F18" s="83">
        <v>1239712750</v>
      </c>
      <c r="H18" s="82" t="s">
        <v>208</v>
      </c>
      <c r="I18" s="82" t="s">
        <v>166</v>
      </c>
      <c r="J18" s="82" t="s">
        <v>218</v>
      </c>
      <c r="K18" s="82" t="s">
        <v>266</v>
      </c>
      <c r="L18" s="83">
        <v>1239712750</v>
      </c>
      <c r="M18" s="85">
        <f t="shared" si="0"/>
        <v>0</v>
      </c>
    </row>
    <row r="19" spans="2:13" x14ac:dyDescent="0.45">
      <c r="B19" s="82" t="s">
        <v>208</v>
      </c>
      <c r="C19" s="82" t="s">
        <v>166</v>
      </c>
      <c r="D19" s="82" t="s">
        <v>219</v>
      </c>
      <c r="E19" s="82" t="s">
        <v>266</v>
      </c>
      <c r="F19" s="83">
        <v>248759474</v>
      </c>
      <c r="H19" s="82" t="s">
        <v>208</v>
      </c>
      <c r="I19" s="82" t="s">
        <v>166</v>
      </c>
      <c r="J19" s="82" t="s">
        <v>219</v>
      </c>
      <c r="K19" s="82" t="s">
        <v>266</v>
      </c>
      <c r="L19" s="83">
        <v>248759474</v>
      </c>
      <c r="M19" s="85">
        <f t="shared" si="0"/>
        <v>0</v>
      </c>
    </row>
    <row r="20" spans="2:13" x14ac:dyDescent="0.45">
      <c r="B20" s="78" t="s">
        <v>27</v>
      </c>
      <c r="C20" s="78"/>
      <c r="D20" s="78"/>
      <c r="E20" s="78"/>
      <c r="F20" s="84">
        <f>SUM(F6:F19)</f>
        <v>5237870058</v>
      </c>
      <c r="H20" s="78" t="s">
        <v>27</v>
      </c>
      <c r="K20" s="79"/>
      <c r="L20" s="86">
        <f>SUM(L6:L19)</f>
        <v>5237870058</v>
      </c>
      <c r="M20" s="80">
        <f>SUM(M6:M19)</f>
        <v>0</v>
      </c>
    </row>
    <row r="21" spans="2:13" x14ac:dyDescent="0.45">
      <c r="K21" s="79"/>
      <c r="L21" s="80"/>
    </row>
    <row r="22" spans="2:13" x14ac:dyDescent="0.45">
      <c r="B22" s="78" t="s">
        <v>417</v>
      </c>
      <c r="H22" s="78" t="s">
        <v>423</v>
      </c>
      <c r="K22" s="79"/>
      <c r="L22" s="80"/>
    </row>
    <row r="23" spans="2:13" x14ac:dyDescent="0.45">
      <c r="B23" s="78" t="s">
        <v>418</v>
      </c>
      <c r="H23" s="78" t="s">
        <v>418</v>
      </c>
      <c r="K23" s="79"/>
      <c r="L23" s="80"/>
    </row>
    <row r="24" spans="2:13" x14ac:dyDescent="0.45">
      <c r="B24" s="78" t="s">
        <v>209</v>
      </c>
      <c r="H24" s="78" t="s">
        <v>209</v>
      </c>
      <c r="K24" s="79"/>
      <c r="L24" s="80"/>
    </row>
    <row r="25" spans="2:13" s="25" customFormat="1" ht="33" x14ac:dyDescent="0.35">
      <c r="B25" s="55" t="s">
        <v>52</v>
      </c>
      <c r="C25" s="55" t="s">
        <v>0</v>
      </c>
      <c r="D25" s="64" t="s">
        <v>2</v>
      </c>
      <c r="E25" s="55" t="s">
        <v>231</v>
      </c>
      <c r="F25" s="87" t="s">
        <v>416</v>
      </c>
      <c r="H25" s="55" t="s">
        <v>52</v>
      </c>
      <c r="I25" s="55" t="s">
        <v>0</v>
      </c>
      <c r="J25" s="55" t="s">
        <v>2</v>
      </c>
      <c r="K25" s="55" t="s">
        <v>231</v>
      </c>
      <c r="L25" s="87" t="s">
        <v>416</v>
      </c>
      <c r="M25" s="87" t="s">
        <v>419</v>
      </c>
    </row>
    <row r="26" spans="2:13" x14ac:dyDescent="0.45">
      <c r="B26" s="82" t="s">
        <v>209</v>
      </c>
      <c r="C26" s="82" t="s">
        <v>166</v>
      </c>
      <c r="D26" s="82" t="s">
        <v>230</v>
      </c>
      <c r="E26" s="82" t="s">
        <v>274</v>
      </c>
      <c r="F26" s="83">
        <v>99912253</v>
      </c>
      <c r="H26" s="82" t="s">
        <v>209</v>
      </c>
      <c r="I26" s="82" t="s">
        <v>166</v>
      </c>
      <c r="J26" s="82" t="s">
        <v>230</v>
      </c>
      <c r="K26" s="82" t="s">
        <v>274</v>
      </c>
      <c r="L26" s="83">
        <v>99912253</v>
      </c>
      <c r="M26" s="85">
        <f t="shared" ref="M26:M37" si="1">+F26-L26</f>
        <v>0</v>
      </c>
    </row>
    <row r="27" spans="2:13" x14ac:dyDescent="0.45">
      <c r="B27" s="82" t="s">
        <v>209</v>
      </c>
      <c r="C27" s="82" t="s">
        <v>166</v>
      </c>
      <c r="D27" s="82" t="s">
        <v>227</v>
      </c>
      <c r="E27" s="82" t="s">
        <v>264</v>
      </c>
      <c r="F27" s="83">
        <v>899210268</v>
      </c>
      <c r="H27" s="82" t="s">
        <v>209</v>
      </c>
      <c r="I27" s="82" t="s">
        <v>166</v>
      </c>
      <c r="J27" s="82" t="s">
        <v>227</v>
      </c>
      <c r="K27" s="82" t="s">
        <v>264</v>
      </c>
      <c r="L27" s="83">
        <v>899210268</v>
      </c>
      <c r="M27" s="85">
        <f t="shared" si="1"/>
        <v>0</v>
      </c>
    </row>
    <row r="28" spans="2:13" x14ac:dyDescent="0.45">
      <c r="B28" s="82" t="s">
        <v>209</v>
      </c>
      <c r="C28" s="82" t="s">
        <v>165</v>
      </c>
      <c r="D28" s="82" t="s">
        <v>229</v>
      </c>
      <c r="E28" s="82" t="s">
        <v>263</v>
      </c>
      <c r="F28" s="83">
        <v>2793994517</v>
      </c>
      <c r="H28" s="82" t="s">
        <v>209</v>
      </c>
      <c r="I28" s="82" t="s">
        <v>165</v>
      </c>
      <c r="J28" s="82" t="s">
        <v>229</v>
      </c>
      <c r="K28" s="82" t="s">
        <v>263</v>
      </c>
      <c r="L28" s="83">
        <v>2793994517</v>
      </c>
      <c r="M28" s="85">
        <f t="shared" si="1"/>
        <v>0</v>
      </c>
    </row>
    <row r="29" spans="2:13" x14ac:dyDescent="0.45">
      <c r="B29" s="82" t="s">
        <v>209</v>
      </c>
      <c r="C29" s="82" t="s">
        <v>167</v>
      </c>
      <c r="D29" s="82" t="s">
        <v>221</v>
      </c>
      <c r="E29" s="82" t="s">
        <v>259</v>
      </c>
      <c r="F29" s="92">
        <v>162500000</v>
      </c>
      <c r="H29" s="82" t="s">
        <v>209</v>
      </c>
      <c r="I29" s="82" t="s">
        <v>167</v>
      </c>
      <c r="J29" s="82" t="s">
        <v>221</v>
      </c>
      <c r="K29" s="82" t="s">
        <v>259</v>
      </c>
      <c r="L29" s="92">
        <v>162500000</v>
      </c>
      <c r="M29" s="85">
        <f t="shared" si="1"/>
        <v>0</v>
      </c>
    </row>
    <row r="30" spans="2:13" x14ac:dyDescent="0.45">
      <c r="B30" s="82" t="s">
        <v>209</v>
      </c>
      <c r="C30" s="82" t="s">
        <v>167</v>
      </c>
      <c r="D30" s="82" t="s">
        <v>221</v>
      </c>
      <c r="E30" s="82" t="s">
        <v>260</v>
      </c>
      <c r="F30" s="92">
        <v>698601047</v>
      </c>
      <c r="H30" s="82" t="s">
        <v>209</v>
      </c>
      <c r="I30" s="82" t="s">
        <v>167</v>
      </c>
      <c r="J30" s="82" t="s">
        <v>221</v>
      </c>
      <c r="K30" s="82" t="s">
        <v>260</v>
      </c>
      <c r="L30" s="92">
        <v>698601047</v>
      </c>
      <c r="M30" s="85">
        <f t="shared" si="1"/>
        <v>0</v>
      </c>
    </row>
    <row r="31" spans="2:13" x14ac:dyDescent="0.45">
      <c r="B31" s="82" t="s">
        <v>209</v>
      </c>
      <c r="C31" s="82" t="s">
        <v>167</v>
      </c>
      <c r="D31" s="82" t="s">
        <v>221</v>
      </c>
      <c r="E31" s="82" t="s">
        <v>262</v>
      </c>
      <c r="F31" s="92">
        <v>387093222</v>
      </c>
      <c r="H31" s="82" t="s">
        <v>209</v>
      </c>
      <c r="I31" s="82" t="s">
        <v>167</v>
      </c>
      <c r="J31" s="82" t="s">
        <v>221</v>
      </c>
      <c r="K31" s="82" t="s">
        <v>262</v>
      </c>
      <c r="L31" s="92">
        <v>387093222</v>
      </c>
      <c r="M31" s="85">
        <f t="shared" si="1"/>
        <v>0</v>
      </c>
    </row>
    <row r="32" spans="2:13" x14ac:dyDescent="0.45">
      <c r="B32" s="82" t="s">
        <v>209</v>
      </c>
      <c r="C32" s="82" t="s">
        <v>167</v>
      </c>
      <c r="D32" s="82" t="s">
        <v>225</v>
      </c>
      <c r="E32" s="82" t="s">
        <v>261</v>
      </c>
      <c r="F32" s="83">
        <v>639843601</v>
      </c>
      <c r="H32" s="82" t="s">
        <v>209</v>
      </c>
      <c r="I32" s="82" t="s">
        <v>167</v>
      </c>
      <c r="J32" s="82" t="s">
        <v>225</v>
      </c>
      <c r="K32" s="82" t="s">
        <v>261</v>
      </c>
      <c r="L32" s="83">
        <v>639843601</v>
      </c>
      <c r="M32" s="85">
        <f t="shared" si="1"/>
        <v>0</v>
      </c>
    </row>
    <row r="33" spans="2:13" x14ac:dyDescent="0.45">
      <c r="B33" s="82" t="s">
        <v>209</v>
      </c>
      <c r="C33" s="82" t="s">
        <v>167</v>
      </c>
      <c r="D33" s="82" t="s">
        <v>226</v>
      </c>
      <c r="E33" s="82" t="s">
        <v>261</v>
      </c>
      <c r="F33" s="83">
        <v>51767209</v>
      </c>
      <c r="H33" s="82" t="s">
        <v>209</v>
      </c>
      <c r="I33" s="82" t="s">
        <v>167</v>
      </c>
      <c r="J33" s="82" t="s">
        <v>226</v>
      </c>
      <c r="K33" s="82" t="s">
        <v>261</v>
      </c>
      <c r="L33" s="83">
        <v>51767209</v>
      </c>
      <c r="M33" s="85">
        <f t="shared" si="1"/>
        <v>0</v>
      </c>
    </row>
    <row r="34" spans="2:13" x14ac:dyDescent="0.45">
      <c r="B34" s="82" t="s">
        <v>209</v>
      </c>
      <c r="C34" s="82" t="s">
        <v>168</v>
      </c>
      <c r="D34" s="82" t="s">
        <v>224</v>
      </c>
      <c r="E34" s="82" t="s">
        <v>267</v>
      </c>
      <c r="F34" s="83">
        <v>4450000000</v>
      </c>
      <c r="H34" s="82" t="s">
        <v>209</v>
      </c>
      <c r="I34" s="82" t="s">
        <v>168</v>
      </c>
      <c r="J34" s="82" t="s">
        <v>224</v>
      </c>
      <c r="K34" s="82" t="s">
        <v>267</v>
      </c>
      <c r="L34" s="83">
        <v>4450000000</v>
      </c>
      <c r="M34" s="85">
        <f t="shared" si="1"/>
        <v>0</v>
      </c>
    </row>
    <row r="35" spans="2:13" x14ac:dyDescent="0.45">
      <c r="B35" s="82" t="s">
        <v>209</v>
      </c>
      <c r="C35" s="82" t="s">
        <v>168</v>
      </c>
      <c r="D35" s="82" t="s">
        <v>224</v>
      </c>
      <c r="E35" s="82" t="s">
        <v>270</v>
      </c>
      <c r="F35" s="83">
        <v>1071405909</v>
      </c>
      <c r="H35" s="82" t="s">
        <v>209</v>
      </c>
      <c r="I35" s="82" t="s">
        <v>168</v>
      </c>
      <c r="J35" s="82" t="s">
        <v>224</v>
      </c>
      <c r="K35" s="82" t="s">
        <v>270</v>
      </c>
      <c r="L35" s="83">
        <v>1071405909</v>
      </c>
      <c r="M35" s="85">
        <f t="shared" si="1"/>
        <v>0</v>
      </c>
    </row>
    <row r="36" spans="2:13" x14ac:dyDescent="0.45">
      <c r="B36" s="82" t="s">
        <v>209</v>
      </c>
      <c r="C36" s="82" t="s">
        <v>169</v>
      </c>
      <c r="D36" s="82" t="s">
        <v>222</v>
      </c>
      <c r="E36" s="82" t="s">
        <v>258</v>
      </c>
      <c r="F36" s="83">
        <v>1275620000</v>
      </c>
      <c r="H36" s="82" t="s">
        <v>209</v>
      </c>
      <c r="I36" s="82" t="s">
        <v>169</v>
      </c>
      <c r="J36" s="82" t="s">
        <v>222</v>
      </c>
      <c r="K36" s="82" t="s">
        <v>258</v>
      </c>
      <c r="L36" s="83">
        <v>1275620000</v>
      </c>
      <c r="M36" s="85">
        <f t="shared" si="1"/>
        <v>0</v>
      </c>
    </row>
    <row r="37" spans="2:13" x14ac:dyDescent="0.45">
      <c r="B37" s="82" t="s">
        <v>209</v>
      </c>
      <c r="C37" s="82" t="s">
        <v>169</v>
      </c>
      <c r="D37" s="82" t="s">
        <v>222</v>
      </c>
      <c r="E37" s="82" t="s">
        <v>268</v>
      </c>
      <c r="F37" s="83">
        <v>5739596933</v>
      </c>
      <c r="H37" s="82" t="s">
        <v>209</v>
      </c>
      <c r="I37" s="82" t="s">
        <v>169</v>
      </c>
      <c r="J37" s="82" t="s">
        <v>222</v>
      </c>
      <c r="K37" s="82" t="s">
        <v>268</v>
      </c>
      <c r="L37" s="83">
        <v>5739596933</v>
      </c>
      <c r="M37" s="85">
        <f t="shared" si="1"/>
        <v>0</v>
      </c>
    </row>
    <row r="38" spans="2:13" x14ac:dyDescent="0.45">
      <c r="B38" s="78" t="s">
        <v>27</v>
      </c>
      <c r="F38" s="84">
        <v>18269544959</v>
      </c>
      <c r="H38" s="78" t="s">
        <v>27</v>
      </c>
      <c r="K38" s="79"/>
      <c r="L38" s="84">
        <v>18269544959</v>
      </c>
      <c r="M38" s="81"/>
    </row>
    <row r="39" spans="2:13" x14ac:dyDescent="0.45">
      <c r="M39" s="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7265625" defaultRowHeight="16.5" x14ac:dyDescent="0.35"/>
  <cols>
    <col min="1" max="1" width="10.7265625" style="22"/>
    <col min="2" max="2" width="58.1796875" style="25" customWidth="1"/>
    <col min="3" max="3" width="15.81640625" style="23" customWidth="1"/>
    <col min="4" max="4" width="20" style="59" bestFit="1" customWidth="1"/>
    <col min="5" max="5" width="31.453125" style="23" customWidth="1"/>
    <col min="6" max="6" width="36.453125" style="23" customWidth="1"/>
    <col min="7" max="7" width="53.1796875" style="25" customWidth="1"/>
    <col min="8" max="11" width="10.7265625" style="25"/>
    <col min="12" max="16384" width="10.7265625" style="22"/>
  </cols>
  <sheetData>
    <row r="2" spans="2:7" x14ac:dyDescent="0.35">
      <c r="B2" s="55">
        <v>8126</v>
      </c>
    </row>
    <row r="3" spans="2:7" ht="49.5" x14ac:dyDescent="0.35">
      <c r="B3" s="55" t="s">
        <v>88</v>
      </c>
      <c r="C3" s="55" t="s">
        <v>305</v>
      </c>
      <c r="D3" s="60" t="s">
        <v>306</v>
      </c>
      <c r="E3" s="64" t="s">
        <v>206</v>
      </c>
      <c r="F3" s="55" t="s">
        <v>207</v>
      </c>
      <c r="G3" s="55" t="s">
        <v>307</v>
      </c>
    </row>
    <row r="4" spans="2:7" ht="49.5" x14ac:dyDescent="0.35">
      <c r="B4" s="56" t="s">
        <v>93</v>
      </c>
      <c r="C4" s="57" t="s">
        <v>308</v>
      </c>
      <c r="D4" s="61">
        <v>336851064</v>
      </c>
      <c r="E4" s="57" t="s">
        <v>309</v>
      </c>
      <c r="F4" s="57" t="s">
        <v>271</v>
      </c>
      <c r="G4" s="56" t="s">
        <v>138</v>
      </c>
    </row>
    <row r="5" spans="2:7" ht="99" x14ac:dyDescent="0.35">
      <c r="B5" s="56" t="s">
        <v>98</v>
      </c>
      <c r="C5" s="57" t="s">
        <v>308</v>
      </c>
      <c r="D5" s="61">
        <v>168425532</v>
      </c>
      <c r="E5" s="57" t="s">
        <v>310</v>
      </c>
      <c r="F5" s="57" t="s">
        <v>272</v>
      </c>
      <c r="G5" s="56" t="s">
        <v>138</v>
      </c>
    </row>
    <row r="6" spans="2:7" ht="33" x14ac:dyDescent="0.35">
      <c r="B6" s="56" t="s">
        <v>103</v>
      </c>
      <c r="C6" s="57" t="s">
        <v>308</v>
      </c>
      <c r="D6" s="61">
        <v>56141844</v>
      </c>
      <c r="E6" s="57" t="s">
        <v>310</v>
      </c>
      <c r="F6" s="57" t="s">
        <v>272</v>
      </c>
      <c r="G6" s="56" t="s">
        <v>138</v>
      </c>
    </row>
    <row r="7" spans="2:7" ht="115.5" x14ac:dyDescent="0.35">
      <c r="B7" s="56" t="s">
        <v>106</v>
      </c>
      <c r="C7" s="57" t="s">
        <v>311</v>
      </c>
      <c r="D7" s="61">
        <v>481960117</v>
      </c>
      <c r="E7" s="57" t="s">
        <v>312</v>
      </c>
      <c r="F7" s="57" t="s">
        <v>269</v>
      </c>
      <c r="G7" s="56" t="s">
        <v>313</v>
      </c>
    </row>
    <row r="8" spans="2:7" ht="115.5" x14ac:dyDescent="0.35">
      <c r="B8" s="56" t="s">
        <v>111</v>
      </c>
      <c r="C8" s="57" t="s">
        <v>311</v>
      </c>
      <c r="D8" s="61">
        <v>926338572</v>
      </c>
      <c r="E8" s="57" t="s">
        <v>312</v>
      </c>
      <c r="F8" s="57" t="s">
        <v>269</v>
      </c>
      <c r="G8" s="56" t="s">
        <v>314</v>
      </c>
    </row>
    <row r="9" spans="2:7" ht="33" x14ac:dyDescent="0.35">
      <c r="B9" s="56" t="s">
        <v>116</v>
      </c>
      <c r="C9" s="57" t="s">
        <v>311</v>
      </c>
      <c r="D9" s="61">
        <v>475003732</v>
      </c>
      <c r="E9" s="57" t="s">
        <v>312</v>
      </c>
      <c r="F9" s="57" t="s">
        <v>269</v>
      </c>
      <c r="G9" s="56" t="s">
        <v>138</v>
      </c>
    </row>
    <row r="10" spans="2:7" ht="49.5" x14ac:dyDescent="0.35">
      <c r="B10" s="56" t="s">
        <v>121</v>
      </c>
      <c r="C10" s="57" t="s">
        <v>311</v>
      </c>
      <c r="D10" s="61">
        <v>175876971</v>
      </c>
      <c r="E10" s="57" t="s">
        <v>312</v>
      </c>
      <c r="F10" s="57" t="s">
        <v>269</v>
      </c>
      <c r="G10" s="56" t="s">
        <v>37</v>
      </c>
    </row>
    <row r="11" spans="2:7" ht="148.5" x14ac:dyDescent="0.35">
      <c r="B11" s="56" t="s">
        <v>126</v>
      </c>
      <c r="C11" s="57" t="s">
        <v>315</v>
      </c>
      <c r="D11" s="61">
        <v>1239712750</v>
      </c>
      <c r="E11" s="57" t="s">
        <v>316</v>
      </c>
      <c r="F11" s="57" t="s">
        <v>266</v>
      </c>
      <c r="G11" s="56" t="s">
        <v>317</v>
      </c>
    </row>
    <row r="12" spans="2:7" ht="49.5" customHeight="1" x14ac:dyDescent="0.35">
      <c r="B12" s="198" t="s">
        <v>131</v>
      </c>
      <c r="C12" s="57" t="s">
        <v>318</v>
      </c>
      <c r="D12" s="61">
        <v>260870960</v>
      </c>
      <c r="E12" s="57" t="s">
        <v>316</v>
      </c>
      <c r="F12" s="57" t="s">
        <v>266</v>
      </c>
      <c r="G12" s="56" t="s">
        <v>138</v>
      </c>
    </row>
    <row r="13" spans="2:7" ht="33" x14ac:dyDescent="0.35">
      <c r="B13" s="202"/>
      <c r="C13" s="57" t="s">
        <v>319</v>
      </c>
      <c r="D13" s="61">
        <v>206558000</v>
      </c>
      <c r="E13" s="57" t="s">
        <v>316</v>
      </c>
      <c r="F13" s="57" t="s">
        <v>266</v>
      </c>
      <c r="G13" s="56" t="s">
        <v>138</v>
      </c>
    </row>
    <row r="14" spans="2:7" ht="33" x14ac:dyDescent="0.35">
      <c r="B14" s="202"/>
      <c r="C14" s="57" t="s">
        <v>320</v>
      </c>
      <c r="D14" s="61">
        <v>171068294</v>
      </c>
      <c r="E14" s="57" t="s">
        <v>316</v>
      </c>
      <c r="F14" s="57" t="s">
        <v>266</v>
      </c>
      <c r="G14" s="56" t="s">
        <v>138</v>
      </c>
    </row>
    <row r="15" spans="2:7" ht="33" x14ac:dyDescent="0.35">
      <c r="B15" s="202"/>
      <c r="C15" s="57" t="s">
        <v>321</v>
      </c>
      <c r="D15" s="61">
        <v>229431788</v>
      </c>
      <c r="E15" s="57" t="s">
        <v>316</v>
      </c>
      <c r="F15" s="57" t="s">
        <v>266</v>
      </c>
      <c r="G15" s="56" t="s">
        <v>138</v>
      </c>
    </row>
    <row r="16" spans="2:7" ht="33" x14ac:dyDescent="0.35">
      <c r="B16" s="199"/>
      <c r="C16" s="57" t="s">
        <v>315</v>
      </c>
      <c r="D16" s="61">
        <v>248759474</v>
      </c>
      <c r="E16" s="57" t="s">
        <v>316</v>
      </c>
      <c r="F16" s="57" t="s">
        <v>266</v>
      </c>
      <c r="G16" s="56" t="s">
        <v>138</v>
      </c>
    </row>
    <row r="17" spans="2:11" ht="66" x14ac:dyDescent="0.35">
      <c r="B17" s="56" t="s">
        <v>135</v>
      </c>
      <c r="C17" s="57" t="s">
        <v>318</v>
      </c>
      <c r="D17" s="61">
        <v>260870960</v>
      </c>
      <c r="E17" s="57" t="s">
        <v>322</v>
      </c>
      <c r="F17" s="57" t="s">
        <v>273</v>
      </c>
      <c r="G17" s="56" t="s">
        <v>138</v>
      </c>
    </row>
    <row r="18" spans="2:11" x14ac:dyDescent="0.35">
      <c r="B18" s="24" t="s">
        <v>344</v>
      </c>
      <c r="D18" s="62">
        <v>5237870058</v>
      </c>
    </row>
    <row r="19" spans="2:11" x14ac:dyDescent="0.35">
      <c r="F19" s="23" t="s">
        <v>323</v>
      </c>
    </row>
    <row r="20" spans="2:11" x14ac:dyDescent="0.35">
      <c r="F20" s="23" t="s">
        <v>323</v>
      </c>
    </row>
    <row r="21" spans="2:11" x14ac:dyDescent="0.35">
      <c r="B21" s="55">
        <v>8173</v>
      </c>
      <c r="C21" s="57"/>
      <c r="D21" s="61"/>
      <c r="E21" s="57"/>
      <c r="F21" s="57" t="s">
        <v>323</v>
      </c>
      <c r="G21" s="58"/>
    </row>
    <row r="22" spans="2:11" s="91" customFormat="1" ht="49.5" x14ac:dyDescent="0.35">
      <c r="B22" s="55" t="s">
        <v>89</v>
      </c>
      <c r="C22" s="55" t="s">
        <v>305</v>
      </c>
      <c r="D22" s="60" t="s">
        <v>306</v>
      </c>
      <c r="E22" s="64" t="s">
        <v>206</v>
      </c>
      <c r="F22" s="55" t="s">
        <v>207</v>
      </c>
      <c r="G22" s="55" t="s">
        <v>307</v>
      </c>
      <c r="H22" s="24"/>
      <c r="I22" s="24"/>
      <c r="J22" s="24"/>
      <c r="K22" s="24"/>
    </row>
    <row r="23" spans="2:11" ht="33" x14ac:dyDescent="0.35">
      <c r="B23" s="203" t="s">
        <v>94</v>
      </c>
      <c r="C23" s="206" t="s">
        <v>324</v>
      </c>
      <c r="D23" s="88">
        <v>162500000</v>
      </c>
      <c r="E23" s="90" t="s">
        <v>325</v>
      </c>
      <c r="F23" s="90" t="s">
        <v>259</v>
      </c>
      <c r="G23" s="89" t="s">
        <v>138</v>
      </c>
    </row>
    <row r="24" spans="2:11" ht="33" x14ac:dyDescent="0.35">
      <c r="B24" s="204"/>
      <c r="C24" s="207"/>
      <c r="D24" s="88">
        <v>698601047</v>
      </c>
      <c r="E24" s="90" t="s">
        <v>326</v>
      </c>
      <c r="F24" s="90" t="s">
        <v>260</v>
      </c>
      <c r="G24" s="89" t="s">
        <v>327</v>
      </c>
    </row>
    <row r="25" spans="2:11" ht="33" x14ac:dyDescent="0.35">
      <c r="B25" s="205"/>
      <c r="C25" s="208"/>
      <c r="D25" s="88">
        <v>387093222</v>
      </c>
      <c r="E25" s="90" t="s">
        <v>328</v>
      </c>
      <c r="F25" s="90" t="s">
        <v>262</v>
      </c>
      <c r="G25" s="89" t="s">
        <v>138</v>
      </c>
    </row>
    <row r="26" spans="2:11" ht="33" x14ac:dyDescent="0.35">
      <c r="B26" s="198" t="s">
        <v>99</v>
      </c>
      <c r="C26" s="200" t="s">
        <v>329</v>
      </c>
      <c r="D26" s="61">
        <v>1275620000</v>
      </c>
      <c r="E26" s="57" t="s">
        <v>330</v>
      </c>
      <c r="F26" s="57" t="s">
        <v>258</v>
      </c>
      <c r="G26" s="56" t="s">
        <v>138</v>
      </c>
    </row>
    <row r="27" spans="2:11" ht="49.5" x14ac:dyDescent="0.35">
      <c r="B27" s="199"/>
      <c r="C27" s="201"/>
      <c r="D27" s="61">
        <v>5739596933</v>
      </c>
      <c r="E27" s="57" t="s">
        <v>331</v>
      </c>
      <c r="F27" s="57" t="s">
        <v>268</v>
      </c>
      <c r="G27" s="56" t="s">
        <v>332</v>
      </c>
    </row>
    <row r="28" spans="2:11" ht="49.5" x14ac:dyDescent="0.35">
      <c r="B28" s="56" t="s">
        <v>104</v>
      </c>
      <c r="C28" s="57" t="s">
        <v>329</v>
      </c>
      <c r="D28" s="61">
        <v>0</v>
      </c>
      <c r="E28" s="57" t="s">
        <v>333</v>
      </c>
      <c r="F28" s="57" t="s">
        <v>267</v>
      </c>
      <c r="G28" s="56" t="s">
        <v>304</v>
      </c>
    </row>
    <row r="29" spans="2:11" ht="115.5" x14ac:dyDescent="0.35">
      <c r="B29" s="198" t="s">
        <v>107</v>
      </c>
      <c r="C29" s="200" t="s">
        <v>334</v>
      </c>
      <c r="D29" s="61">
        <v>4450000000</v>
      </c>
      <c r="E29" s="57" t="s">
        <v>333</v>
      </c>
      <c r="F29" s="57" t="s">
        <v>267</v>
      </c>
      <c r="G29" s="56" t="s">
        <v>424</v>
      </c>
    </row>
    <row r="30" spans="2:11" ht="33" x14ac:dyDescent="0.35">
      <c r="B30" s="199"/>
      <c r="C30" s="201"/>
      <c r="D30" s="61">
        <v>1071405909</v>
      </c>
      <c r="E30" s="57" t="s">
        <v>335</v>
      </c>
      <c r="F30" s="57" t="s">
        <v>270</v>
      </c>
      <c r="G30" s="56" t="s">
        <v>138</v>
      </c>
    </row>
    <row r="31" spans="2:11" ht="33" x14ac:dyDescent="0.35">
      <c r="B31" s="89" t="s">
        <v>112</v>
      </c>
      <c r="C31" s="90" t="s">
        <v>324</v>
      </c>
      <c r="D31" s="88">
        <v>639843601</v>
      </c>
      <c r="E31" s="90" t="s">
        <v>336</v>
      </c>
      <c r="F31" s="90" t="s">
        <v>261</v>
      </c>
      <c r="G31" s="89" t="s">
        <v>138</v>
      </c>
    </row>
    <row r="32" spans="2:11" ht="49.5" x14ac:dyDescent="0.35">
      <c r="B32" s="89" t="s">
        <v>117</v>
      </c>
      <c r="C32" s="90" t="s">
        <v>324</v>
      </c>
      <c r="D32" s="88">
        <v>51767209</v>
      </c>
      <c r="E32" s="90" t="s">
        <v>336</v>
      </c>
      <c r="F32" s="90" t="s">
        <v>261</v>
      </c>
      <c r="G32" s="89" t="s">
        <v>138</v>
      </c>
    </row>
    <row r="33" spans="2:7" ht="33" x14ac:dyDescent="0.35">
      <c r="B33" s="58" t="s">
        <v>122</v>
      </c>
      <c r="C33" s="57" t="s">
        <v>315</v>
      </c>
      <c r="D33" s="61">
        <v>899210268</v>
      </c>
      <c r="E33" s="57" t="s">
        <v>337</v>
      </c>
      <c r="F33" s="57" t="s">
        <v>264</v>
      </c>
      <c r="G33" s="56" t="s">
        <v>338</v>
      </c>
    </row>
    <row r="34" spans="2:7" ht="33" x14ac:dyDescent="0.35">
      <c r="B34" s="58" t="s">
        <v>127</v>
      </c>
      <c r="C34" s="57" t="s">
        <v>315</v>
      </c>
      <c r="D34" s="61">
        <v>0</v>
      </c>
      <c r="E34" s="57" t="s">
        <v>339</v>
      </c>
      <c r="F34" s="57" t="s">
        <v>265</v>
      </c>
      <c r="G34" s="56" t="s">
        <v>102</v>
      </c>
    </row>
    <row r="35" spans="2:7" ht="66" x14ac:dyDescent="0.35">
      <c r="B35" s="56" t="s">
        <v>132</v>
      </c>
      <c r="C35" s="57" t="s">
        <v>340</v>
      </c>
      <c r="D35" s="61">
        <v>2793994517</v>
      </c>
      <c r="E35" s="57" t="s">
        <v>341</v>
      </c>
      <c r="F35" s="57" t="s">
        <v>263</v>
      </c>
      <c r="G35" s="56" t="s">
        <v>342</v>
      </c>
    </row>
    <row r="36" spans="2:7" ht="33" x14ac:dyDescent="0.35">
      <c r="B36" s="56" t="s">
        <v>136</v>
      </c>
      <c r="C36" s="57" t="s">
        <v>315</v>
      </c>
      <c r="D36" s="61">
        <v>99912253</v>
      </c>
      <c r="E36" s="57" t="s">
        <v>343</v>
      </c>
      <c r="F36" s="57" t="s">
        <v>274</v>
      </c>
      <c r="G36" s="56" t="s">
        <v>138</v>
      </c>
    </row>
    <row r="37" spans="2:7" x14ac:dyDescent="0.35">
      <c r="B37" s="24" t="s">
        <v>344</v>
      </c>
      <c r="D37" s="62">
        <f>SUM(D23:D36)</f>
        <v>18269544959</v>
      </c>
      <c r="F37" s="23" t="s">
        <v>323</v>
      </c>
    </row>
    <row r="39" spans="2:7" x14ac:dyDescent="0.35">
      <c r="B39" s="24" t="s">
        <v>345</v>
      </c>
      <c r="C39" s="24"/>
      <c r="D39" s="63">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6"/>
  <sheetViews>
    <sheetView topLeftCell="D2" zoomScale="55" zoomScaleNormal="55" workbookViewId="0">
      <selection activeCell="D31" sqref="A31:XFD31"/>
    </sheetView>
  </sheetViews>
  <sheetFormatPr baseColWidth="10" defaultColWidth="10.7265625" defaultRowHeight="15.5" x14ac:dyDescent="0.35"/>
  <cols>
    <col min="2" max="2" width="64.453125" style="15" customWidth="1"/>
    <col min="3" max="3" width="15.1796875" style="15" customWidth="1"/>
    <col min="4" max="4" width="60.81640625" style="15" customWidth="1"/>
    <col min="5" max="5" width="19.54296875" style="15" customWidth="1"/>
    <col min="6" max="6" width="36.1796875" style="15" customWidth="1"/>
    <col min="7" max="7" width="23.1796875" style="15" customWidth="1"/>
    <col min="8" max="8" width="35.54296875" style="15" customWidth="1"/>
    <col min="9" max="9" width="10.7265625" style="15"/>
    <col min="10" max="10" width="17.7265625" style="15" customWidth="1"/>
    <col min="11" max="11" width="25.1796875" style="15" customWidth="1"/>
    <col min="12" max="13" width="10.7265625" style="15"/>
    <col min="15" max="15" width="16.81640625" customWidth="1"/>
    <col min="19" max="19" width="16.453125" customWidth="1"/>
  </cols>
  <sheetData>
    <row r="1" spans="2:19" ht="28" x14ac:dyDescent="0.35">
      <c r="B1" s="15" t="s">
        <v>83</v>
      </c>
      <c r="D1" s="15" t="s">
        <v>82</v>
      </c>
      <c r="F1" s="15" t="s">
        <v>84</v>
      </c>
      <c r="H1" s="16"/>
      <c r="J1" s="16"/>
      <c r="L1" s="15" t="s">
        <v>210</v>
      </c>
      <c r="M1"/>
      <c r="O1" t="s">
        <v>0</v>
      </c>
      <c r="Q1" t="s">
        <v>171</v>
      </c>
      <c r="S1" s="51" t="s">
        <v>77</v>
      </c>
    </row>
    <row r="2" spans="2:19" x14ac:dyDescent="0.35">
      <c r="B2" s="15" t="s">
        <v>85</v>
      </c>
      <c r="D2" s="15" t="s">
        <v>86</v>
      </c>
      <c r="F2" s="15" t="s">
        <v>87</v>
      </c>
      <c r="H2" s="17" t="s">
        <v>88</v>
      </c>
      <c r="J2" s="17" t="s">
        <v>89</v>
      </c>
      <c r="L2" s="15" t="s">
        <v>208</v>
      </c>
      <c r="M2"/>
      <c r="O2" t="s">
        <v>45</v>
      </c>
      <c r="Q2" t="s">
        <v>172</v>
      </c>
      <c r="S2" t="s">
        <v>204</v>
      </c>
    </row>
    <row r="3" spans="2:19" x14ac:dyDescent="0.35">
      <c r="B3" s="15" t="s">
        <v>90</v>
      </c>
      <c r="D3" s="15" t="s">
        <v>91</v>
      </c>
      <c r="F3" s="15" t="s">
        <v>92</v>
      </c>
      <c r="H3" s="15" t="s">
        <v>93</v>
      </c>
      <c r="I3" s="16">
        <v>8126</v>
      </c>
      <c r="J3" s="17" t="s">
        <v>211</v>
      </c>
      <c r="L3" s="15" t="s">
        <v>209</v>
      </c>
      <c r="M3"/>
      <c r="O3" t="s">
        <v>161</v>
      </c>
      <c r="Q3" t="s">
        <v>173</v>
      </c>
      <c r="S3" t="s">
        <v>205</v>
      </c>
    </row>
    <row r="4" spans="2:19" x14ac:dyDescent="0.35">
      <c r="B4" s="15" t="s">
        <v>95</v>
      </c>
      <c r="D4" s="15" t="s">
        <v>96</v>
      </c>
      <c r="F4" s="15" t="s">
        <v>97</v>
      </c>
      <c r="H4" s="15" t="s">
        <v>98</v>
      </c>
      <c r="I4" s="16">
        <v>8126</v>
      </c>
      <c r="J4" s="17" t="s">
        <v>212</v>
      </c>
      <c r="L4" s="15" t="s">
        <v>346</v>
      </c>
      <c r="M4"/>
      <c r="O4" t="s">
        <v>162</v>
      </c>
      <c r="Q4" t="s">
        <v>465</v>
      </c>
    </row>
    <row r="5" spans="2:19" x14ac:dyDescent="0.35">
      <c r="B5" s="15" t="s">
        <v>100</v>
      </c>
      <c r="D5" s="15" t="s">
        <v>101</v>
      </c>
      <c r="F5" s="15" t="s">
        <v>102</v>
      </c>
      <c r="H5" s="15" t="s">
        <v>103</v>
      </c>
      <c r="I5" s="16">
        <v>8126</v>
      </c>
      <c r="J5" s="17" t="s">
        <v>213</v>
      </c>
      <c r="L5" s="15" t="s">
        <v>406</v>
      </c>
      <c r="M5"/>
      <c r="O5" t="s">
        <v>36</v>
      </c>
      <c r="Q5" t="s">
        <v>406</v>
      </c>
    </row>
    <row r="6" spans="2:19" x14ac:dyDescent="0.35">
      <c r="B6" s="15" t="s">
        <v>108</v>
      </c>
      <c r="D6" s="15" t="s">
        <v>105</v>
      </c>
      <c r="F6" s="15" t="s">
        <v>102</v>
      </c>
      <c r="H6" s="15" t="s">
        <v>106</v>
      </c>
      <c r="I6" s="16">
        <v>8126</v>
      </c>
      <c r="J6" s="17" t="s">
        <v>214</v>
      </c>
      <c r="M6"/>
      <c r="O6" t="s">
        <v>46</v>
      </c>
    </row>
    <row r="7" spans="2:19" x14ac:dyDescent="0.35">
      <c r="B7" s="15" t="s">
        <v>113</v>
      </c>
      <c r="D7" s="15" t="s">
        <v>109</v>
      </c>
      <c r="F7" s="15" t="s">
        <v>110</v>
      </c>
      <c r="H7" s="15" t="s">
        <v>111</v>
      </c>
      <c r="I7" s="16">
        <v>8126</v>
      </c>
      <c r="J7" s="17" t="s">
        <v>215</v>
      </c>
      <c r="M7"/>
      <c r="O7" t="s">
        <v>163</v>
      </c>
    </row>
    <row r="8" spans="2:19" x14ac:dyDescent="0.35">
      <c r="B8" s="15" t="s">
        <v>118</v>
      </c>
      <c r="D8" s="15" t="s">
        <v>114</v>
      </c>
      <c r="F8" s="15" t="s">
        <v>115</v>
      </c>
      <c r="H8" s="15" t="s">
        <v>116</v>
      </c>
      <c r="I8" s="16">
        <v>8126</v>
      </c>
      <c r="J8" s="17" t="s">
        <v>216</v>
      </c>
      <c r="M8"/>
      <c r="O8" t="s">
        <v>164</v>
      </c>
    </row>
    <row r="9" spans="2:19" x14ac:dyDescent="0.35">
      <c r="B9" s="15" t="s">
        <v>123</v>
      </c>
      <c r="D9" s="15" t="s">
        <v>119</v>
      </c>
      <c r="F9" s="15" t="s">
        <v>120</v>
      </c>
      <c r="H9" s="15" t="s">
        <v>121</v>
      </c>
      <c r="I9" s="16">
        <v>8126</v>
      </c>
      <c r="J9" s="17" t="s">
        <v>217</v>
      </c>
      <c r="M9"/>
      <c r="O9" t="s">
        <v>166</v>
      </c>
    </row>
    <row r="10" spans="2:19" x14ac:dyDescent="0.35">
      <c r="B10" s="15" t="s">
        <v>128</v>
      </c>
      <c r="D10" s="15" t="s">
        <v>124</v>
      </c>
      <c r="F10" s="15" t="s">
        <v>125</v>
      </c>
      <c r="H10" s="15" t="s">
        <v>126</v>
      </c>
      <c r="I10" s="16">
        <v>8126</v>
      </c>
      <c r="J10" s="17" t="s">
        <v>218</v>
      </c>
      <c r="M10"/>
      <c r="O10" t="s">
        <v>165</v>
      </c>
    </row>
    <row r="11" spans="2:19" x14ac:dyDescent="0.35">
      <c r="B11" s="15" t="s">
        <v>348</v>
      </c>
      <c r="D11" s="15" t="s">
        <v>129</v>
      </c>
      <c r="F11" s="15" t="s">
        <v>130</v>
      </c>
      <c r="H11" s="15" t="s">
        <v>131</v>
      </c>
      <c r="I11" s="16">
        <v>8126</v>
      </c>
      <c r="J11" s="17" t="s">
        <v>219</v>
      </c>
      <c r="M11"/>
      <c r="O11" t="s">
        <v>167</v>
      </c>
    </row>
    <row r="12" spans="2:19" x14ac:dyDescent="0.35">
      <c r="D12" s="15" t="s">
        <v>133</v>
      </c>
      <c r="F12" s="15" t="s">
        <v>134</v>
      </c>
      <c r="H12" s="15" t="s">
        <v>135</v>
      </c>
      <c r="I12" s="16">
        <v>8126</v>
      </c>
      <c r="J12" s="17" t="s">
        <v>220</v>
      </c>
      <c r="M12"/>
      <c r="O12" t="s">
        <v>168</v>
      </c>
    </row>
    <row r="13" spans="2:19" x14ac:dyDescent="0.35">
      <c r="D13" s="15" t="s">
        <v>137</v>
      </c>
      <c r="F13" s="15" t="s">
        <v>138</v>
      </c>
      <c r="H13" s="15" t="s">
        <v>94</v>
      </c>
      <c r="I13" s="16">
        <v>8173</v>
      </c>
      <c r="J13" s="17" t="s">
        <v>221</v>
      </c>
      <c r="M13"/>
      <c r="O13" t="s">
        <v>169</v>
      </c>
    </row>
    <row r="14" spans="2:19" x14ac:dyDescent="0.35">
      <c r="D14" s="15" t="s">
        <v>139</v>
      </c>
      <c r="F14" s="15" t="s">
        <v>138</v>
      </c>
      <c r="H14" s="15" t="s">
        <v>99</v>
      </c>
      <c r="I14" s="16">
        <v>8173</v>
      </c>
      <c r="J14" s="17" t="s">
        <v>222</v>
      </c>
      <c r="M14"/>
    </row>
    <row r="15" spans="2:19" x14ac:dyDescent="0.35">
      <c r="D15" s="15" t="s">
        <v>140</v>
      </c>
      <c r="F15" s="15" t="s">
        <v>141</v>
      </c>
      <c r="H15" s="15" t="s">
        <v>104</v>
      </c>
      <c r="I15" s="16">
        <v>8173</v>
      </c>
      <c r="J15" s="17" t="s">
        <v>223</v>
      </c>
      <c r="M15"/>
    </row>
    <row r="16" spans="2:19" x14ac:dyDescent="0.35">
      <c r="D16" s="15" t="s">
        <v>142</v>
      </c>
      <c r="F16" s="15" t="s">
        <v>143</v>
      </c>
      <c r="H16" s="15" t="s">
        <v>107</v>
      </c>
      <c r="I16" s="16">
        <v>8173</v>
      </c>
      <c r="J16" s="17" t="s">
        <v>224</v>
      </c>
      <c r="M16"/>
    </row>
    <row r="17" spans="4:13" x14ac:dyDescent="0.35">
      <c r="D17" s="15" t="s">
        <v>144</v>
      </c>
      <c r="F17" s="15" t="s">
        <v>145</v>
      </c>
      <c r="H17" s="15" t="s">
        <v>112</v>
      </c>
      <c r="I17" s="16">
        <v>8173</v>
      </c>
      <c r="J17" s="17" t="s">
        <v>225</v>
      </c>
      <c r="M17"/>
    </row>
    <row r="18" spans="4:13" x14ac:dyDescent="0.35">
      <c r="D18" s="15" t="s">
        <v>146</v>
      </c>
      <c r="F18" s="15" t="s">
        <v>147</v>
      </c>
      <c r="H18" s="15" t="s">
        <v>117</v>
      </c>
      <c r="I18" s="16">
        <v>8173</v>
      </c>
      <c r="J18" s="17" t="s">
        <v>226</v>
      </c>
      <c r="M18"/>
    </row>
    <row r="19" spans="4:13" x14ac:dyDescent="0.35">
      <c r="D19" s="15" t="s">
        <v>148</v>
      </c>
      <c r="F19" s="15" t="s">
        <v>170</v>
      </c>
      <c r="H19" s="15" t="s">
        <v>122</v>
      </c>
      <c r="I19" s="16">
        <v>8173</v>
      </c>
      <c r="J19" s="17" t="s">
        <v>227</v>
      </c>
      <c r="M19"/>
    </row>
    <row r="20" spans="4:13" x14ac:dyDescent="0.35">
      <c r="D20" s="15" t="s">
        <v>149</v>
      </c>
      <c r="F20" s="15" t="s">
        <v>443</v>
      </c>
      <c r="H20" s="15" t="s">
        <v>127</v>
      </c>
      <c r="I20" s="16">
        <v>8173</v>
      </c>
      <c r="J20" s="17" t="s">
        <v>228</v>
      </c>
      <c r="M20"/>
    </row>
    <row r="21" spans="4:13" x14ac:dyDescent="0.35">
      <c r="D21" s="15" t="s">
        <v>150</v>
      </c>
      <c r="F21" s="15" t="s">
        <v>444</v>
      </c>
      <c r="H21" s="15" t="s">
        <v>132</v>
      </c>
      <c r="I21" s="16">
        <v>8173</v>
      </c>
      <c r="J21" s="17" t="s">
        <v>229</v>
      </c>
      <c r="M21"/>
    </row>
    <row r="22" spans="4:13" x14ac:dyDescent="0.35">
      <c r="D22" s="15" t="s">
        <v>151</v>
      </c>
      <c r="F22" s="15" t="s">
        <v>445</v>
      </c>
      <c r="H22" s="15" t="s">
        <v>136</v>
      </c>
      <c r="I22" s="16">
        <v>8173</v>
      </c>
      <c r="J22" s="17" t="s">
        <v>230</v>
      </c>
      <c r="M22"/>
    </row>
    <row r="23" spans="4:13" x14ac:dyDescent="0.35">
      <c r="D23" s="15" t="s">
        <v>152</v>
      </c>
      <c r="F23" s="15" t="s">
        <v>454</v>
      </c>
      <c r="I23" s="16">
        <v>8173</v>
      </c>
      <c r="J23" s="17" t="s">
        <v>1088</v>
      </c>
      <c r="M23"/>
    </row>
    <row r="24" spans="4:13" x14ac:dyDescent="0.35">
      <c r="D24" s="15" t="s">
        <v>153</v>
      </c>
      <c r="F24" s="15" t="s">
        <v>453</v>
      </c>
      <c r="J24" s="15" t="s">
        <v>347</v>
      </c>
      <c r="M24"/>
    </row>
    <row r="25" spans="4:13" x14ac:dyDescent="0.35">
      <c r="D25" s="15" t="s">
        <v>154</v>
      </c>
      <c r="F25" s="15" t="s">
        <v>614</v>
      </c>
      <c r="M25"/>
    </row>
    <row r="26" spans="4:13" x14ac:dyDescent="0.35">
      <c r="D26" s="15" t="s">
        <v>155</v>
      </c>
      <c r="F26" s="15" t="s">
        <v>1089</v>
      </c>
      <c r="M26"/>
    </row>
    <row r="27" spans="4:13" x14ac:dyDescent="0.35">
      <c r="D27" s="15" t="s">
        <v>156</v>
      </c>
      <c r="F27" s="15" t="s">
        <v>1090</v>
      </c>
      <c r="H27" s="15" t="s">
        <v>407</v>
      </c>
      <c r="M27"/>
    </row>
    <row r="28" spans="4:13" x14ac:dyDescent="0.35">
      <c r="D28" s="15" t="s">
        <v>157</v>
      </c>
      <c r="F28" s="15" t="s">
        <v>1091</v>
      </c>
      <c r="M28"/>
    </row>
    <row r="29" spans="4:13" x14ac:dyDescent="0.35">
      <c r="D29" s="15" t="s">
        <v>158</v>
      </c>
      <c r="F29" s="15" t="s">
        <v>1092</v>
      </c>
      <c r="M29"/>
    </row>
    <row r="30" spans="4:13" x14ac:dyDescent="0.35">
      <c r="F30" s="15" t="s">
        <v>1093</v>
      </c>
      <c r="M30"/>
    </row>
    <row r="31" spans="4:13" x14ac:dyDescent="0.35">
      <c r="F31" s="15" t="s">
        <v>348</v>
      </c>
      <c r="M31"/>
    </row>
    <row r="33" spans="2:26" ht="49.5" x14ac:dyDescent="0.35">
      <c r="B33" s="18" t="s">
        <v>210</v>
      </c>
      <c r="C33" s="18" t="s">
        <v>195</v>
      </c>
      <c r="D33" s="18" t="s">
        <v>196</v>
      </c>
      <c r="E33" s="18" t="s">
        <v>174</v>
      </c>
      <c r="F33" s="18" t="s">
        <v>203</v>
      </c>
      <c r="J33" s="18" t="s">
        <v>79</v>
      </c>
      <c r="K33" s="18" t="s">
        <v>80</v>
      </c>
      <c r="N33" s="18" t="s">
        <v>81</v>
      </c>
      <c r="O33" s="18" t="s">
        <v>257</v>
      </c>
      <c r="P33" s="20"/>
      <c r="Q33" s="15"/>
      <c r="R33" s="18" t="s">
        <v>195</v>
      </c>
      <c r="S33" s="15"/>
      <c r="T33" s="18" t="s">
        <v>196</v>
      </c>
      <c r="V33" s="18" t="s">
        <v>197</v>
      </c>
      <c r="X33" s="19" t="s">
        <v>77</v>
      </c>
      <c r="Z33" s="19" t="s">
        <v>243</v>
      </c>
    </row>
    <row r="34" spans="2:26" x14ac:dyDescent="0.35">
      <c r="B34" s="15" t="s">
        <v>209</v>
      </c>
      <c r="C34" s="16" t="s">
        <v>198</v>
      </c>
      <c r="D34" s="16" t="s">
        <v>199</v>
      </c>
      <c r="E34" s="16">
        <v>20240255</v>
      </c>
      <c r="F34" s="15" t="s">
        <v>160</v>
      </c>
      <c r="J34" s="15" t="s">
        <v>175</v>
      </c>
      <c r="K34" t="s">
        <v>176</v>
      </c>
      <c r="N34" t="s">
        <v>233</v>
      </c>
      <c r="O34" t="s">
        <v>246</v>
      </c>
      <c r="Q34" s="15"/>
      <c r="R34" s="15" t="s">
        <v>198</v>
      </c>
      <c r="S34" s="15"/>
      <c r="T34" s="15" t="s">
        <v>199</v>
      </c>
      <c r="V34" t="s">
        <v>201</v>
      </c>
      <c r="X34" t="s">
        <v>204</v>
      </c>
      <c r="Z34" t="s">
        <v>233</v>
      </c>
    </row>
    <row r="35" spans="2:26" x14ac:dyDescent="0.35">
      <c r="B35" s="15" t="s">
        <v>208</v>
      </c>
      <c r="C35" s="16" t="s">
        <v>198</v>
      </c>
      <c r="D35" s="16" t="s">
        <v>200</v>
      </c>
      <c r="E35" s="16">
        <v>20240207</v>
      </c>
      <c r="F35" s="15" t="s">
        <v>159</v>
      </c>
      <c r="J35" s="15" t="s">
        <v>177</v>
      </c>
      <c r="K35" t="s">
        <v>178</v>
      </c>
      <c r="N35" t="s">
        <v>232</v>
      </c>
      <c r="O35" t="s">
        <v>245</v>
      </c>
      <c r="Q35" s="15"/>
      <c r="R35" s="15"/>
      <c r="S35" s="15"/>
      <c r="T35" s="15" t="s">
        <v>200</v>
      </c>
      <c r="V35" t="s">
        <v>202</v>
      </c>
      <c r="X35" t="s">
        <v>205</v>
      </c>
      <c r="Z35" t="s">
        <v>232</v>
      </c>
    </row>
    <row r="36" spans="2:26" x14ac:dyDescent="0.35">
      <c r="B36" s="15" t="s">
        <v>346</v>
      </c>
      <c r="C36" s="10" t="s">
        <v>349</v>
      </c>
      <c r="D36" s="10" t="s">
        <v>349</v>
      </c>
      <c r="E36" s="10" t="s">
        <v>349</v>
      </c>
      <c r="F36" s="10" t="s">
        <v>349</v>
      </c>
      <c r="J36" s="15" t="s">
        <v>181</v>
      </c>
      <c r="K36" t="s">
        <v>182</v>
      </c>
      <c r="N36" t="s">
        <v>239</v>
      </c>
      <c r="O36" t="s">
        <v>252</v>
      </c>
      <c r="Q36" s="15"/>
      <c r="R36" s="15"/>
      <c r="S36" s="15"/>
      <c r="Z36" t="s">
        <v>239</v>
      </c>
    </row>
    <row r="37" spans="2:26" x14ac:dyDescent="0.35">
      <c r="B37" s="17" t="s">
        <v>406</v>
      </c>
      <c r="C37" s="10" t="s">
        <v>349</v>
      </c>
      <c r="D37" s="10" t="s">
        <v>349</v>
      </c>
      <c r="E37" s="10" t="s">
        <v>349</v>
      </c>
      <c r="F37" s="10" t="s">
        <v>349</v>
      </c>
      <c r="J37" s="15" t="s">
        <v>183</v>
      </c>
      <c r="K37" t="s">
        <v>184</v>
      </c>
      <c r="N37" t="s">
        <v>236</v>
      </c>
      <c r="O37" t="s">
        <v>249</v>
      </c>
      <c r="Q37" s="15"/>
      <c r="R37" s="15"/>
      <c r="S37" s="15"/>
      <c r="Z37" t="s">
        <v>236</v>
      </c>
    </row>
    <row r="38" spans="2:26" x14ac:dyDescent="0.35">
      <c r="B38"/>
      <c r="C38"/>
      <c r="D38"/>
      <c r="E38"/>
      <c r="J38" s="15" t="s">
        <v>185</v>
      </c>
      <c r="K38" t="s">
        <v>186</v>
      </c>
      <c r="N38" t="s">
        <v>237</v>
      </c>
      <c r="O38" t="s">
        <v>250</v>
      </c>
      <c r="Q38" s="15"/>
      <c r="R38" s="15"/>
      <c r="S38" s="15"/>
      <c r="Z38" t="s">
        <v>237</v>
      </c>
    </row>
    <row r="39" spans="2:26" x14ac:dyDescent="0.35">
      <c r="B39"/>
      <c r="C39"/>
      <c r="D39"/>
      <c r="E39"/>
      <c r="J39" s="15" t="s">
        <v>187</v>
      </c>
      <c r="K39" t="s">
        <v>188</v>
      </c>
      <c r="N39" t="s">
        <v>238</v>
      </c>
      <c r="O39" t="s">
        <v>251</v>
      </c>
      <c r="Q39" s="15"/>
      <c r="R39" s="15"/>
      <c r="S39" s="15"/>
      <c r="Z39" t="s">
        <v>238</v>
      </c>
    </row>
    <row r="40" spans="2:26" x14ac:dyDescent="0.35">
      <c r="B40"/>
      <c r="C40"/>
      <c r="D40"/>
      <c r="E40"/>
      <c r="J40" s="15" t="s">
        <v>189</v>
      </c>
      <c r="K40" t="s">
        <v>190</v>
      </c>
      <c r="N40" t="s">
        <v>235</v>
      </c>
      <c r="O40" t="s">
        <v>248</v>
      </c>
      <c r="Q40" s="15"/>
      <c r="R40" s="15"/>
      <c r="S40" s="15"/>
      <c r="Z40" t="s">
        <v>235</v>
      </c>
    </row>
    <row r="41" spans="2:26" x14ac:dyDescent="0.35">
      <c r="B41"/>
      <c r="C41"/>
      <c r="D41"/>
      <c r="E41"/>
      <c r="J41" s="15" t="s">
        <v>179</v>
      </c>
      <c r="K41" t="s">
        <v>180</v>
      </c>
      <c r="N41" s="15" t="s">
        <v>242</v>
      </c>
      <c r="O41" s="15" t="s">
        <v>255</v>
      </c>
      <c r="Q41" s="15"/>
      <c r="R41" s="15"/>
      <c r="S41" s="15"/>
      <c r="Z41" t="s">
        <v>242</v>
      </c>
    </row>
    <row r="42" spans="2:26" x14ac:dyDescent="0.35">
      <c r="B42"/>
      <c r="C42"/>
      <c r="D42"/>
      <c r="E42"/>
      <c r="J42" s="15" t="s">
        <v>191</v>
      </c>
      <c r="K42" t="s">
        <v>192</v>
      </c>
      <c r="N42" s="15" t="s">
        <v>241</v>
      </c>
      <c r="O42" s="15" t="s">
        <v>254</v>
      </c>
      <c r="Q42" s="15"/>
      <c r="R42" s="15"/>
      <c r="S42" s="15"/>
      <c r="Z42" t="s">
        <v>241</v>
      </c>
    </row>
    <row r="43" spans="2:26" x14ac:dyDescent="0.35">
      <c r="B43"/>
      <c r="C43"/>
      <c r="D43"/>
      <c r="E43"/>
      <c r="J43" s="15" t="s">
        <v>193</v>
      </c>
      <c r="K43" t="s">
        <v>194</v>
      </c>
      <c r="N43" s="15" t="s">
        <v>240</v>
      </c>
      <c r="O43" s="15" t="s">
        <v>253</v>
      </c>
      <c r="Q43" s="15"/>
      <c r="R43" s="15"/>
      <c r="S43" s="15"/>
      <c r="Z43" t="s">
        <v>240</v>
      </c>
    </row>
    <row r="44" spans="2:26" x14ac:dyDescent="0.35">
      <c r="B44"/>
      <c r="C44"/>
      <c r="D44"/>
      <c r="E44"/>
      <c r="J44" s="15" t="s">
        <v>406</v>
      </c>
      <c r="K44" s="15" t="s">
        <v>406</v>
      </c>
      <c r="N44" s="15" t="s">
        <v>294</v>
      </c>
      <c r="O44" s="15" t="s">
        <v>256</v>
      </c>
      <c r="Q44" s="15"/>
      <c r="R44" s="15"/>
      <c r="S44" s="15"/>
      <c r="Z44" t="s">
        <v>234</v>
      </c>
    </row>
    <row r="45" spans="2:26" x14ac:dyDescent="0.35">
      <c r="B45"/>
      <c r="C45"/>
      <c r="D45"/>
      <c r="E45"/>
      <c r="N45" t="s">
        <v>234</v>
      </c>
      <c r="O45" t="s">
        <v>247</v>
      </c>
      <c r="Q45" s="15"/>
      <c r="R45" s="15"/>
      <c r="S45" s="15"/>
    </row>
    <row r="46" spans="2:26" x14ac:dyDescent="0.35">
      <c r="B46"/>
      <c r="C46"/>
      <c r="D46"/>
      <c r="E46"/>
      <c r="K46" s="21" t="s">
        <v>276</v>
      </c>
      <c r="L46" s="21" t="s">
        <v>293</v>
      </c>
      <c r="N46" s="15" t="s">
        <v>406</v>
      </c>
      <c r="O46" s="15" t="s">
        <v>406</v>
      </c>
      <c r="P46" s="15"/>
      <c r="Q46" s="15"/>
      <c r="R46" s="15"/>
      <c r="S46" s="15"/>
    </row>
    <row r="47" spans="2:26" x14ac:dyDescent="0.35">
      <c r="B47"/>
      <c r="C47"/>
      <c r="D47"/>
      <c r="E47"/>
      <c r="J47"/>
      <c r="K47" s="15" t="s">
        <v>277</v>
      </c>
      <c r="L47" s="15" t="s">
        <v>258</v>
      </c>
      <c r="P47" s="15"/>
      <c r="Q47" s="15"/>
      <c r="R47" s="15"/>
      <c r="S47" s="15"/>
    </row>
    <row r="48" spans="2:26" x14ac:dyDescent="0.35">
      <c r="B48"/>
      <c r="C48"/>
      <c r="D48"/>
      <c r="E48"/>
      <c r="K48" s="15" t="s">
        <v>278</v>
      </c>
      <c r="L48" s="15" t="s">
        <v>259</v>
      </c>
      <c r="N48" s="15"/>
      <c r="O48" s="15"/>
      <c r="P48" s="15"/>
      <c r="Q48" s="15"/>
      <c r="R48" s="15"/>
      <c r="S48" s="15"/>
    </row>
    <row r="49" spans="2:19" x14ac:dyDescent="0.35">
      <c r="B49"/>
      <c r="C49"/>
      <c r="D49"/>
      <c r="E49"/>
      <c r="K49" s="15" t="s">
        <v>279</v>
      </c>
      <c r="L49" s="15" t="s">
        <v>260</v>
      </c>
      <c r="N49" s="15"/>
      <c r="O49" s="15"/>
      <c r="P49" s="15"/>
      <c r="Q49" s="15"/>
      <c r="R49" s="15"/>
      <c r="S49" s="15"/>
    </row>
    <row r="50" spans="2:19" x14ac:dyDescent="0.35">
      <c r="B50"/>
      <c r="C50"/>
      <c r="D50"/>
      <c r="E50"/>
      <c r="J50"/>
      <c r="K50" s="15" t="s">
        <v>281</v>
      </c>
      <c r="L50" s="15" t="s">
        <v>262</v>
      </c>
      <c r="N50" s="15"/>
      <c r="O50" s="15"/>
      <c r="Q50" s="15"/>
      <c r="R50" s="15"/>
      <c r="S50" s="15"/>
    </row>
    <row r="51" spans="2:19" x14ac:dyDescent="0.35">
      <c r="B51"/>
      <c r="C51"/>
      <c r="D51"/>
      <c r="E51"/>
      <c r="K51" s="15" t="s">
        <v>282</v>
      </c>
      <c r="L51" s="15" t="s">
        <v>263</v>
      </c>
      <c r="P51" s="15"/>
      <c r="Q51" s="15"/>
    </row>
    <row r="52" spans="2:19" x14ac:dyDescent="0.35">
      <c r="B52"/>
      <c r="C52"/>
      <c r="D52"/>
      <c r="E52"/>
      <c r="K52" s="15" t="s">
        <v>283</v>
      </c>
      <c r="L52" s="15" t="s">
        <v>264</v>
      </c>
      <c r="N52" s="15"/>
      <c r="O52" s="15"/>
      <c r="P52" s="15"/>
      <c r="Q52" s="15"/>
    </row>
    <row r="53" spans="2:19" x14ac:dyDescent="0.35">
      <c r="B53"/>
      <c r="C53"/>
      <c r="D53"/>
      <c r="E53"/>
      <c r="K53" s="15" t="s">
        <v>284</v>
      </c>
      <c r="L53" s="15" t="s">
        <v>265</v>
      </c>
      <c r="N53" s="15"/>
      <c r="O53" s="15"/>
      <c r="P53" s="15"/>
      <c r="Q53" s="15"/>
    </row>
    <row r="54" spans="2:19" x14ac:dyDescent="0.35">
      <c r="B54"/>
      <c r="C54"/>
      <c r="D54"/>
      <c r="E54"/>
      <c r="K54" s="15" t="s">
        <v>285</v>
      </c>
      <c r="L54" s="15" t="s">
        <v>266</v>
      </c>
      <c r="N54" s="15"/>
      <c r="O54" s="15"/>
      <c r="P54" s="15"/>
      <c r="Q54" s="15"/>
    </row>
    <row r="55" spans="2:19" x14ac:dyDescent="0.35">
      <c r="B55"/>
      <c r="C55"/>
      <c r="D55"/>
      <c r="E55"/>
      <c r="K55" s="15" t="s">
        <v>295</v>
      </c>
      <c r="L55" s="15" t="s">
        <v>274</v>
      </c>
      <c r="N55" s="15"/>
      <c r="O55" s="15"/>
      <c r="P55" s="15"/>
      <c r="Q55" s="15"/>
    </row>
    <row r="56" spans="2:19" x14ac:dyDescent="0.35">
      <c r="B56"/>
      <c r="C56"/>
      <c r="D56"/>
      <c r="E56"/>
      <c r="K56" s="15" t="s">
        <v>286</v>
      </c>
      <c r="L56" s="15" t="s">
        <v>267</v>
      </c>
      <c r="N56" s="15"/>
      <c r="O56" s="15"/>
      <c r="P56" s="15"/>
      <c r="Q56" s="15"/>
    </row>
    <row r="57" spans="2:19" x14ac:dyDescent="0.35">
      <c r="B57"/>
      <c r="C57"/>
      <c r="D57"/>
      <c r="E57"/>
      <c r="K57" s="15" t="s">
        <v>287</v>
      </c>
      <c r="L57" s="15" t="s">
        <v>268</v>
      </c>
      <c r="N57" s="15"/>
      <c r="O57" s="15"/>
      <c r="P57" s="15"/>
      <c r="Q57" s="15"/>
    </row>
    <row r="58" spans="2:19" x14ac:dyDescent="0.35">
      <c r="B58"/>
      <c r="C58"/>
      <c r="D58"/>
      <c r="E58"/>
      <c r="K58" s="15" t="s">
        <v>288</v>
      </c>
      <c r="L58" s="15" t="s">
        <v>269</v>
      </c>
      <c r="P58" s="15"/>
      <c r="Q58" s="15"/>
    </row>
    <row r="59" spans="2:19" x14ac:dyDescent="0.35">
      <c r="B59"/>
      <c r="C59"/>
      <c r="D59"/>
      <c r="K59" s="15" t="s">
        <v>280</v>
      </c>
      <c r="L59" s="15" t="s">
        <v>261</v>
      </c>
      <c r="N59" s="15"/>
      <c r="O59" s="15"/>
    </row>
    <row r="60" spans="2:19" x14ac:dyDescent="0.35">
      <c r="B60"/>
      <c r="C60"/>
      <c r="D60"/>
      <c r="K60" s="15" t="s">
        <v>289</v>
      </c>
      <c r="L60" s="15" t="s">
        <v>270</v>
      </c>
      <c r="N60" s="15"/>
      <c r="O60" s="15"/>
    </row>
    <row r="61" spans="2:19" x14ac:dyDescent="0.35">
      <c r="B61"/>
      <c r="C61"/>
      <c r="D61"/>
      <c r="E61"/>
      <c r="K61" s="15" t="s">
        <v>292</v>
      </c>
      <c r="L61" s="15" t="s">
        <v>273</v>
      </c>
      <c r="N61" s="15"/>
      <c r="O61" s="15"/>
      <c r="P61" s="15"/>
      <c r="Q61" s="15"/>
    </row>
    <row r="62" spans="2:19" x14ac:dyDescent="0.35">
      <c r="B62"/>
      <c r="C62"/>
      <c r="D62"/>
      <c r="E62"/>
      <c r="K62" s="15" t="s">
        <v>291</v>
      </c>
      <c r="L62" s="15" t="s">
        <v>272</v>
      </c>
      <c r="N62" s="15"/>
      <c r="O62" s="15"/>
      <c r="P62" s="15"/>
      <c r="Q62" s="15"/>
    </row>
    <row r="63" spans="2:19" x14ac:dyDescent="0.35">
      <c r="B63"/>
      <c r="C63"/>
      <c r="D63"/>
      <c r="E63"/>
      <c r="K63" s="15" t="s">
        <v>290</v>
      </c>
      <c r="L63" s="15" t="s">
        <v>271</v>
      </c>
      <c r="N63" s="15"/>
      <c r="O63" s="15"/>
      <c r="P63" s="15"/>
      <c r="Q63" s="15"/>
    </row>
    <row r="64" spans="2:19" x14ac:dyDescent="0.35">
      <c r="B64"/>
      <c r="C64"/>
      <c r="D64"/>
      <c r="E64"/>
      <c r="K64" s="15" t="s">
        <v>347</v>
      </c>
      <c r="L64" s="15" t="s">
        <v>347</v>
      </c>
      <c r="N64" s="15"/>
      <c r="O64" s="15"/>
      <c r="P64" s="15"/>
      <c r="Q64" s="15"/>
    </row>
    <row r="65" spans="2:17" x14ac:dyDescent="0.35">
      <c r="B65"/>
      <c r="C65"/>
      <c r="D65"/>
      <c r="E65"/>
      <c r="K65" s="15" t="s">
        <v>407</v>
      </c>
      <c r="L65" s="15" t="s">
        <v>406</v>
      </c>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row r="76" spans="2:17" x14ac:dyDescent="0.35">
      <c r="B76"/>
      <c r="C76"/>
      <c r="D76"/>
      <c r="E76"/>
      <c r="N76" s="15"/>
      <c r="O76" s="15"/>
      <c r="P76" s="15"/>
      <c r="Q76" s="15"/>
    </row>
  </sheetData>
  <autoFilter ref="K46:L46" xr:uid="{00000000-0009-0000-0000-000004000000}">
    <sortState xmlns:xlrd2="http://schemas.microsoft.com/office/spreadsheetml/2017/richdata2" ref="K47:L63">
      <sortCondition ref="K46"/>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ColWidth="10.7265625" defaultRowHeight="14.5" x14ac:dyDescent="0.35"/>
  <cols>
    <col min="2" max="2" width="10.7265625" style="10" customWidth="1"/>
    <col min="3" max="3" width="17.1796875" style="5" bestFit="1" customWidth="1"/>
    <col min="4" max="4" width="20.81640625" customWidth="1"/>
    <col min="5" max="5" width="33.453125" bestFit="1" customWidth="1"/>
    <col min="6" max="6" width="34.1796875" customWidth="1"/>
    <col min="7" max="7" width="18.453125" bestFit="1" customWidth="1"/>
    <col min="8" max="8" width="16.1796875" bestFit="1" customWidth="1"/>
    <col min="9" max="10" width="17.1796875" bestFit="1" customWidth="1"/>
  </cols>
  <sheetData>
    <row r="3" spans="2:10" x14ac:dyDescent="0.35">
      <c r="B3" s="14" t="s">
        <v>59</v>
      </c>
      <c r="C3" s="14"/>
      <c r="D3" s="14"/>
      <c r="E3" s="216" t="s">
        <v>60</v>
      </c>
      <c r="F3" s="216"/>
      <c r="G3" s="216"/>
      <c r="H3" s="216"/>
      <c r="I3" s="216"/>
      <c r="J3" s="216"/>
    </row>
    <row r="5" spans="2:10" x14ac:dyDescent="0.35">
      <c r="B5" s="9" t="s">
        <v>49</v>
      </c>
      <c r="C5" s="7" t="s">
        <v>50</v>
      </c>
      <c r="E5" s="9" t="s">
        <v>0</v>
      </c>
      <c r="F5" s="9" t="s">
        <v>52</v>
      </c>
      <c r="G5" s="11">
        <v>7637</v>
      </c>
      <c r="H5" s="11">
        <v>7655</v>
      </c>
      <c r="I5" s="11">
        <v>7658</v>
      </c>
      <c r="J5" s="9" t="s">
        <v>54</v>
      </c>
    </row>
    <row r="6" spans="2:10" x14ac:dyDescent="0.35">
      <c r="B6" s="1">
        <v>7658</v>
      </c>
      <c r="C6" s="4">
        <v>32529175840</v>
      </c>
      <c r="E6" s="209" t="s">
        <v>45</v>
      </c>
      <c r="F6" s="209"/>
      <c r="G6" s="4"/>
      <c r="H6" s="4">
        <v>596500000</v>
      </c>
      <c r="I6" s="4"/>
      <c r="J6" s="4">
        <v>596500000</v>
      </c>
    </row>
    <row r="7" spans="2:10" x14ac:dyDescent="0.35">
      <c r="B7" s="1">
        <v>7655</v>
      </c>
      <c r="C7" s="4">
        <v>6691034160</v>
      </c>
      <c r="E7" s="209" t="s">
        <v>44</v>
      </c>
      <c r="F7" s="209"/>
      <c r="G7" s="4"/>
      <c r="H7" s="4">
        <v>403500000</v>
      </c>
      <c r="I7" s="4"/>
      <c r="J7" s="4">
        <v>403500000</v>
      </c>
    </row>
    <row r="8" spans="2:10" x14ac:dyDescent="0.35">
      <c r="B8" s="1">
        <v>7637</v>
      </c>
      <c r="C8" s="4">
        <v>3299800000</v>
      </c>
      <c r="E8" s="209" t="s">
        <v>36</v>
      </c>
      <c r="F8" s="209"/>
      <c r="G8" s="4">
        <v>3299800000</v>
      </c>
      <c r="H8" s="4">
        <v>900200000</v>
      </c>
      <c r="I8" s="4"/>
      <c r="J8" s="4">
        <v>4200000000</v>
      </c>
    </row>
    <row r="9" spans="2:10" x14ac:dyDescent="0.35">
      <c r="B9" s="9" t="s">
        <v>51</v>
      </c>
      <c r="C9" s="8">
        <v>42520010000</v>
      </c>
      <c r="E9" s="209" t="s">
        <v>46</v>
      </c>
      <c r="F9" s="209"/>
      <c r="G9" s="4"/>
      <c r="H9" s="4">
        <v>432858000</v>
      </c>
      <c r="I9" s="4"/>
      <c r="J9" s="4">
        <v>432858000</v>
      </c>
    </row>
    <row r="10" spans="2:10" x14ac:dyDescent="0.35">
      <c r="E10" s="209" t="s">
        <v>32</v>
      </c>
      <c r="F10" s="209"/>
      <c r="G10" s="4"/>
      <c r="H10" s="4">
        <v>323006000</v>
      </c>
      <c r="I10" s="4"/>
      <c r="J10" s="4">
        <v>323006000</v>
      </c>
    </row>
    <row r="11" spans="2:10" x14ac:dyDescent="0.35">
      <c r="E11" s="209" t="s">
        <v>28</v>
      </c>
      <c r="F11" s="209"/>
      <c r="G11" s="4"/>
      <c r="H11" s="4">
        <v>1200000000</v>
      </c>
      <c r="I11" s="4"/>
      <c r="J11" s="4">
        <v>1200000000</v>
      </c>
    </row>
    <row r="12" spans="2:10" x14ac:dyDescent="0.35">
      <c r="E12" s="209" t="s">
        <v>3</v>
      </c>
      <c r="F12" s="209"/>
      <c r="G12" s="4"/>
      <c r="H12" s="4">
        <v>2214252160</v>
      </c>
      <c r="I12" s="4">
        <v>7786929840</v>
      </c>
      <c r="J12" s="4">
        <v>10001182000</v>
      </c>
    </row>
    <row r="13" spans="2:10" x14ac:dyDescent="0.35">
      <c r="E13" s="209" t="s">
        <v>29</v>
      </c>
      <c r="F13" s="209"/>
      <c r="G13" s="4"/>
      <c r="H13" s="4">
        <v>170000000</v>
      </c>
      <c r="I13" s="4">
        <v>3730000000</v>
      </c>
      <c r="J13" s="4">
        <v>3900000000</v>
      </c>
    </row>
    <row r="14" spans="2:10" x14ac:dyDescent="0.35">
      <c r="E14" s="209" t="s">
        <v>33</v>
      </c>
      <c r="F14" s="209"/>
      <c r="G14" s="4"/>
      <c r="H14" s="4">
        <v>450718000</v>
      </c>
      <c r="I14" s="4">
        <v>1449282000</v>
      </c>
      <c r="J14" s="4">
        <v>1900000000</v>
      </c>
    </row>
    <row r="15" spans="2:10" x14ac:dyDescent="0.35">
      <c r="E15" s="209" t="s">
        <v>19</v>
      </c>
      <c r="F15" s="209"/>
      <c r="G15" s="4"/>
      <c r="H15" s="4"/>
      <c r="I15" s="4">
        <v>10011982000</v>
      </c>
      <c r="J15" s="4">
        <v>10011982000</v>
      </c>
    </row>
    <row r="16" spans="2:10" x14ac:dyDescent="0.35">
      <c r="E16" s="209" t="s">
        <v>47</v>
      </c>
      <c r="F16" s="209"/>
      <c r="G16" s="4"/>
      <c r="H16" s="4"/>
      <c r="I16" s="4">
        <v>9550982000</v>
      </c>
      <c r="J16" s="4">
        <v>9550982000</v>
      </c>
    </row>
    <row r="17" spans="3:10" x14ac:dyDescent="0.35">
      <c r="E17" s="211" t="s">
        <v>53</v>
      </c>
      <c r="F17" s="212"/>
      <c r="G17" s="8">
        <v>3299800000</v>
      </c>
      <c r="H17" s="8">
        <v>6691034160</v>
      </c>
      <c r="I17" s="8">
        <v>32529175840</v>
      </c>
      <c r="J17" s="8">
        <v>42520010000</v>
      </c>
    </row>
    <row r="20" spans="3:10" x14ac:dyDescent="0.35">
      <c r="C20" s="213" t="s">
        <v>62</v>
      </c>
      <c r="D20" s="213"/>
      <c r="E20" s="213"/>
      <c r="F20" s="213"/>
      <c r="G20" s="213"/>
    </row>
    <row r="22" spans="3:10" x14ac:dyDescent="0.35">
      <c r="C22" s="12" t="s">
        <v>63</v>
      </c>
    </row>
    <row r="23" spans="3:10" x14ac:dyDescent="0.35">
      <c r="C23" s="9" t="s">
        <v>55</v>
      </c>
      <c r="D23" s="13" t="s">
        <v>56</v>
      </c>
      <c r="E23" s="210" t="s">
        <v>0</v>
      </c>
      <c r="F23" s="210"/>
      <c r="G23" s="9" t="s">
        <v>57</v>
      </c>
    </row>
    <row r="24" spans="3:10" x14ac:dyDescent="0.35">
      <c r="C24" s="3" t="s">
        <v>35</v>
      </c>
      <c r="D24" s="6" t="s">
        <v>34</v>
      </c>
      <c r="E24" s="209" t="s">
        <v>33</v>
      </c>
      <c r="F24" s="209"/>
      <c r="G24" s="4">
        <v>1449282000</v>
      </c>
    </row>
    <row r="25" spans="3:10" x14ac:dyDescent="0.35">
      <c r="C25" s="3" t="s">
        <v>31</v>
      </c>
      <c r="D25" s="6" t="s">
        <v>30</v>
      </c>
      <c r="E25" s="209" t="s">
        <v>29</v>
      </c>
      <c r="F25" s="209"/>
      <c r="G25" s="4">
        <v>3730000000</v>
      </c>
    </row>
    <row r="26" spans="3:10" x14ac:dyDescent="0.35">
      <c r="C26" s="3" t="s">
        <v>6</v>
      </c>
      <c r="D26" s="6" t="s">
        <v>9</v>
      </c>
      <c r="E26" s="209" t="s">
        <v>3</v>
      </c>
      <c r="F26" s="209"/>
      <c r="G26" s="4">
        <v>2822768000</v>
      </c>
    </row>
    <row r="27" spans="3:10" x14ac:dyDescent="0.35">
      <c r="C27" s="3" t="s">
        <v>6</v>
      </c>
      <c r="D27" s="6" t="s">
        <v>48</v>
      </c>
      <c r="E27" s="209" t="s">
        <v>47</v>
      </c>
      <c r="F27" s="209"/>
      <c r="G27" s="4">
        <v>9550982000</v>
      </c>
    </row>
    <row r="28" spans="3:10" x14ac:dyDescent="0.35">
      <c r="C28" s="3" t="s">
        <v>6</v>
      </c>
      <c r="D28" s="6" t="s">
        <v>23</v>
      </c>
      <c r="E28" s="209" t="s">
        <v>19</v>
      </c>
      <c r="F28" s="209"/>
      <c r="G28" s="4">
        <v>2028491000</v>
      </c>
    </row>
    <row r="29" spans="3:10" x14ac:dyDescent="0.35">
      <c r="C29" s="3" t="s">
        <v>6</v>
      </c>
      <c r="D29" s="6" t="s">
        <v>21</v>
      </c>
      <c r="E29" s="209" t="s">
        <v>19</v>
      </c>
      <c r="F29" s="209"/>
      <c r="G29" s="4">
        <v>7983491000</v>
      </c>
    </row>
    <row r="30" spans="3:10" x14ac:dyDescent="0.35">
      <c r="C30" s="3" t="s">
        <v>18</v>
      </c>
      <c r="D30" s="6" t="s">
        <v>17</v>
      </c>
      <c r="E30" s="209" t="s">
        <v>3</v>
      </c>
      <c r="F30" s="209"/>
      <c r="G30" s="4">
        <v>100000000</v>
      </c>
    </row>
    <row r="31" spans="3:10" x14ac:dyDescent="0.35">
      <c r="C31" s="3" t="s">
        <v>15</v>
      </c>
      <c r="D31" s="6" t="s">
        <v>14</v>
      </c>
      <c r="E31" s="209" t="s">
        <v>3</v>
      </c>
      <c r="F31" s="209"/>
      <c r="G31" s="4">
        <v>4864161840</v>
      </c>
    </row>
    <row r="32" spans="3:10" x14ac:dyDescent="0.35">
      <c r="C32" s="211" t="s">
        <v>27</v>
      </c>
      <c r="D32" s="215"/>
      <c r="E32" s="215"/>
      <c r="F32" s="212"/>
      <c r="G32" s="8">
        <f>SUM(G24:G31)</f>
        <v>32529175840</v>
      </c>
    </row>
    <row r="34" spans="3:7" x14ac:dyDescent="0.35">
      <c r="C34" s="12" t="s">
        <v>64</v>
      </c>
    </row>
    <row r="35" spans="3:7" x14ac:dyDescent="0.35">
      <c r="C35" s="9" t="s">
        <v>55</v>
      </c>
      <c r="D35" s="13" t="s">
        <v>56</v>
      </c>
      <c r="E35" s="210" t="s">
        <v>0</v>
      </c>
      <c r="F35" s="210"/>
      <c r="G35" s="9" t="s">
        <v>57</v>
      </c>
    </row>
    <row r="36" spans="3:7" x14ac:dyDescent="0.35">
      <c r="C36" s="6" t="s">
        <v>16</v>
      </c>
      <c r="D36" s="2" t="s">
        <v>5</v>
      </c>
      <c r="E36" s="209" t="s">
        <v>45</v>
      </c>
      <c r="F36" s="209"/>
      <c r="G36" s="2">
        <v>596500000</v>
      </c>
    </row>
    <row r="37" spans="3:7" x14ac:dyDescent="0.35">
      <c r="C37" s="6" t="s">
        <v>16</v>
      </c>
      <c r="D37" s="2" t="s">
        <v>5</v>
      </c>
      <c r="E37" s="209" t="s">
        <v>44</v>
      </c>
      <c r="F37" s="209"/>
      <c r="G37" s="2">
        <v>403500000</v>
      </c>
    </row>
    <row r="38" spans="3:7" x14ac:dyDescent="0.35">
      <c r="C38" s="6" t="s">
        <v>16</v>
      </c>
      <c r="D38" s="2" t="s">
        <v>5</v>
      </c>
      <c r="E38" s="209" t="s">
        <v>36</v>
      </c>
      <c r="F38" s="209"/>
      <c r="G38" s="2">
        <v>900200000</v>
      </c>
    </row>
    <row r="39" spans="3:7" x14ac:dyDescent="0.35">
      <c r="C39" s="6" t="s">
        <v>16</v>
      </c>
      <c r="D39" s="2" t="s">
        <v>5</v>
      </c>
      <c r="E39" s="209" t="s">
        <v>46</v>
      </c>
      <c r="F39" s="209"/>
      <c r="G39" s="2">
        <v>432858000</v>
      </c>
    </row>
    <row r="40" spans="3:7" x14ac:dyDescent="0.35">
      <c r="C40" s="6" t="s">
        <v>16</v>
      </c>
      <c r="D40" s="2" t="s">
        <v>5</v>
      </c>
      <c r="E40" s="209" t="s">
        <v>32</v>
      </c>
      <c r="F40" s="209"/>
      <c r="G40" s="2">
        <v>323006000</v>
      </c>
    </row>
    <row r="41" spans="3:7" x14ac:dyDescent="0.35">
      <c r="C41" s="6" t="s">
        <v>16</v>
      </c>
      <c r="D41" s="2" t="s">
        <v>5</v>
      </c>
      <c r="E41" s="209" t="s">
        <v>28</v>
      </c>
      <c r="F41" s="209"/>
      <c r="G41" s="2">
        <v>1200000000</v>
      </c>
    </row>
    <row r="42" spans="3:7" x14ac:dyDescent="0.35">
      <c r="C42" s="6" t="s">
        <v>16</v>
      </c>
      <c r="D42" s="2" t="s">
        <v>5</v>
      </c>
      <c r="E42" s="209" t="s">
        <v>3</v>
      </c>
      <c r="F42" s="209"/>
      <c r="G42" s="2">
        <v>2214252160</v>
      </c>
    </row>
    <row r="43" spans="3:7" x14ac:dyDescent="0.35">
      <c r="C43" s="6" t="s">
        <v>16</v>
      </c>
      <c r="D43" s="2" t="s">
        <v>5</v>
      </c>
      <c r="E43" s="209" t="s">
        <v>29</v>
      </c>
      <c r="F43" s="209"/>
      <c r="G43" s="2">
        <v>170000000</v>
      </c>
    </row>
    <row r="44" spans="3:7" x14ac:dyDescent="0.35">
      <c r="C44" s="6" t="s">
        <v>16</v>
      </c>
      <c r="D44" s="2" t="s">
        <v>5</v>
      </c>
      <c r="E44" s="209" t="s">
        <v>33</v>
      </c>
      <c r="F44" s="209"/>
      <c r="G44" s="2">
        <v>450718000</v>
      </c>
    </row>
    <row r="45" spans="3:7" x14ac:dyDescent="0.35">
      <c r="C45" s="211" t="s">
        <v>27</v>
      </c>
      <c r="D45" s="215"/>
      <c r="E45" s="215"/>
      <c r="F45" s="212"/>
      <c r="G45" s="8">
        <f>SUM(G36:G44)</f>
        <v>6691034160</v>
      </c>
    </row>
    <row r="47" spans="3:7" x14ac:dyDescent="0.35">
      <c r="C47" s="12" t="s">
        <v>65</v>
      </c>
    </row>
    <row r="48" spans="3:7" x14ac:dyDescent="0.35">
      <c r="C48" s="9" t="s">
        <v>55</v>
      </c>
      <c r="D48" s="13" t="s">
        <v>56</v>
      </c>
      <c r="E48" s="210" t="s">
        <v>0</v>
      </c>
      <c r="F48" s="210"/>
      <c r="G48" s="9" t="s">
        <v>57</v>
      </c>
    </row>
    <row r="49" spans="3:7" x14ac:dyDescent="0.35">
      <c r="C49" s="6" t="s">
        <v>39</v>
      </c>
      <c r="D49" s="2" t="s">
        <v>41</v>
      </c>
      <c r="E49" s="209" t="s">
        <v>36</v>
      </c>
      <c r="F49" s="209"/>
      <c r="G49" s="6">
        <v>575315000</v>
      </c>
    </row>
    <row r="50" spans="3:7" x14ac:dyDescent="0.35">
      <c r="C50" s="6" t="s">
        <v>39</v>
      </c>
      <c r="D50" s="2" t="s">
        <v>38</v>
      </c>
      <c r="E50" s="209" t="s">
        <v>36</v>
      </c>
      <c r="F50" s="209"/>
      <c r="G50" s="6">
        <v>2724485000</v>
      </c>
    </row>
    <row r="51" spans="3:7" x14ac:dyDescent="0.35">
      <c r="C51" s="211" t="s">
        <v>27</v>
      </c>
      <c r="D51" s="215"/>
      <c r="E51" s="215"/>
      <c r="F51" s="212"/>
      <c r="G51" s="7">
        <f>SUM(G49:G50)</f>
        <v>3299800000</v>
      </c>
    </row>
    <row r="54" spans="3:7" x14ac:dyDescent="0.35">
      <c r="C54" s="14"/>
      <c r="D54" s="14"/>
      <c r="E54" s="216" t="s">
        <v>58</v>
      </c>
      <c r="F54" s="216"/>
      <c r="G54" s="216"/>
    </row>
    <row r="56" spans="3:7" x14ac:dyDescent="0.35">
      <c r="E56" s="12" t="s">
        <v>63</v>
      </c>
    </row>
    <row r="57" spans="3:7" x14ac:dyDescent="0.35">
      <c r="E57" s="210" t="s">
        <v>61</v>
      </c>
      <c r="F57" s="210"/>
      <c r="G57" s="9" t="s">
        <v>57</v>
      </c>
    </row>
    <row r="58" spans="3:7" x14ac:dyDescent="0.35">
      <c r="E58" s="214" t="s">
        <v>10</v>
      </c>
      <c r="F58" s="214"/>
      <c r="G58" s="6">
        <v>2490000000</v>
      </c>
    </row>
    <row r="59" spans="3:7" x14ac:dyDescent="0.35">
      <c r="E59" s="214" t="s">
        <v>22</v>
      </c>
      <c r="F59" s="214"/>
      <c r="G59" s="6">
        <v>1400000000</v>
      </c>
    </row>
    <row r="60" spans="3:7" x14ac:dyDescent="0.35">
      <c r="E60" s="214" t="s">
        <v>26</v>
      </c>
      <c r="F60" s="214"/>
      <c r="G60" s="6">
        <v>60000000</v>
      </c>
    </row>
    <row r="61" spans="3:7" x14ac:dyDescent="0.35">
      <c r="E61" s="214" t="s">
        <v>11</v>
      </c>
      <c r="F61" s="214"/>
      <c r="G61" s="6">
        <v>12229155840</v>
      </c>
    </row>
    <row r="62" spans="3:7" x14ac:dyDescent="0.35">
      <c r="E62" s="214" t="s">
        <v>24</v>
      </c>
      <c r="F62" s="214"/>
      <c r="G62" s="6">
        <v>375000000</v>
      </c>
    </row>
    <row r="63" spans="3:7" x14ac:dyDescent="0.35">
      <c r="E63" s="214" t="s">
        <v>7</v>
      </c>
      <c r="F63" s="214"/>
      <c r="G63" s="6">
        <v>92758400</v>
      </c>
    </row>
    <row r="64" spans="3:7" x14ac:dyDescent="0.35">
      <c r="E64" s="214" t="s">
        <v>25</v>
      </c>
      <c r="F64" s="214"/>
      <c r="G64" s="6">
        <v>120000000</v>
      </c>
    </row>
    <row r="65" spans="5:7" x14ac:dyDescent="0.35">
      <c r="E65" s="214" t="s">
        <v>4</v>
      </c>
      <c r="F65" s="214"/>
      <c r="G65" s="6">
        <v>10259061600</v>
      </c>
    </row>
    <row r="66" spans="5:7" x14ac:dyDescent="0.35">
      <c r="E66" s="214" t="s">
        <v>13</v>
      </c>
      <c r="F66" s="214"/>
      <c r="G66" s="6">
        <v>500000000</v>
      </c>
    </row>
    <row r="67" spans="5:7" x14ac:dyDescent="0.35">
      <c r="E67" s="214" t="s">
        <v>12</v>
      </c>
      <c r="F67" s="214"/>
      <c r="G67" s="6">
        <v>100000000</v>
      </c>
    </row>
    <row r="68" spans="5:7" x14ac:dyDescent="0.35">
      <c r="E68" s="214" t="s">
        <v>20</v>
      </c>
      <c r="F68" s="214"/>
      <c r="G68" s="6">
        <v>4350000000</v>
      </c>
    </row>
    <row r="69" spans="5:7" x14ac:dyDescent="0.35">
      <c r="E69" s="214" t="s">
        <v>8</v>
      </c>
      <c r="F69" s="214"/>
      <c r="G69" s="6">
        <v>553200000</v>
      </c>
    </row>
    <row r="70" spans="5:7" x14ac:dyDescent="0.35">
      <c r="E70" s="217" t="s">
        <v>27</v>
      </c>
      <c r="F70" s="217"/>
      <c r="G70" s="7">
        <f>SUM(G58:G69)</f>
        <v>32529175840</v>
      </c>
    </row>
    <row r="72" spans="5:7" x14ac:dyDescent="0.35">
      <c r="E72" s="12" t="s">
        <v>64</v>
      </c>
    </row>
    <row r="73" spans="5:7" x14ac:dyDescent="0.35">
      <c r="E73" s="210" t="s">
        <v>61</v>
      </c>
      <c r="F73" s="210"/>
      <c r="G73" s="9" t="s">
        <v>57</v>
      </c>
    </row>
    <row r="74" spans="5:7" x14ac:dyDescent="0.35">
      <c r="E74" s="214" t="s">
        <v>7</v>
      </c>
      <c r="F74" s="214"/>
      <c r="G74" s="6">
        <v>1177022750</v>
      </c>
    </row>
    <row r="75" spans="5:7" x14ac:dyDescent="0.35">
      <c r="E75" s="214" t="s">
        <v>4</v>
      </c>
      <c r="F75" s="214"/>
      <c r="G75" s="6">
        <v>5514011410</v>
      </c>
    </row>
    <row r="76" spans="5:7" x14ac:dyDescent="0.35">
      <c r="E76" s="217" t="s">
        <v>27</v>
      </c>
      <c r="F76" s="217"/>
      <c r="G76" s="7">
        <f>SUM(G74:G75)</f>
        <v>6691034160</v>
      </c>
    </row>
    <row r="79" spans="5:7" x14ac:dyDescent="0.35">
      <c r="E79" s="12" t="s">
        <v>65</v>
      </c>
    </row>
    <row r="80" spans="5:7" x14ac:dyDescent="0.35">
      <c r="E80" s="210" t="s">
        <v>61</v>
      </c>
      <c r="F80" s="210"/>
      <c r="G80" s="9" t="s">
        <v>57</v>
      </c>
    </row>
    <row r="81" spans="5:7" x14ac:dyDescent="0.35">
      <c r="E81" s="2" t="s">
        <v>43</v>
      </c>
      <c r="F81" s="2"/>
      <c r="G81" s="6">
        <v>60000000</v>
      </c>
    </row>
    <row r="82" spans="5:7" x14ac:dyDescent="0.35">
      <c r="E82" s="2" t="s">
        <v>42</v>
      </c>
      <c r="F82" s="2"/>
      <c r="G82" s="6">
        <v>100000000</v>
      </c>
    </row>
    <row r="83" spans="5:7" x14ac:dyDescent="0.35">
      <c r="E83" s="2" t="s">
        <v>40</v>
      </c>
      <c r="F83" s="2"/>
      <c r="G83" s="6">
        <v>1103500000</v>
      </c>
    </row>
    <row r="84" spans="5:7" x14ac:dyDescent="0.35">
      <c r="E84" s="2" t="s">
        <v>37</v>
      </c>
      <c r="F84" s="2"/>
      <c r="G84" s="6">
        <v>1015756100</v>
      </c>
    </row>
    <row r="85" spans="5:7" x14ac:dyDescent="0.35">
      <c r="E85" s="2" t="s">
        <v>4</v>
      </c>
      <c r="F85" s="2"/>
      <c r="G85" s="6">
        <v>1020543900</v>
      </c>
    </row>
    <row r="86" spans="5:7" x14ac:dyDescent="0.35">
      <c r="E86" s="217" t="s">
        <v>27</v>
      </c>
      <c r="F86" s="217"/>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C19F8-7026-4C1D-A03A-C78DB94D6FE1}">
  <ds:schemaRefs>
    <ds:schemaRef ds:uri="http://schemas.microsoft.com/sharepoint/v3/contenttype/forms"/>
  </ds:schemaRefs>
</ds:datastoreItem>
</file>

<file path=customXml/itemProps2.xml><?xml version="1.0" encoding="utf-8"?>
<ds:datastoreItem xmlns:ds="http://schemas.openxmlformats.org/officeDocument/2006/customXml" ds:itemID="{207BDB74-73D8-47CF-96D0-0A627028CE0E}">
  <ds:schemaRefs>
    <ds:schemaRef ds:uri="http://schemas.microsoft.com/office/2006/metadata/properties"/>
    <ds:schemaRef ds:uri="http://www.w3.org/2000/xmlns/"/>
    <ds:schemaRef ds:uri="da0db5d3-cc18-450f-b024-369bac33d3b9"/>
    <ds:schemaRef ds:uri="http://www.w3.org/2001/XMLSchema-instance"/>
    <ds:schemaRef ds:uri="http://schemas.microsoft.com/office/infopath/2007/PartnerControls"/>
  </ds:schemaRefs>
</ds:datastoreItem>
</file>

<file path=customXml/itemProps3.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0/xmlns/"/>
    <ds:schemaRef ds:uri="http://www.w3.org/2001/XMLSchema"/>
    <ds:schemaRef ds:uri="0935b897-e83e-4004-9f75-4e3807b73bb0"/>
    <ds:schemaRef ds:uri="da0db5d3-cc18-450f-b024-369bac33d3b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Hoja1</vt:lpstr>
      <vt:lpstr>PAA VR12 -2025 UAECOB BCS</vt:lpstr>
      <vt:lpstr>Control PAA Vr0</vt:lpstr>
      <vt:lpstr>Distribución Pptal Inv</vt:lpstr>
      <vt:lpstr>TD</vt:lpstr>
      <vt:lpstr>resumen</vt:lpstr>
      <vt:lpstr>'PAA VR12 -2025 UAECOB BCS'!_Hlk177992892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HOME</cp:lastModifiedBy>
  <cp:lastPrinted>2024-06-25T20:21:52Z</cp:lastPrinted>
  <dcterms:created xsi:type="dcterms:W3CDTF">2023-10-09T19:40:49Z</dcterms:created>
  <dcterms:modified xsi:type="dcterms:W3CDTF">2025-08-14T01:06:15Z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