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9 A VR 10 - 2026 UAECOB/"/>
    </mc:Choice>
  </mc:AlternateContent>
  <xr:revisionPtr revIDLastSave="198" documentId="8_{B9BC1575-4E55-4F57-8BF2-6D21DDD8DF30}" xr6:coauthVersionLast="47" xr6:coauthVersionMax="47" xr10:uidLastSave="{FC606BE5-B9D0-4586-A05A-3B20E28327D7}"/>
  <bookViews>
    <workbookView xWindow="-110" yWindow="-110" windowWidth="19420" windowHeight="11500" tabRatio="702" firstSheet="1" activeTab="1" xr2:uid="{00000000-000D-0000-FFFF-FFFF00000000}"/>
  </bookViews>
  <sheets>
    <sheet name="Hoja1" sheetId="15" state="hidden" r:id="rId1"/>
    <sheet name="PAA VR10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1" hidden="1">'PAA VR10 2026 UAECOB BCS'!#REF!</definedName>
    <definedName name="_xlnm._FilterDatabase" localSheetId="4" hidden="1">TD!$J$66:$K$66</definedName>
    <definedName name="_Hlk177992892" localSheetId="1">'PAA VR10 2026 UAECOB BCS'!#REF!</definedName>
    <definedName name="Sec_Prog_MGA">#REF!</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1" l="1"/>
  <c r="AC44" i="1" s="1"/>
  <c r="Y44" i="1"/>
  <c r="Z44" i="1" s="1"/>
  <c r="U5" i="1"/>
  <c r="S44" i="1"/>
  <c r="T44" i="1"/>
  <c r="U44" i="1"/>
  <c r="V44" i="1"/>
  <c r="W44" i="1"/>
  <c r="AB43" i="1"/>
  <c r="Y43" i="1"/>
  <c r="AI44" i="1" l="1"/>
  <c r="AE44" i="1"/>
  <c r="AD44" i="1"/>
  <c r="AF44" i="1" s="1"/>
  <c r="S43" i="1"/>
  <c r="T43" i="1"/>
  <c r="U43" i="1"/>
  <c r="V43" i="1"/>
  <c r="W43" i="1"/>
  <c r="Z43" i="1"/>
  <c r="AC43" i="1"/>
  <c r="AI43" i="1" l="1"/>
  <c r="AD43" i="1"/>
  <c r="AF43" i="1" s="1"/>
  <c r="AE43" i="1"/>
  <c r="S16" i="1"/>
  <c r="AB42" i="1" l="1"/>
  <c r="AC42" i="1" s="1"/>
  <c r="AB41" i="1"/>
  <c r="AC41" i="1" s="1"/>
  <c r="Y42" i="1"/>
  <c r="Z42" i="1" s="1"/>
  <c r="Y41" i="1"/>
  <c r="Z41" i="1" s="1"/>
  <c r="S42" i="1"/>
  <c r="T42" i="1"/>
  <c r="U42" i="1"/>
  <c r="V42" i="1"/>
  <c r="W42" i="1"/>
  <c r="S41" i="1"/>
  <c r="T41" i="1"/>
  <c r="U41" i="1"/>
  <c r="V41" i="1"/>
  <c r="W41" i="1"/>
  <c r="AB40" i="1"/>
  <c r="AC40" i="1" s="1"/>
  <c r="AB39" i="1"/>
  <c r="AC39" i="1" s="1"/>
  <c r="Y40" i="1"/>
  <c r="Z40" i="1" s="1"/>
  <c r="Y39" i="1"/>
  <c r="Z39" i="1" s="1"/>
  <c r="S40" i="1"/>
  <c r="T40" i="1"/>
  <c r="U40" i="1"/>
  <c r="V40" i="1"/>
  <c r="W40" i="1"/>
  <c r="S39" i="1"/>
  <c r="T39" i="1"/>
  <c r="U39" i="1"/>
  <c r="V39" i="1"/>
  <c r="W39" i="1"/>
  <c r="AI42" i="1" l="1"/>
  <c r="AI41" i="1"/>
  <c r="AD42" i="1"/>
  <c r="AF42" i="1" s="1"/>
  <c r="AD41" i="1"/>
  <c r="AF41" i="1" s="1"/>
  <c r="AE41" i="1"/>
  <c r="AE42" i="1"/>
  <c r="AI40" i="1"/>
  <c r="AD40" i="1"/>
  <c r="AF40" i="1" s="1"/>
  <c r="AD39" i="1"/>
  <c r="AF39" i="1" s="1"/>
  <c r="AE40" i="1"/>
  <c r="AE39" i="1"/>
  <c r="AI39" i="1"/>
  <c r="AB38" i="1" l="1"/>
  <c r="AC38" i="1" s="1"/>
  <c r="Y38" i="1"/>
  <c r="Z38" i="1" s="1"/>
  <c r="AB37" i="1"/>
  <c r="AC37" i="1" s="1"/>
  <c r="Y37" i="1"/>
  <c r="Z37" i="1" s="1"/>
  <c r="S38" i="1"/>
  <c r="T38" i="1"/>
  <c r="U38" i="1"/>
  <c r="V38" i="1"/>
  <c r="W38" i="1"/>
  <c r="S37" i="1"/>
  <c r="T37" i="1"/>
  <c r="U37" i="1"/>
  <c r="V37" i="1"/>
  <c r="W37" i="1"/>
  <c r="AI37" i="1" l="1"/>
  <c r="AI38" i="1"/>
  <c r="AD38" i="1"/>
  <c r="AF38" i="1" s="1"/>
  <c r="AE38" i="1"/>
  <c r="AD37" i="1"/>
  <c r="AF37" i="1" s="1"/>
  <c r="AE37" i="1"/>
  <c r="AB683" i="1" l="1"/>
  <c r="AC683" i="1" s="1"/>
  <c r="Y683" i="1"/>
  <c r="Z683" i="1" s="1"/>
  <c r="AB682" i="1"/>
  <c r="AC682" i="1" s="1"/>
  <c r="AB681" i="1"/>
  <c r="AC681" i="1" s="1"/>
  <c r="AB680" i="1"/>
  <c r="AC680" i="1" s="1"/>
  <c r="AB679" i="1"/>
  <c r="AC679" i="1" s="1"/>
  <c r="AB678" i="1"/>
  <c r="AC678" i="1" s="1"/>
  <c r="AB677" i="1"/>
  <c r="AC677" i="1" s="1"/>
  <c r="AB676" i="1"/>
  <c r="AC676" i="1" s="1"/>
  <c r="AB36" i="1"/>
  <c r="AC36" i="1" s="1"/>
  <c r="AB675" i="1"/>
  <c r="AC675" i="1" s="1"/>
  <c r="AB674" i="1"/>
  <c r="AC674" i="1" s="1"/>
  <c r="AB673" i="1"/>
  <c r="AC673" i="1" s="1"/>
  <c r="AB672" i="1"/>
  <c r="AC672" i="1" s="1"/>
  <c r="Y682" i="1"/>
  <c r="Z682" i="1" s="1"/>
  <c r="Y681" i="1"/>
  <c r="Z681" i="1" s="1"/>
  <c r="Y680" i="1"/>
  <c r="Z680" i="1" s="1"/>
  <c r="Y679" i="1"/>
  <c r="Z679" i="1" s="1"/>
  <c r="Y678" i="1"/>
  <c r="Z678" i="1" s="1"/>
  <c r="Y677" i="1"/>
  <c r="Z677" i="1" s="1"/>
  <c r="Y676" i="1"/>
  <c r="Z676" i="1" s="1"/>
  <c r="Y36" i="1"/>
  <c r="Z36" i="1" s="1"/>
  <c r="Y675" i="1"/>
  <c r="Z675" i="1" s="1"/>
  <c r="Y674" i="1"/>
  <c r="Z674" i="1" s="1"/>
  <c r="Y673" i="1"/>
  <c r="Z673" i="1" s="1"/>
  <c r="Y672" i="1"/>
  <c r="Z672" i="1" s="1"/>
  <c r="AB671" i="1"/>
  <c r="AC671" i="1" s="1"/>
  <c r="Y671" i="1"/>
  <c r="Z671" i="1" s="1"/>
  <c r="S683" i="1"/>
  <c r="T683" i="1"/>
  <c r="U683" i="1"/>
  <c r="V683" i="1"/>
  <c r="W683" i="1"/>
  <c r="S682" i="1"/>
  <c r="T682" i="1"/>
  <c r="U682" i="1"/>
  <c r="V682" i="1"/>
  <c r="W682" i="1"/>
  <c r="S681" i="1"/>
  <c r="T681" i="1"/>
  <c r="U681" i="1"/>
  <c r="V681" i="1"/>
  <c r="W681" i="1"/>
  <c r="S680" i="1"/>
  <c r="T680" i="1"/>
  <c r="U680" i="1"/>
  <c r="V680" i="1"/>
  <c r="W680" i="1"/>
  <c r="S679" i="1"/>
  <c r="T679" i="1"/>
  <c r="U679" i="1"/>
  <c r="V679" i="1"/>
  <c r="W679" i="1"/>
  <c r="S678" i="1"/>
  <c r="T678" i="1"/>
  <c r="U678" i="1"/>
  <c r="V678" i="1"/>
  <c r="W678" i="1"/>
  <c r="S677" i="1"/>
  <c r="T677" i="1"/>
  <c r="U677" i="1"/>
  <c r="V677" i="1"/>
  <c r="W677" i="1"/>
  <c r="S676" i="1"/>
  <c r="T676" i="1"/>
  <c r="U676" i="1"/>
  <c r="V676" i="1"/>
  <c r="W676" i="1"/>
  <c r="S36" i="1"/>
  <c r="T36" i="1"/>
  <c r="U36" i="1"/>
  <c r="V36" i="1"/>
  <c r="W36" i="1"/>
  <c r="S675" i="1"/>
  <c r="T675" i="1"/>
  <c r="U675" i="1"/>
  <c r="V675" i="1"/>
  <c r="W675" i="1"/>
  <c r="S674" i="1"/>
  <c r="T674" i="1"/>
  <c r="U674" i="1"/>
  <c r="V674" i="1"/>
  <c r="W674" i="1"/>
  <c r="S673" i="1"/>
  <c r="T673" i="1"/>
  <c r="U673" i="1"/>
  <c r="V673" i="1"/>
  <c r="W673" i="1"/>
  <c r="S672" i="1"/>
  <c r="T672" i="1"/>
  <c r="U672" i="1"/>
  <c r="V672" i="1"/>
  <c r="W672" i="1"/>
  <c r="S671" i="1"/>
  <c r="T671" i="1"/>
  <c r="U671" i="1"/>
  <c r="V671" i="1"/>
  <c r="W671" i="1"/>
  <c r="AI675" i="1" l="1"/>
  <c r="AI681" i="1"/>
  <c r="AI680" i="1"/>
  <c r="AD678" i="1"/>
  <c r="AF678" i="1" s="1"/>
  <c r="AD677" i="1"/>
  <c r="AF677" i="1" s="1"/>
  <c r="AD676" i="1"/>
  <c r="AF676" i="1" s="1"/>
  <c r="AD36" i="1"/>
  <c r="AF36" i="1" s="1"/>
  <c r="AD675" i="1"/>
  <c r="AF675" i="1" s="1"/>
  <c r="AD672" i="1"/>
  <c r="AF672" i="1" s="1"/>
  <c r="AI36" i="1"/>
  <c r="AI677" i="1"/>
  <c r="AD671" i="1"/>
  <c r="AF671" i="1" s="1"/>
  <c r="AD683" i="1"/>
  <c r="AF683" i="1" s="1"/>
  <c r="AD682" i="1"/>
  <c r="AF682" i="1" s="1"/>
  <c r="AI683" i="1"/>
  <c r="AE676" i="1"/>
  <c r="AD681" i="1"/>
  <c r="AF681" i="1" s="1"/>
  <c r="AD680" i="1"/>
  <c r="AF680" i="1" s="1"/>
  <c r="AI682" i="1"/>
  <c r="AD674" i="1"/>
  <c r="AF674" i="1" s="1"/>
  <c r="AD679" i="1"/>
  <c r="AF679" i="1" s="1"/>
  <c r="AD673" i="1"/>
  <c r="AF673" i="1" s="1"/>
  <c r="AE674" i="1"/>
  <c r="AE675" i="1"/>
  <c r="AE36" i="1"/>
  <c r="AE679" i="1"/>
  <c r="AE680" i="1"/>
  <c r="AE681" i="1"/>
  <c r="AE682" i="1"/>
  <c r="AE683" i="1"/>
  <c r="AE673" i="1"/>
  <c r="AE677" i="1"/>
  <c r="AE678" i="1"/>
  <c r="AE672" i="1"/>
  <c r="AI678" i="1"/>
  <c r="AI672" i="1"/>
  <c r="AE671" i="1"/>
  <c r="AI671" i="1"/>
  <c r="AI679" i="1"/>
  <c r="AI676" i="1"/>
  <c r="AI674" i="1"/>
  <c r="AI673" i="1"/>
  <c r="AB35" i="1" l="1"/>
  <c r="AC35" i="1" s="1"/>
  <c r="AB34" i="1"/>
  <c r="AC34" i="1" s="1"/>
  <c r="AB33" i="1"/>
  <c r="AC33" i="1" s="1"/>
  <c r="Y35" i="1"/>
  <c r="Z35" i="1" s="1"/>
  <c r="Y34" i="1"/>
  <c r="Z34" i="1" s="1"/>
  <c r="Y33" i="1"/>
  <c r="Z33" i="1" s="1"/>
  <c r="S35" i="1"/>
  <c r="T35" i="1"/>
  <c r="U35" i="1"/>
  <c r="V35" i="1"/>
  <c r="W35" i="1"/>
  <c r="S34" i="1"/>
  <c r="T34" i="1"/>
  <c r="U34" i="1"/>
  <c r="V34" i="1"/>
  <c r="W34" i="1"/>
  <c r="S33" i="1"/>
  <c r="T33" i="1"/>
  <c r="U33" i="1"/>
  <c r="V33" i="1"/>
  <c r="W33" i="1"/>
  <c r="AI34" i="1" l="1"/>
  <c r="AD35" i="1"/>
  <c r="AF35" i="1" s="1"/>
  <c r="AE34" i="1"/>
  <c r="AD33" i="1"/>
  <c r="AF33" i="1" s="1"/>
  <c r="AD34" i="1"/>
  <c r="AF34" i="1" s="1"/>
  <c r="AI33" i="1"/>
  <c r="AI35" i="1"/>
  <c r="AE33" i="1"/>
  <c r="AE35" i="1"/>
  <c r="AB670" i="1" l="1"/>
  <c r="AC670" i="1" s="1"/>
  <c r="Y670" i="1"/>
  <c r="Z670" i="1" s="1"/>
  <c r="S670" i="1"/>
  <c r="T670" i="1"/>
  <c r="U670" i="1"/>
  <c r="V670" i="1"/>
  <c r="W670" i="1"/>
  <c r="AB669" i="1"/>
  <c r="AC669" i="1" s="1"/>
  <c r="Y669" i="1"/>
  <c r="Z669" i="1" s="1"/>
  <c r="S669" i="1"/>
  <c r="T669" i="1"/>
  <c r="U669" i="1"/>
  <c r="V669" i="1"/>
  <c r="W669" i="1"/>
  <c r="AB32" i="1"/>
  <c r="AC32" i="1" s="1"/>
  <c r="Y32" i="1"/>
  <c r="Z32" i="1" s="1"/>
  <c r="S32" i="1"/>
  <c r="T32" i="1"/>
  <c r="U32" i="1"/>
  <c r="V32" i="1"/>
  <c r="W32" i="1"/>
  <c r="U90" i="1"/>
  <c r="AB31" i="1"/>
  <c r="Y31" i="1"/>
  <c r="AI670" i="1" l="1"/>
  <c r="AD670" i="1"/>
  <c r="AF670" i="1" s="1"/>
  <c r="AE670" i="1"/>
  <c r="AI669" i="1"/>
  <c r="AD669" i="1"/>
  <c r="AF669" i="1" s="1"/>
  <c r="AE669" i="1"/>
  <c r="AD32" i="1"/>
  <c r="AF32" i="1" s="1"/>
  <c r="AI32" i="1"/>
  <c r="AE32" i="1"/>
  <c r="S31" i="1"/>
  <c r="T31" i="1"/>
  <c r="U31" i="1"/>
  <c r="V31" i="1"/>
  <c r="W31" i="1"/>
  <c r="Z31" i="1"/>
  <c r="AC31" i="1"/>
  <c r="AB668" i="1"/>
  <c r="AC668" i="1" s="1"/>
  <c r="Y668" i="1"/>
  <c r="Z668" i="1" s="1"/>
  <c r="S668" i="1"/>
  <c r="T668" i="1"/>
  <c r="U668" i="1"/>
  <c r="V668" i="1"/>
  <c r="W668" i="1"/>
  <c r="AI31" i="1" l="1"/>
  <c r="AD31" i="1"/>
  <c r="AF31" i="1" s="1"/>
  <c r="AE31" i="1"/>
  <c r="AI668" i="1"/>
  <c r="AD668" i="1"/>
  <c r="AF668" i="1" s="1"/>
  <c r="AE668" i="1"/>
  <c r="AB667" i="1"/>
  <c r="AC667" i="1" s="1"/>
  <c r="Y667" i="1"/>
  <c r="Z667" i="1" s="1"/>
  <c r="AB666" i="1"/>
  <c r="AC666" i="1" s="1"/>
  <c r="Y666" i="1"/>
  <c r="Z666" i="1" s="1"/>
  <c r="AB665" i="1"/>
  <c r="AC665" i="1" s="1"/>
  <c r="Y665" i="1"/>
  <c r="Z665" i="1" s="1"/>
  <c r="S667" i="1"/>
  <c r="T667" i="1"/>
  <c r="U667" i="1"/>
  <c r="V667" i="1"/>
  <c r="W667" i="1"/>
  <c r="S666" i="1"/>
  <c r="T666" i="1"/>
  <c r="U666" i="1"/>
  <c r="V666" i="1"/>
  <c r="W666" i="1"/>
  <c r="S665" i="1"/>
  <c r="T665" i="1"/>
  <c r="U665" i="1"/>
  <c r="V665" i="1"/>
  <c r="W665" i="1"/>
  <c r="AB664" i="1"/>
  <c r="AC664" i="1" s="1"/>
  <c r="AB663" i="1"/>
  <c r="AC663" i="1" s="1"/>
  <c r="AB662" i="1"/>
  <c r="AC662" i="1" s="1"/>
  <c r="AB661" i="1"/>
  <c r="AC661" i="1" s="1"/>
  <c r="Y664" i="1"/>
  <c r="Z664" i="1" s="1"/>
  <c r="Y663" i="1"/>
  <c r="Z663" i="1" s="1"/>
  <c r="Y662" i="1"/>
  <c r="Z662" i="1" s="1"/>
  <c r="Y661" i="1"/>
  <c r="Z661" i="1" s="1"/>
  <c r="S664" i="1"/>
  <c r="T664" i="1"/>
  <c r="U664" i="1"/>
  <c r="V664" i="1"/>
  <c r="W664" i="1"/>
  <c r="S663" i="1"/>
  <c r="T663" i="1"/>
  <c r="U663" i="1"/>
  <c r="V663" i="1"/>
  <c r="W663" i="1"/>
  <c r="S662" i="1"/>
  <c r="T662" i="1"/>
  <c r="U662" i="1"/>
  <c r="V662" i="1"/>
  <c r="W662" i="1"/>
  <c r="S661" i="1"/>
  <c r="T661" i="1"/>
  <c r="U661" i="1"/>
  <c r="V661" i="1"/>
  <c r="W661" i="1"/>
  <c r="AI667" i="1" l="1"/>
  <c r="AE665" i="1"/>
  <c r="AE667" i="1"/>
  <c r="AE666" i="1"/>
  <c r="AD667" i="1"/>
  <c r="AF667" i="1" s="1"/>
  <c r="AD666" i="1"/>
  <c r="AF666" i="1" s="1"/>
  <c r="AI666" i="1"/>
  <c r="AD665" i="1"/>
  <c r="AF665" i="1" s="1"/>
  <c r="AI665" i="1"/>
  <c r="AE661" i="1"/>
  <c r="AI664" i="1"/>
  <c r="AE663" i="1"/>
  <c r="AE664" i="1"/>
  <c r="AD662" i="1"/>
  <c r="AF662" i="1" s="1"/>
  <c r="AD663" i="1"/>
  <c r="AF663" i="1" s="1"/>
  <c r="AD664" i="1"/>
  <c r="AF664" i="1" s="1"/>
  <c r="AD661" i="1"/>
  <c r="AF661" i="1" s="1"/>
  <c r="AE662" i="1"/>
  <c r="AI662" i="1"/>
  <c r="AI663" i="1"/>
  <c r="AI661" i="1"/>
  <c r="J634" i="1"/>
  <c r="AB660" i="1" l="1"/>
  <c r="AC660" i="1" s="1"/>
  <c r="Y660" i="1"/>
  <c r="Z660" i="1" s="1"/>
  <c r="S660" i="1"/>
  <c r="T660" i="1"/>
  <c r="U660" i="1"/>
  <c r="V660" i="1"/>
  <c r="W660" i="1"/>
  <c r="AE660" i="1" l="1"/>
  <c r="AI660" i="1"/>
  <c r="AD660" i="1"/>
  <c r="AF660" i="1" s="1"/>
  <c r="AB30" i="1" l="1"/>
  <c r="AC30" i="1" s="1"/>
  <c r="AB659" i="1"/>
  <c r="AC659" i="1" s="1"/>
  <c r="AB658" i="1"/>
  <c r="AC658" i="1" s="1"/>
  <c r="Y30" i="1"/>
  <c r="Z30" i="1" s="1"/>
  <c r="Y659" i="1"/>
  <c r="Z659" i="1" s="1"/>
  <c r="Y658" i="1"/>
  <c r="Z658" i="1" s="1"/>
  <c r="S30" i="1"/>
  <c r="T30" i="1"/>
  <c r="U30" i="1"/>
  <c r="V30" i="1"/>
  <c r="W30" i="1"/>
  <c r="S659" i="1"/>
  <c r="T659" i="1"/>
  <c r="U659" i="1"/>
  <c r="V659" i="1"/>
  <c r="W659" i="1"/>
  <c r="S658" i="1"/>
  <c r="T658" i="1"/>
  <c r="U658" i="1"/>
  <c r="V658" i="1"/>
  <c r="W658" i="1"/>
  <c r="AB657" i="1"/>
  <c r="AC657" i="1" s="1"/>
  <c r="Y657" i="1"/>
  <c r="Z657" i="1" s="1"/>
  <c r="AB656" i="1"/>
  <c r="AC656" i="1" s="1"/>
  <c r="Y656" i="1"/>
  <c r="Z656" i="1" s="1"/>
  <c r="AB655" i="1"/>
  <c r="AC655" i="1" s="1"/>
  <c r="Y655" i="1"/>
  <c r="Z655" i="1" s="1"/>
  <c r="S657" i="1"/>
  <c r="T657" i="1"/>
  <c r="U657" i="1"/>
  <c r="V657" i="1"/>
  <c r="W657" i="1"/>
  <c r="S656" i="1"/>
  <c r="T656" i="1"/>
  <c r="U656" i="1"/>
  <c r="V656" i="1"/>
  <c r="W656" i="1"/>
  <c r="T655" i="1"/>
  <c r="AI655" i="1" s="1"/>
  <c r="U655" i="1"/>
  <c r="V655" i="1"/>
  <c r="W655" i="1"/>
  <c r="AB654" i="1"/>
  <c r="AC654" i="1" s="1"/>
  <c r="Y654" i="1"/>
  <c r="Z654" i="1" s="1"/>
  <c r="S654" i="1"/>
  <c r="T654" i="1"/>
  <c r="U654" i="1"/>
  <c r="V654" i="1"/>
  <c r="W654" i="1"/>
  <c r="AB653" i="1"/>
  <c r="AC653" i="1" s="1"/>
  <c r="Y653" i="1"/>
  <c r="Z653" i="1" s="1"/>
  <c r="S653" i="1"/>
  <c r="T653" i="1"/>
  <c r="U653" i="1"/>
  <c r="V653" i="1"/>
  <c r="W653" i="1"/>
  <c r="AB652" i="1"/>
  <c r="AC652" i="1" s="1"/>
  <c r="Y652" i="1"/>
  <c r="Z652" i="1" s="1"/>
  <c r="AB651" i="1"/>
  <c r="AC651" i="1" s="1"/>
  <c r="Y651" i="1"/>
  <c r="Z651" i="1" s="1"/>
  <c r="S652" i="1"/>
  <c r="T652" i="1"/>
  <c r="U652" i="1"/>
  <c r="V652" i="1"/>
  <c r="W652" i="1"/>
  <c r="S651" i="1"/>
  <c r="T651" i="1"/>
  <c r="U651" i="1"/>
  <c r="V651" i="1"/>
  <c r="W651" i="1"/>
  <c r="J572" i="1"/>
  <c r="AB650" i="1"/>
  <c r="AC650" i="1" s="1"/>
  <c r="Y650" i="1"/>
  <c r="Z650" i="1" s="1"/>
  <c r="S650" i="1"/>
  <c r="T650" i="1"/>
  <c r="U650" i="1"/>
  <c r="V650" i="1"/>
  <c r="W650" i="1"/>
  <c r="AB649" i="1"/>
  <c r="AC649" i="1" s="1"/>
  <c r="Y649" i="1"/>
  <c r="Z649" i="1" s="1"/>
  <c r="AB648" i="1"/>
  <c r="AC648" i="1" s="1"/>
  <c r="Y648" i="1"/>
  <c r="Z648" i="1" s="1"/>
  <c r="AB647" i="1"/>
  <c r="AC647" i="1" s="1"/>
  <c r="AB646" i="1"/>
  <c r="AC646" i="1" s="1"/>
  <c r="AB645" i="1"/>
  <c r="AC645" i="1" s="1"/>
  <c r="AB644" i="1"/>
  <c r="AC644" i="1" s="1"/>
  <c r="AB643" i="1"/>
  <c r="AC643" i="1" s="1"/>
  <c r="Y647" i="1"/>
  <c r="Z647" i="1" s="1"/>
  <c r="Y646" i="1"/>
  <c r="Z646" i="1" s="1"/>
  <c r="Y645" i="1"/>
  <c r="Z645" i="1" s="1"/>
  <c r="Y644" i="1"/>
  <c r="Z644" i="1" s="1"/>
  <c r="Y643" i="1"/>
  <c r="Z643" i="1" s="1"/>
  <c r="AB642" i="1"/>
  <c r="AC642" i="1" s="1"/>
  <c r="Y642" i="1"/>
  <c r="Z642" i="1" s="1"/>
  <c r="AB641" i="1"/>
  <c r="AC641" i="1" s="1"/>
  <c r="Y641" i="1"/>
  <c r="Z641" i="1" s="1"/>
  <c r="S649" i="1"/>
  <c r="T649" i="1"/>
  <c r="U649" i="1"/>
  <c r="V649" i="1"/>
  <c r="W649" i="1"/>
  <c r="S648" i="1"/>
  <c r="T648" i="1"/>
  <c r="U648" i="1"/>
  <c r="V648" i="1"/>
  <c r="W648" i="1"/>
  <c r="S647" i="1"/>
  <c r="T647" i="1"/>
  <c r="U647" i="1"/>
  <c r="V647" i="1"/>
  <c r="W647" i="1"/>
  <c r="S646" i="1"/>
  <c r="T646" i="1"/>
  <c r="U646" i="1"/>
  <c r="V646" i="1"/>
  <c r="W646" i="1"/>
  <c r="S645" i="1"/>
  <c r="T645" i="1"/>
  <c r="U645" i="1"/>
  <c r="V645" i="1"/>
  <c r="W645" i="1"/>
  <c r="S644" i="1"/>
  <c r="T644" i="1"/>
  <c r="U644" i="1"/>
  <c r="V644" i="1"/>
  <c r="W644" i="1"/>
  <c r="S643" i="1"/>
  <c r="T643" i="1"/>
  <c r="U643" i="1"/>
  <c r="V643" i="1"/>
  <c r="W643" i="1"/>
  <c r="S642" i="1"/>
  <c r="T642" i="1"/>
  <c r="U642" i="1"/>
  <c r="V642" i="1"/>
  <c r="W642" i="1"/>
  <c r="S641" i="1"/>
  <c r="T641" i="1"/>
  <c r="U641" i="1"/>
  <c r="V641" i="1"/>
  <c r="W641" i="1"/>
  <c r="AB640" i="1"/>
  <c r="AC640" i="1" s="1"/>
  <c r="Y640" i="1"/>
  <c r="Z640" i="1" s="1"/>
  <c r="S640" i="1"/>
  <c r="T640" i="1"/>
  <c r="U640" i="1"/>
  <c r="V640" i="1"/>
  <c r="W640" i="1"/>
  <c r="AB639" i="1"/>
  <c r="AC639" i="1" s="1"/>
  <c r="Y639" i="1"/>
  <c r="Z639" i="1" s="1"/>
  <c r="S639" i="1"/>
  <c r="T639" i="1"/>
  <c r="U639" i="1"/>
  <c r="V639" i="1"/>
  <c r="W639" i="1"/>
  <c r="J568" i="1"/>
  <c r="J566" i="1"/>
  <c r="J562" i="1"/>
  <c r="AB638" i="1"/>
  <c r="AC638" i="1" s="1"/>
  <c r="Y638" i="1"/>
  <c r="Z638" i="1" s="1"/>
  <c r="S638" i="1"/>
  <c r="T638" i="1"/>
  <c r="U638" i="1"/>
  <c r="V638" i="1"/>
  <c r="W638" i="1"/>
  <c r="AB637" i="1"/>
  <c r="AC637" i="1" s="1"/>
  <c r="Y637" i="1"/>
  <c r="Z637" i="1" s="1"/>
  <c r="S637" i="1"/>
  <c r="T637" i="1"/>
  <c r="U637" i="1"/>
  <c r="V637" i="1"/>
  <c r="W637" i="1"/>
  <c r="AB636" i="1"/>
  <c r="AC636" i="1" s="1"/>
  <c r="Y636" i="1"/>
  <c r="Z636" i="1" s="1"/>
  <c r="S636" i="1"/>
  <c r="T636" i="1"/>
  <c r="U636" i="1"/>
  <c r="V636" i="1"/>
  <c r="W636" i="1"/>
  <c r="AB635" i="1"/>
  <c r="AC635" i="1" s="1"/>
  <c r="Y635" i="1"/>
  <c r="Z635" i="1" s="1"/>
  <c r="J110" i="1"/>
  <c r="J109" i="1"/>
  <c r="J98" i="1"/>
  <c r="J97" i="1"/>
  <c r="J116" i="1"/>
  <c r="AB634" i="1"/>
  <c r="AC634" i="1" s="1"/>
  <c r="Y634" i="1"/>
  <c r="Z634" i="1" s="1"/>
  <c r="J112" i="1"/>
  <c r="AB633" i="1"/>
  <c r="AC633" i="1" s="1"/>
  <c r="Y633" i="1"/>
  <c r="Z633" i="1" s="1"/>
  <c r="S635" i="1"/>
  <c r="T635" i="1"/>
  <c r="U635" i="1"/>
  <c r="V635" i="1"/>
  <c r="W635" i="1"/>
  <c r="S634" i="1"/>
  <c r="T634" i="1"/>
  <c r="U634" i="1"/>
  <c r="V634" i="1"/>
  <c r="W634" i="1"/>
  <c r="S633" i="1"/>
  <c r="T633" i="1"/>
  <c r="U633" i="1"/>
  <c r="V633" i="1"/>
  <c r="W633" i="1"/>
  <c r="AB632" i="1"/>
  <c r="AC632" i="1" s="1"/>
  <c r="Y632" i="1"/>
  <c r="Z632" i="1" s="1"/>
  <c r="AB631" i="1"/>
  <c r="AC631" i="1" s="1"/>
  <c r="Y631" i="1"/>
  <c r="Z631" i="1" s="1"/>
  <c r="S632" i="1"/>
  <c r="T632" i="1"/>
  <c r="U632" i="1"/>
  <c r="V632" i="1"/>
  <c r="W632" i="1"/>
  <c r="S631" i="1"/>
  <c r="T631" i="1"/>
  <c r="U631" i="1"/>
  <c r="V631" i="1"/>
  <c r="W631" i="1"/>
  <c r="AB630" i="1"/>
  <c r="AC630" i="1" s="1"/>
  <c r="Y630" i="1"/>
  <c r="Z630" i="1" s="1"/>
  <c r="AB629" i="1"/>
  <c r="AC629" i="1" s="1"/>
  <c r="Y629" i="1"/>
  <c r="Z629" i="1" s="1"/>
  <c r="S630" i="1"/>
  <c r="T630" i="1"/>
  <c r="U630" i="1"/>
  <c r="V630" i="1"/>
  <c r="W630" i="1"/>
  <c r="S629" i="1"/>
  <c r="T629" i="1"/>
  <c r="U629" i="1"/>
  <c r="V629" i="1"/>
  <c r="W629" i="1"/>
  <c r="AB628" i="1"/>
  <c r="AC628" i="1" s="1"/>
  <c r="Y628" i="1"/>
  <c r="Z628" i="1" s="1"/>
  <c r="S628" i="1"/>
  <c r="T628" i="1"/>
  <c r="U628" i="1"/>
  <c r="V628" i="1"/>
  <c r="W628" i="1"/>
  <c r="AB627" i="1"/>
  <c r="AC627" i="1" s="1"/>
  <c r="Y627" i="1"/>
  <c r="Z627" i="1" s="1"/>
  <c r="AB626" i="1"/>
  <c r="AC626" i="1" s="1"/>
  <c r="Y626" i="1"/>
  <c r="Z626" i="1" s="1"/>
  <c r="S627" i="1"/>
  <c r="T627" i="1"/>
  <c r="U627" i="1"/>
  <c r="V627" i="1"/>
  <c r="W627" i="1"/>
  <c r="S626" i="1"/>
  <c r="T626" i="1"/>
  <c r="U626" i="1"/>
  <c r="V626" i="1"/>
  <c r="W626" i="1"/>
  <c r="AB625" i="1"/>
  <c r="AC625" i="1" s="1"/>
  <c r="Y625" i="1"/>
  <c r="Z625" i="1" s="1"/>
  <c r="AB624" i="1"/>
  <c r="AC624" i="1" s="1"/>
  <c r="Y624" i="1"/>
  <c r="Z624" i="1" s="1"/>
  <c r="S625" i="1"/>
  <c r="T625" i="1"/>
  <c r="U625" i="1"/>
  <c r="V625" i="1"/>
  <c r="W625" i="1"/>
  <c r="S624" i="1"/>
  <c r="T624" i="1"/>
  <c r="U624" i="1"/>
  <c r="V624" i="1"/>
  <c r="W624" i="1"/>
  <c r="AB623" i="1"/>
  <c r="AC623" i="1" s="1"/>
  <c r="Y623" i="1"/>
  <c r="Z623" i="1" s="1"/>
  <c r="AB622" i="1"/>
  <c r="AC622" i="1" s="1"/>
  <c r="Y622" i="1"/>
  <c r="Z622" i="1" s="1"/>
  <c r="S622" i="1"/>
  <c r="S623" i="1"/>
  <c r="T622" i="1"/>
  <c r="T623" i="1"/>
  <c r="U622" i="1"/>
  <c r="U623" i="1"/>
  <c r="V622" i="1"/>
  <c r="V623" i="1"/>
  <c r="W622" i="1"/>
  <c r="W623" i="1"/>
  <c r="AB621" i="1"/>
  <c r="AC621" i="1" s="1"/>
  <c r="Y621" i="1"/>
  <c r="Z621" i="1" s="1"/>
  <c r="S621" i="1"/>
  <c r="T621" i="1"/>
  <c r="U621" i="1"/>
  <c r="V621" i="1"/>
  <c r="W621" i="1"/>
  <c r="AB620" i="1"/>
  <c r="AC620" i="1" s="1"/>
  <c r="Y620" i="1"/>
  <c r="Z620" i="1" s="1"/>
  <c r="S620" i="1"/>
  <c r="T620" i="1"/>
  <c r="U620" i="1"/>
  <c r="V620" i="1"/>
  <c r="W620" i="1"/>
  <c r="AB619" i="1"/>
  <c r="AC619" i="1" s="1"/>
  <c r="Y619" i="1"/>
  <c r="Z619" i="1" s="1"/>
  <c r="S619" i="1"/>
  <c r="T619" i="1"/>
  <c r="U619" i="1"/>
  <c r="V619" i="1"/>
  <c r="W619" i="1"/>
  <c r="AB618" i="1"/>
  <c r="AC618" i="1" s="1"/>
  <c r="Y618" i="1"/>
  <c r="Z618" i="1" s="1"/>
  <c r="S618" i="1"/>
  <c r="T618" i="1"/>
  <c r="U618" i="1"/>
  <c r="V618" i="1"/>
  <c r="W618" i="1"/>
  <c r="AB29" i="1"/>
  <c r="AC29" i="1" s="1"/>
  <c r="Y29" i="1"/>
  <c r="Z29" i="1" s="1"/>
  <c r="AB617" i="1"/>
  <c r="AC617" i="1" s="1"/>
  <c r="Y617" i="1"/>
  <c r="Z617" i="1" s="1"/>
  <c r="AB616" i="1"/>
  <c r="AC616" i="1" s="1"/>
  <c r="Y616" i="1"/>
  <c r="Z616" i="1" s="1"/>
  <c r="S29" i="1"/>
  <c r="T29" i="1"/>
  <c r="U29" i="1"/>
  <c r="V29" i="1"/>
  <c r="W29" i="1"/>
  <c r="S617" i="1"/>
  <c r="T617" i="1"/>
  <c r="U617" i="1"/>
  <c r="V617" i="1"/>
  <c r="W617" i="1"/>
  <c r="S616" i="1"/>
  <c r="T616" i="1"/>
  <c r="U616" i="1"/>
  <c r="V616" i="1"/>
  <c r="W616" i="1"/>
  <c r="AB615" i="1"/>
  <c r="AC615" i="1" s="1"/>
  <c r="Y615" i="1"/>
  <c r="Z615" i="1" s="1"/>
  <c r="AB614" i="1"/>
  <c r="AC614" i="1" s="1"/>
  <c r="Y614" i="1"/>
  <c r="Z614" i="1" s="1"/>
  <c r="S615" i="1"/>
  <c r="T615" i="1"/>
  <c r="U615" i="1"/>
  <c r="V615" i="1"/>
  <c r="W615" i="1"/>
  <c r="S614" i="1"/>
  <c r="T614" i="1"/>
  <c r="U614" i="1"/>
  <c r="V614" i="1"/>
  <c r="W614" i="1"/>
  <c r="AB613" i="1"/>
  <c r="AC613" i="1" s="1"/>
  <c r="Y613" i="1"/>
  <c r="Z613" i="1" s="1"/>
  <c r="S613" i="1"/>
  <c r="T613" i="1"/>
  <c r="U613" i="1"/>
  <c r="V613" i="1"/>
  <c r="W613" i="1"/>
  <c r="J612" i="1"/>
  <c r="AB612" i="1"/>
  <c r="AC612" i="1" s="1"/>
  <c r="Y612" i="1"/>
  <c r="Z612" i="1" s="1"/>
  <c r="S612" i="1"/>
  <c r="T612" i="1"/>
  <c r="U612" i="1"/>
  <c r="V612" i="1"/>
  <c r="W612" i="1"/>
  <c r="AB611" i="1"/>
  <c r="AC611" i="1" s="1"/>
  <c r="Y611" i="1"/>
  <c r="Z611" i="1" s="1"/>
  <c r="AB610" i="1"/>
  <c r="AC610" i="1" s="1"/>
  <c r="Y610" i="1"/>
  <c r="Z610" i="1" s="1"/>
  <c r="AB609" i="1"/>
  <c r="AC609" i="1" s="1"/>
  <c r="Y609" i="1"/>
  <c r="Z609" i="1" s="1"/>
  <c r="AB608" i="1"/>
  <c r="AC608" i="1" s="1"/>
  <c r="Y608" i="1"/>
  <c r="Z608" i="1" s="1"/>
  <c r="AB607" i="1"/>
  <c r="AC607" i="1" s="1"/>
  <c r="Y607" i="1"/>
  <c r="Z607" i="1" s="1"/>
  <c r="AB606" i="1"/>
  <c r="AC606" i="1" s="1"/>
  <c r="Y606" i="1"/>
  <c r="Z606" i="1" s="1"/>
  <c r="AB605" i="1"/>
  <c r="AC605" i="1" s="1"/>
  <c r="Y605" i="1"/>
  <c r="Z605" i="1" s="1"/>
  <c r="S606" i="1"/>
  <c r="S607" i="1"/>
  <c r="S608" i="1"/>
  <c r="S609" i="1"/>
  <c r="S610" i="1"/>
  <c r="S611" i="1"/>
  <c r="T606" i="1"/>
  <c r="T607" i="1"/>
  <c r="T608" i="1"/>
  <c r="T609" i="1"/>
  <c r="T610" i="1"/>
  <c r="T611" i="1"/>
  <c r="U606" i="1"/>
  <c r="U607" i="1"/>
  <c r="U608" i="1"/>
  <c r="U609" i="1"/>
  <c r="U610" i="1"/>
  <c r="U611" i="1"/>
  <c r="V606" i="1"/>
  <c r="V607" i="1"/>
  <c r="V608" i="1"/>
  <c r="V609" i="1"/>
  <c r="V610" i="1"/>
  <c r="V611" i="1"/>
  <c r="W606" i="1"/>
  <c r="W607" i="1"/>
  <c r="W608" i="1"/>
  <c r="W609" i="1"/>
  <c r="W610" i="1"/>
  <c r="W611" i="1"/>
  <c r="S605" i="1"/>
  <c r="T605" i="1"/>
  <c r="U605" i="1"/>
  <c r="V605" i="1"/>
  <c r="W605" i="1"/>
  <c r="Y604" i="1"/>
  <c r="Z604" i="1" s="1"/>
  <c r="AB604" i="1"/>
  <c r="AC604" i="1" s="1"/>
  <c r="S604" i="1"/>
  <c r="T604" i="1"/>
  <c r="U604" i="1"/>
  <c r="V604" i="1"/>
  <c r="W604" i="1"/>
  <c r="AB603" i="1"/>
  <c r="AC603" i="1" s="1"/>
  <c r="Y603" i="1"/>
  <c r="Z603" i="1" s="1"/>
  <c r="S603" i="1"/>
  <c r="T603" i="1"/>
  <c r="U603" i="1"/>
  <c r="V603" i="1"/>
  <c r="W603" i="1"/>
  <c r="AB602" i="1"/>
  <c r="AC602" i="1" s="1"/>
  <c r="Y602" i="1"/>
  <c r="Z602" i="1" s="1"/>
  <c r="AB601" i="1"/>
  <c r="AC601" i="1" s="1"/>
  <c r="Y601" i="1"/>
  <c r="Z601" i="1" s="1"/>
  <c r="S602" i="1"/>
  <c r="T602" i="1"/>
  <c r="U602" i="1"/>
  <c r="V602" i="1"/>
  <c r="W602" i="1"/>
  <c r="S601" i="1"/>
  <c r="T601" i="1"/>
  <c r="U601" i="1"/>
  <c r="V601" i="1"/>
  <c r="W601" i="1"/>
  <c r="AB600" i="1"/>
  <c r="AC600" i="1" s="1"/>
  <c r="AB599" i="1"/>
  <c r="AC599" i="1" s="1"/>
  <c r="AB598" i="1"/>
  <c r="AC598" i="1" s="1"/>
  <c r="AB597" i="1"/>
  <c r="AC597" i="1" s="1"/>
  <c r="AB596" i="1"/>
  <c r="AC596" i="1" s="1"/>
  <c r="AB595" i="1"/>
  <c r="AC595" i="1" s="1"/>
  <c r="AB594" i="1"/>
  <c r="AC594" i="1" s="1"/>
  <c r="AB593" i="1"/>
  <c r="AC593" i="1" s="1"/>
  <c r="AB592" i="1"/>
  <c r="AC592" i="1" s="1"/>
  <c r="AB591" i="1"/>
  <c r="AC591" i="1" s="1"/>
  <c r="Y600" i="1"/>
  <c r="Z600" i="1" s="1"/>
  <c r="Y599" i="1"/>
  <c r="Z599" i="1" s="1"/>
  <c r="Y598" i="1"/>
  <c r="Z598" i="1" s="1"/>
  <c r="Y597" i="1"/>
  <c r="Z597" i="1" s="1"/>
  <c r="Y596" i="1"/>
  <c r="Z596" i="1" s="1"/>
  <c r="Y595" i="1"/>
  <c r="Z595" i="1" s="1"/>
  <c r="Y594" i="1"/>
  <c r="Z594" i="1" s="1"/>
  <c r="Y593" i="1"/>
  <c r="Z593" i="1" s="1"/>
  <c r="Y592" i="1"/>
  <c r="Z592" i="1" s="1"/>
  <c r="Y591" i="1"/>
  <c r="Z591" i="1" s="1"/>
  <c r="S600" i="1"/>
  <c r="T600" i="1"/>
  <c r="U600" i="1"/>
  <c r="V600" i="1"/>
  <c r="W600" i="1"/>
  <c r="S599" i="1"/>
  <c r="T599" i="1"/>
  <c r="U599" i="1"/>
  <c r="V599" i="1"/>
  <c r="W599" i="1"/>
  <c r="S598" i="1"/>
  <c r="T598" i="1"/>
  <c r="U598" i="1"/>
  <c r="V598" i="1"/>
  <c r="W598" i="1"/>
  <c r="S597" i="1"/>
  <c r="T597" i="1"/>
  <c r="U597" i="1"/>
  <c r="V597" i="1"/>
  <c r="W597" i="1"/>
  <c r="S596" i="1"/>
  <c r="T596" i="1"/>
  <c r="U596" i="1"/>
  <c r="V596" i="1"/>
  <c r="W596" i="1"/>
  <c r="S595" i="1"/>
  <c r="T595" i="1"/>
  <c r="U595" i="1"/>
  <c r="V595" i="1"/>
  <c r="W595" i="1"/>
  <c r="S594" i="1"/>
  <c r="T594" i="1"/>
  <c r="U594" i="1"/>
  <c r="V594" i="1"/>
  <c r="W594" i="1"/>
  <c r="S593" i="1"/>
  <c r="T593" i="1"/>
  <c r="U593" i="1"/>
  <c r="V593" i="1"/>
  <c r="W593" i="1"/>
  <c r="S592" i="1"/>
  <c r="T592" i="1"/>
  <c r="U592" i="1"/>
  <c r="V592" i="1"/>
  <c r="W592" i="1"/>
  <c r="S591" i="1"/>
  <c r="T591" i="1"/>
  <c r="U591" i="1"/>
  <c r="V591" i="1"/>
  <c r="W591" i="1"/>
  <c r="AB590" i="1"/>
  <c r="AC590" i="1" s="1"/>
  <c r="AB589" i="1"/>
  <c r="AC589" i="1" s="1"/>
  <c r="Y590" i="1"/>
  <c r="Z590" i="1" s="1"/>
  <c r="Y589" i="1"/>
  <c r="Z589" i="1" s="1"/>
  <c r="S590" i="1"/>
  <c r="T590" i="1"/>
  <c r="U590" i="1"/>
  <c r="V590" i="1"/>
  <c r="W590" i="1"/>
  <c r="S589" i="1"/>
  <c r="T589" i="1"/>
  <c r="U589" i="1"/>
  <c r="V589" i="1"/>
  <c r="W589" i="1"/>
  <c r="Y387" i="1"/>
  <c r="Z387" i="1" s="1"/>
  <c r="AB588" i="1"/>
  <c r="AC588" i="1" s="1"/>
  <c r="AB587" i="1"/>
  <c r="AC587" i="1" s="1"/>
  <c r="Y588" i="1"/>
  <c r="Z588" i="1" s="1"/>
  <c r="Y587" i="1"/>
  <c r="Z587" i="1" s="1"/>
  <c r="S588" i="1"/>
  <c r="T588" i="1"/>
  <c r="U588" i="1"/>
  <c r="V588" i="1"/>
  <c r="W588" i="1"/>
  <c r="S587" i="1"/>
  <c r="T587" i="1"/>
  <c r="U587" i="1"/>
  <c r="V587" i="1"/>
  <c r="W587" i="1"/>
  <c r="Y586" i="1"/>
  <c r="Z586" i="1" s="1"/>
  <c r="AB586" i="1"/>
  <c r="AC586" i="1" s="1"/>
  <c r="Y585" i="1"/>
  <c r="Z585" i="1" s="1"/>
  <c r="AB585" i="1"/>
  <c r="AC585" i="1" s="1"/>
  <c r="S586" i="1"/>
  <c r="T586" i="1"/>
  <c r="U586" i="1"/>
  <c r="V586" i="1"/>
  <c r="W586" i="1"/>
  <c r="S585" i="1"/>
  <c r="T585" i="1"/>
  <c r="U585" i="1"/>
  <c r="V585" i="1"/>
  <c r="W585" i="1"/>
  <c r="Y584" i="1"/>
  <c r="Z584" i="1" s="1"/>
  <c r="AB584" i="1"/>
  <c r="AC584" i="1" s="1"/>
  <c r="Y583" i="1"/>
  <c r="Z583" i="1" s="1"/>
  <c r="AB583" i="1"/>
  <c r="AC583" i="1" s="1"/>
  <c r="Y582" i="1"/>
  <c r="Z582" i="1" s="1"/>
  <c r="AB582" i="1"/>
  <c r="AC582" i="1" s="1"/>
  <c r="Y581" i="1"/>
  <c r="Z581" i="1" s="1"/>
  <c r="AB581" i="1"/>
  <c r="AC581" i="1" s="1"/>
  <c r="Y580" i="1"/>
  <c r="Z580" i="1" s="1"/>
  <c r="AB580" i="1"/>
  <c r="AC580" i="1" s="1"/>
  <c r="S584" i="1"/>
  <c r="T584" i="1"/>
  <c r="U584" i="1"/>
  <c r="V584" i="1"/>
  <c r="W584" i="1"/>
  <c r="S583" i="1"/>
  <c r="T583" i="1"/>
  <c r="U583" i="1"/>
  <c r="V583" i="1"/>
  <c r="W583" i="1"/>
  <c r="S582" i="1"/>
  <c r="T582" i="1"/>
  <c r="U582" i="1"/>
  <c r="V582" i="1"/>
  <c r="W582" i="1"/>
  <c r="S581" i="1"/>
  <c r="T581" i="1"/>
  <c r="U581" i="1"/>
  <c r="V581" i="1"/>
  <c r="W581" i="1"/>
  <c r="S580" i="1"/>
  <c r="T580" i="1"/>
  <c r="U580" i="1"/>
  <c r="V580" i="1"/>
  <c r="W580" i="1"/>
  <c r="AB579" i="1"/>
  <c r="AC579" i="1" s="1"/>
  <c r="Y579" i="1"/>
  <c r="Z579" i="1" s="1"/>
  <c r="S579" i="1"/>
  <c r="T579" i="1"/>
  <c r="U579" i="1"/>
  <c r="V579" i="1"/>
  <c r="W579" i="1"/>
  <c r="AB578" i="1"/>
  <c r="AC578" i="1" s="1"/>
  <c r="Y578" i="1"/>
  <c r="Z578" i="1" s="1"/>
  <c r="S578" i="1"/>
  <c r="T578" i="1"/>
  <c r="U578" i="1"/>
  <c r="V578" i="1"/>
  <c r="W578" i="1"/>
  <c r="AB577" i="1"/>
  <c r="AC577" i="1" s="1"/>
  <c r="Y577" i="1"/>
  <c r="Z577" i="1" s="1"/>
  <c r="S577" i="1"/>
  <c r="T577" i="1"/>
  <c r="U577" i="1"/>
  <c r="V577" i="1"/>
  <c r="W577" i="1"/>
  <c r="AB576" i="1"/>
  <c r="AC576" i="1" s="1"/>
  <c r="AB575" i="1"/>
  <c r="AC575" i="1" s="1"/>
  <c r="Y576" i="1"/>
  <c r="Z576" i="1" s="1"/>
  <c r="Y575" i="1"/>
  <c r="Z575" i="1" s="1"/>
  <c r="S576" i="1"/>
  <c r="T576" i="1"/>
  <c r="U576" i="1"/>
  <c r="V576" i="1"/>
  <c r="W576" i="1"/>
  <c r="S575" i="1"/>
  <c r="T575" i="1"/>
  <c r="U575" i="1"/>
  <c r="V575" i="1"/>
  <c r="W575" i="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AB552" i="1"/>
  <c r="AC552" i="1" s="1"/>
  <c r="AB551" i="1"/>
  <c r="AC551" i="1" s="1"/>
  <c r="AB550" i="1"/>
  <c r="AC550" i="1" s="1"/>
  <c r="AB549" i="1"/>
  <c r="AC549" i="1" s="1"/>
  <c r="AB548" i="1"/>
  <c r="AC548" i="1" s="1"/>
  <c r="AB547" i="1"/>
  <c r="AC547" i="1" s="1"/>
  <c r="AB546" i="1"/>
  <c r="AC546" i="1" s="1"/>
  <c r="Y574" i="1"/>
  <c r="Z574" i="1" s="1"/>
  <c r="Y573" i="1"/>
  <c r="Z573" i="1" s="1"/>
  <c r="Y572" i="1"/>
  <c r="Z572" i="1" s="1"/>
  <c r="Y571" i="1"/>
  <c r="Z571" i="1" s="1"/>
  <c r="Y570" i="1"/>
  <c r="Z570" i="1" s="1"/>
  <c r="Y569" i="1"/>
  <c r="Z569" i="1" s="1"/>
  <c r="Y568" i="1"/>
  <c r="Z568" i="1" s="1"/>
  <c r="Y567" i="1"/>
  <c r="Z567" i="1" s="1"/>
  <c r="Y566" i="1"/>
  <c r="Z566" i="1" s="1"/>
  <c r="Y565" i="1"/>
  <c r="Z565" i="1" s="1"/>
  <c r="Y564" i="1"/>
  <c r="Z564" i="1" s="1"/>
  <c r="Y563" i="1"/>
  <c r="Z563" i="1" s="1"/>
  <c r="Y562" i="1"/>
  <c r="Z562" i="1" s="1"/>
  <c r="Y561" i="1"/>
  <c r="Z561" i="1" s="1"/>
  <c r="Y560" i="1"/>
  <c r="Z560" i="1" s="1"/>
  <c r="Y559" i="1"/>
  <c r="Z559" i="1" s="1"/>
  <c r="Y558" i="1"/>
  <c r="Z558" i="1" s="1"/>
  <c r="Y557" i="1"/>
  <c r="Z557" i="1" s="1"/>
  <c r="Y556" i="1"/>
  <c r="Z556" i="1" s="1"/>
  <c r="Y555" i="1"/>
  <c r="Z555" i="1" s="1"/>
  <c r="Y554" i="1"/>
  <c r="Z554" i="1" s="1"/>
  <c r="Y553" i="1"/>
  <c r="Z553" i="1" s="1"/>
  <c r="Y552" i="1"/>
  <c r="Z552" i="1" s="1"/>
  <c r="Y551" i="1"/>
  <c r="Z551" i="1" s="1"/>
  <c r="Y550" i="1"/>
  <c r="Z550" i="1" s="1"/>
  <c r="Y549" i="1"/>
  <c r="Z549" i="1" s="1"/>
  <c r="Y548" i="1"/>
  <c r="Z548" i="1" s="1"/>
  <c r="Y547" i="1"/>
  <c r="Z547" i="1" s="1"/>
  <c r="Y546" i="1"/>
  <c r="Z546" i="1" s="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AB545" i="1"/>
  <c r="AC545" i="1" s="1"/>
  <c r="AB544" i="1"/>
  <c r="AC544" i="1" s="1"/>
  <c r="AB543" i="1"/>
  <c r="AC543" i="1" s="1"/>
  <c r="AB542" i="1"/>
  <c r="AC542" i="1" s="1"/>
  <c r="AB541" i="1"/>
  <c r="AC541" i="1" s="1"/>
  <c r="AB540" i="1"/>
  <c r="AC540" i="1" s="1"/>
  <c r="AB539" i="1"/>
  <c r="AC539" i="1" s="1"/>
  <c r="Y539" i="1"/>
  <c r="Z539" i="1" s="1"/>
  <c r="AB538" i="1"/>
  <c r="AC538" i="1" s="1"/>
  <c r="AB537" i="1"/>
  <c r="AC537" i="1" s="1"/>
  <c r="AB536" i="1"/>
  <c r="AC536" i="1" s="1"/>
  <c r="AB535" i="1"/>
  <c r="AC535" i="1" s="1"/>
  <c r="AB534" i="1"/>
  <c r="AC534" i="1" s="1"/>
  <c r="AB533" i="1"/>
  <c r="AC533" i="1" s="1"/>
  <c r="AB532" i="1"/>
  <c r="AC532" i="1" s="1"/>
  <c r="AB531" i="1"/>
  <c r="AC531" i="1" s="1"/>
  <c r="Y531" i="1"/>
  <c r="Z531" i="1" s="1"/>
  <c r="AB530" i="1"/>
  <c r="AC530" i="1" s="1"/>
  <c r="AB529" i="1"/>
  <c r="AC529" i="1" s="1"/>
  <c r="AB528" i="1"/>
  <c r="AC528" i="1" s="1"/>
  <c r="AB527" i="1"/>
  <c r="AC527" i="1" s="1"/>
  <c r="AB526" i="1"/>
  <c r="AC526" i="1" s="1"/>
  <c r="AB28" i="1"/>
  <c r="AC28" i="1" s="1"/>
  <c r="AB27" i="1"/>
  <c r="AC27" i="1" s="1"/>
  <c r="AB525" i="1"/>
  <c r="AC525" i="1" s="1"/>
  <c r="AB524" i="1"/>
  <c r="AC524" i="1" s="1"/>
  <c r="AB523" i="1"/>
  <c r="AC523" i="1" s="1"/>
  <c r="Y545" i="1"/>
  <c r="Z545" i="1" s="1"/>
  <c r="Y544" i="1"/>
  <c r="Z544" i="1" s="1"/>
  <c r="Y543" i="1"/>
  <c r="Z543" i="1" s="1"/>
  <c r="Y542" i="1"/>
  <c r="Z542" i="1" s="1"/>
  <c r="Y541" i="1"/>
  <c r="Z541" i="1" s="1"/>
  <c r="Y540" i="1"/>
  <c r="Z540" i="1" s="1"/>
  <c r="Y538" i="1"/>
  <c r="Z538" i="1" s="1"/>
  <c r="Y537" i="1"/>
  <c r="Z537" i="1" s="1"/>
  <c r="Y536" i="1"/>
  <c r="Z536" i="1" s="1"/>
  <c r="Y535" i="1"/>
  <c r="Z535" i="1" s="1"/>
  <c r="Y534" i="1"/>
  <c r="Z534" i="1" s="1"/>
  <c r="Y533" i="1"/>
  <c r="Z533" i="1" s="1"/>
  <c r="Y532" i="1"/>
  <c r="Z532" i="1" s="1"/>
  <c r="Y530" i="1"/>
  <c r="Z530" i="1" s="1"/>
  <c r="Y529" i="1"/>
  <c r="Z529" i="1" s="1"/>
  <c r="Y528" i="1"/>
  <c r="Z528" i="1" s="1"/>
  <c r="Y527" i="1"/>
  <c r="Z527" i="1" s="1"/>
  <c r="Y526" i="1"/>
  <c r="Z526" i="1" s="1"/>
  <c r="Y28" i="1"/>
  <c r="Z28" i="1" s="1"/>
  <c r="Y27" i="1"/>
  <c r="Z27" i="1" s="1"/>
  <c r="Y525" i="1"/>
  <c r="Z525" i="1" s="1"/>
  <c r="Y524" i="1"/>
  <c r="Z524" i="1" s="1"/>
  <c r="Y523" i="1"/>
  <c r="Z523" i="1" s="1"/>
  <c r="S28" i="1"/>
  <c r="S526" i="1"/>
  <c r="S527" i="1"/>
  <c r="S528" i="1"/>
  <c r="S529" i="1"/>
  <c r="S530" i="1"/>
  <c r="S531" i="1"/>
  <c r="S532" i="1"/>
  <c r="S533" i="1"/>
  <c r="S534" i="1"/>
  <c r="S535" i="1"/>
  <c r="T535" i="1"/>
  <c r="S536" i="1"/>
  <c r="S537" i="1"/>
  <c r="S538" i="1"/>
  <c r="S539" i="1"/>
  <c r="S540" i="1"/>
  <c r="S541" i="1"/>
  <c r="S542" i="1"/>
  <c r="S543" i="1"/>
  <c r="S544" i="1"/>
  <c r="S545" i="1"/>
  <c r="T28" i="1"/>
  <c r="T526" i="1"/>
  <c r="T527" i="1"/>
  <c r="T528" i="1"/>
  <c r="T529" i="1"/>
  <c r="T530" i="1"/>
  <c r="T531" i="1"/>
  <c r="T532" i="1"/>
  <c r="T533" i="1"/>
  <c r="T534" i="1"/>
  <c r="T536" i="1"/>
  <c r="T537" i="1"/>
  <c r="T538" i="1"/>
  <c r="T539" i="1"/>
  <c r="T540" i="1"/>
  <c r="T541" i="1"/>
  <c r="T542" i="1"/>
  <c r="T543" i="1"/>
  <c r="T544" i="1"/>
  <c r="T545" i="1"/>
  <c r="U28" i="1"/>
  <c r="U526" i="1"/>
  <c r="U527" i="1"/>
  <c r="U528" i="1"/>
  <c r="U529" i="1"/>
  <c r="U530" i="1"/>
  <c r="U531" i="1"/>
  <c r="U532" i="1"/>
  <c r="U533" i="1"/>
  <c r="U534" i="1"/>
  <c r="U535" i="1"/>
  <c r="U536" i="1"/>
  <c r="U537" i="1"/>
  <c r="U538" i="1"/>
  <c r="U539" i="1"/>
  <c r="U540" i="1"/>
  <c r="U541" i="1"/>
  <c r="U542" i="1"/>
  <c r="U543" i="1"/>
  <c r="U544" i="1"/>
  <c r="U545" i="1"/>
  <c r="V28" i="1"/>
  <c r="V526" i="1"/>
  <c r="V527" i="1"/>
  <c r="V528" i="1"/>
  <c r="V529" i="1"/>
  <c r="V530" i="1"/>
  <c r="V531" i="1"/>
  <c r="V532" i="1"/>
  <c r="V533" i="1"/>
  <c r="V534" i="1"/>
  <c r="V535" i="1"/>
  <c r="V536" i="1"/>
  <c r="V537" i="1"/>
  <c r="V538" i="1"/>
  <c r="V539" i="1"/>
  <c r="V540" i="1"/>
  <c r="V541" i="1"/>
  <c r="V542" i="1"/>
  <c r="V543" i="1"/>
  <c r="V544" i="1"/>
  <c r="V545" i="1"/>
  <c r="W28" i="1"/>
  <c r="W526" i="1"/>
  <c r="W527" i="1"/>
  <c r="W528" i="1"/>
  <c r="W529" i="1"/>
  <c r="W530" i="1"/>
  <c r="W531" i="1"/>
  <c r="W532" i="1"/>
  <c r="W533" i="1"/>
  <c r="W534" i="1"/>
  <c r="W535" i="1"/>
  <c r="W536" i="1"/>
  <c r="W537" i="1"/>
  <c r="W538" i="1"/>
  <c r="W539" i="1"/>
  <c r="W540" i="1"/>
  <c r="W541" i="1"/>
  <c r="W542" i="1"/>
  <c r="W543" i="1"/>
  <c r="W544" i="1"/>
  <c r="W545" i="1"/>
  <c r="S27" i="1"/>
  <c r="T27" i="1"/>
  <c r="U27" i="1"/>
  <c r="V27" i="1"/>
  <c r="W27" i="1"/>
  <c r="S525" i="1"/>
  <c r="T525" i="1"/>
  <c r="U525" i="1"/>
  <c r="V525" i="1"/>
  <c r="W525" i="1"/>
  <c r="S524" i="1"/>
  <c r="T524" i="1"/>
  <c r="U524" i="1"/>
  <c r="V524" i="1"/>
  <c r="W524" i="1"/>
  <c r="S523" i="1"/>
  <c r="T523" i="1"/>
  <c r="U523" i="1"/>
  <c r="V523" i="1"/>
  <c r="W523" i="1"/>
  <c r="AB285" i="1"/>
  <c r="AC285" i="1" s="1"/>
  <c r="AB284" i="1"/>
  <c r="AC284" i="1" s="1"/>
  <c r="AB283" i="1"/>
  <c r="AC283" i="1" s="1"/>
  <c r="AB282" i="1"/>
  <c r="AC282" i="1" s="1"/>
  <c r="AB281" i="1"/>
  <c r="AC281" i="1" s="1"/>
  <c r="AB280" i="1"/>
  <c r="AC280" i="1" s="1"/>
  <c r="AB25" i="1"/>
  <c r="AC25" i="1" s="1"/>
  <c r="AB279" i="1"/>
  <c r="AC279" i="1" s="1"/>
  <c r="AB24" i="1"/>
  <c r="AC24" i="1" s="1"/>
  <c r="AB278" i="1"/>
  <c r="AC278" i="1" s="1"/>
  <c r="AB23" i="1"/>
  <c r="AC23" i="1" s="1"/>
  <c r="AB22" i="1"/>
  <c r="AC22" i="1" s="1"/>
  <c r="AB21" i="1"/>
  <c r="AC21" i="1" s="1"/>
  <c r="AB20" i="1"/>
  <c r="AC20" i="1" s="1"/>
  <c r="AB277" i="1"/>
  <c r="AC277" i="1" s="1"/>
  <c r="AB19" i="1"/>
  <c r="AC19" i="1" s="1"/>
  <c r="AB18" i="1"/>
  <c r="AC18" i="1" s="1"/>
  <c r="AB17" i="1"/>
  <c r="AC1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499" i="1"/>
  <c r="AC499" i="1" s="1"/>
  <c r="AB498" i="1"/>
  <c r="AC498" i="1" s="1"/>
  <c r="AB497" i="1"/>
  <c r="AC497" i="1" s="1"/>
  <c r="AB496" i="1"/>
  <c r="AC496" i="1" s="1"/>
  <c r="AB477" i="1"/>
  <c r="AC477"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12" i="1"/>
  <c r="AC12" i="1" s="1"/>
  <c r="AB91" i="1"/>
  <c r="AC91" i="1" s="1"/>
  <c r="AB522" i="1"/>
  <c r="AC522" i="1" s="1"/>
  <c r="AB521" i="1"/>
  <c r="AC521" i="1" s="1"/>
  <c r="AB520" i="1"/>
  <c r="AC520" i="1" s="1"/>
  <c r="AB519" i="1"/>
  <c r="AC519" i="1" s="1"/>
  <c r="AB518" i="1"/>
  <c r="AC518" i="1" s="1"/>
  <c r="AB26" i="1"/>
  <c r="AC26" i="1" s="1"/>
  <c r="AB490" i="1"/>
  <c r="AC490" i="1" s="1"/>
  <c r="AB489" i="1"/>
  <c r="AC489" i="1" s="1"/>
  <c r="AB488" i="1"/>
  <c r="AC488" i="1" s="1"/>
  <c r="AB487" i="1"/>
  <c r="AC487" i="1" s="1"/>
  <c r="AB486" i="1"/>
  <c r="AC486" i="1" s="1"/>
  <c r="AB517" i="1"/>
  <c r="AC517" i="1" s="1"/>
  <c r="AB485" i="1"/>
  <c r="AC485" i="1" s="1"/>
  <c r="AB504" i="1"/>
  <c r="AC504" i="1" s="1"/>
  <c r="AB484" i="1"/>
  <c r="AC484" i="1" s="1"/>
  <c r="AB508" i="1"/>
  <c r="AC508" i="1" s="1"/>
  <c r="AB483" i="1"/>
  <c r="AC483" i="1" s="1"/>
  <c r="AB473" i="1"/>
  <c r="AC473" i="1" s="1"/>
  <c r="AB472" i="1"/>
  <c r="AC472" i="1" s="1"/>
  <c r="AB482" i="1"/>
  <c r="AC482" i="1" s="1"/>
  <c r="AB471" i="1"/>
  <c r="AC471" i="1" s="1"/>
  <c r="AB470" i="1"/>
  <c r="AC470"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513" i="1"/>
  <c r="AC513" i="1" s="1"/>
  <c r="AB512" i="1"/>
  <c r="AC512" i="1" s="1"/>
  <c r="AB511" i="1"/>
  <c r="AC511" i="1" s="1"/>
  <c r="AB505" i="1"/>
  <c r="AC505" i="1" s="1"/>
  <c r="AB510" i="1"/>
  <c r="AC510" i="1" s="1"/>
  <c r="AB509" i="1"/>
  <c r="AC509" i="1" s="1"/>
  <c r="AB287" i="1"/>
  <c r="AC287" i="1" s="1"/>
  <c r="AB501" i="1"/>
  <c r="AC501" i="1" s="1"/>
  <c r="AB500" i="1"/>
  <c r="AC500" i="1" s="1"/>
  <c r="AB286" i="1"/>
  <c r="AC286"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495" i="1"/>
  <c r="AC495" i="1" s="1"/>
  <c r="AB494" i="1"/>
  <c r="AC494" i="1" s="1"/>
  <c r="AB493" i="1"/>
  <c r="AC493" i="1" s="1"/>
  <c r="AB476" i="1"/>
  <c r="AC476" i="1" s="1"/>
  <c r="AB475" i="1"/>
  <c r="AC475" i="1" s="1"/>
  <c r="AB474" i="1"/>
  <c r="AC474" i="1" s="1"/>
  <c r="AB492" i="1"/>
  <c r="AC492" i="1" s="1"/>
  <c r="AB491" i="1"/>
  <c r="AC49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16" i="1"/>
  <c r="AC16" i="1" s="1"/>
  <c r="AB229" i="1"/>
  <c r="AC229" i="1" s="1"/>
  <c r="AB228" i="1"/>
  <c r="AC228" i="1" s="1"/>
  <c r="AB227" i="1"/>
  <c r="AC227" i="1" s="1"/>
  <c r="AB226" i="1"/>
  <c r="AC226" i="1" s="1"/>
  <c r="AB225" i="1"/>
  <c r="AC225" i="1" s="1"/>
  <c r="AB224" i="1"/>
  <c r="AC224" i="1" s="1"/>
  <c r="AB15" i="1"/>
  <c r="AC15" i="1" s="1"/>
  <c r="AB14" i="1"/>
  <c r="AC14" i="1" s="1"/>
  <c r="AB13" i="1"/>
  <c r="AC13"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507" i="1"/>
  <c r="AC507" i="1" s="1"/>
  <c r="AB481" i="1"/>
  <c r="AC481" i="1" s="1"/>
  <c r="AB480" i="1"/>
  <c r="AC480" i="1" s="1"/>
  <c r="AB516" i="1"/>
  <c r="AC516" i="1" s="1"/>
  <c r="AB435" i="1"/>
  <c r="AC435" i="1" s="1"/>
  <c r="AB515" i="1"/>
  <c r="AC515" i="1" s="1"/>
  <c r="AB65" i="1"/>
  <c r="AC65" i="1" s="1"/>
  <c r="AB503" i="1"/>
  <c r="AC503" i="1" s="1"/>
  <c r="AB479" i="1"/>
  <c r="AC479" i="1" s="1"/>
  <c r="AB478" i="1"/>
  <c r="AC478" i="1" s="1"/>
  <c r="AB506" i="1"/>
  <c r="AC506" i="1" s="1"/>
  <c r="AB434" i="1"/>
  <c r="AC434" i="1" s="1"/>
  <c r="AB514" i="1"/>
  <c r="AC514" i="1" s="1"/>
  <c r="AB64" i="1"/>
  <c r="AC64" i="1" s="1"/>
  <c r="AB63" i="1"/>
  <c r="AC63" i="1" s="1"/>
  <c r="AB62" i="1"/>
  <c r="AC62" i="1" s="1"/>
  <c r="AB61" i="1"/>
  <c r="AC61" i="1" s="1"/>
  <c r="AB60" i="1"/>
  <c r="AC60" i="1" s="1"/>
  <c r="AB59" i="1"/>
  <c r="AC59" i="1" s="1"/>
  <c r="AB58" i="1"/>
  <c r="AC58" i="1" s="1"/>
  <c r="AB57" i="1"/>
  <c r="AC57" i="1" s="1"/>
  <c r="AB433" i="1"/>
  <c r="AC433" i="1" s="1"/>
  <c r="AB56" i="1"/>
  <c r="AC56" i="1" s="1"/>
  <c r="AB432" i="1"/>
  <c r="AC432" i="1" s="1"/>
  <c r="AB431" i="1"/>
  <c r="AC431" i="1" s="1"/>
  <c r="AB430" i="1"/>
  <c r="AC430" i="1" s="1"/>
  <c r="AB429" i="1"/>
  <c r="AC429" i="1" s="1"/>
  <c r="AB55" i="1"/>
  <c r="AC55" i="1" s="1"/>
  <c r="AB54" i="1"/>
  <c r="AC54" i="1" s="1"/>
  <c r="AB53" i="1"/>
  <c r="AC53" i="1" s="1"/>
  <c r="AB52" i="1"/>
  <c r="AC52" i="1" s="1"/>
  <c r="AB51" i="1"/>
  <c r="AC51" i="1" s="1"/>
  <c r="AB428" i="1"/>
  <c r="AC428" i="1" s="1"/>
  <c r="AB50" i="1"/>
  <c r="AC50" i="1" s="1"/>
  <c r="AB427" i="1"/>
  <c r="AC427" i="1" s="1"/>
  <c r="AB49" i="1"/>
  <c r="AC49" i="1" s="1"/>
  <c r="AB48" i="1"/>
  <c r="AC48" i="1" s="1"/>
  <c r="AB426" i="1"/>
  <c r="AC426" i="1" s="1"/>
  <c r="AB425" i="1"/>
  <c r="AC425" i="1" s="1"/>
  <c r="AB47" i="1"/>
  <c r="AC47" i="1" s="1"/>
  <c r="AB46" i="1"/>
  <c r="AC46" i="1" s="1"/>
  <c r="AB45" i="1"/>
  <c r="AC45" i="1" s="1"/>
  <c r="AB90" i="1"/>
  <c r="AC90" i="1" s="1"/>
  <c r="AB89" i="1"/>
  <c r="AC89" i="1" s="1"/>
  <c r="AB88" i="1"/>
  <c r="AC88" i="1" s="1"/>
  <c r="AB87" i="1"/>
  <c r="AC87" i="1" s="1"/>
  <c r="AB86" i="1"/>
  <c r="AC86" i="1" s="1"/>
  <c r="AB446" i="1"/>
  <c r="AC446" i="1" s="1"/>
  <c r="AB445" i="1"/>
  <c r="AC445" i="1" s="1"/>
  <c r="AB444" i="1"/>
  <c r="AC444" i="1" s="1"/>
  <c r="AB443" i="1"/>
  <c r="AC443" i="1" s="1"/>
  <c r="AB442" i="1"/>
  <c r="AC442" i="1" s="1"/>
  <c r="AB441" i="1"/>
  <c r="AC441" i="1" s="1"/>
  <c r="AB440" i="1"/>
  <c r="AC440" i="1" s="1"/>
  <c r="AB439" i="1"/>
  <c r="AC439" i="1" s="1"/>
  <c r="AB438" i="1"/>
  <c r="AC438" i="1" s="1"/>
  <c r="AB437" i="1"/>
  <c r="AC437" i="1" s="1"/>
  <c r="AB436" i="1"/>
  <c r="AC436" i="1" s="1"/>
  <c r="AB469" i="1"/>
  <c r="AC469" i="1" s="1"/>
  <c r="AB468" i="1"/>
  <c r="AC468" i="1" s="1"/>
  <c r="AB467" i="1"/>
  <c r="AC467" i="1" s="1"/>
  <c r="AB466" i="1"/>
  <c r="AC466" i="1" s="1"/>
  <c r="AB465" i="1"/>
  <c r="AC465" i="1" s="1"/>
  <c r="AB464" i="1"/>
  <c r="AC464" i="1" s="1"/>
  <c r="AB463" i="1"/>
  <c r="AC463" i="1" s="1"/>
  <c r="AB462" i="1"/>
  <c r="AC462" i="1" s="1"/>
  <c r="AB461" i="1"/>
  <c r="AC461"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Y285" i="1"/>
  <c r="Z285" i="1" s="1"/>
  <c r="Y284" i="1"/>
  <c r="Z284" i="1" s="1"/>
  <c r="Y283" i="1"/>
  <c r="Z283" i="1" s="1"/>
  <c r="Y282" i="1"/>
  <c r="Z282" i="1" s="1"/>
  <c r="Y281" i="1"/>
  <c r="Z281" i="1" s="1"/>
  <c r="Y280" i="1"/>
  <c r="Z280" i="1" s="1"/>
  <c r="Y25" i="1"/>
  <c r="Z25" i="1" s="1"/>
  <c r="Y279" i="1"/>
  <c r="Z279" i="1" s="1"/>
  <c r="Y24" i="1"/>
  <c r="Z24" i="1" s="1"/>
  <c r="Y278" i="1"/>
  <c r="Z278" i="1" s="1"/>
  <c r="Y23" i="1"/>
  <c r="Z23" i="1" s="1"/>
  <c r="Y22" i="1"/>
  <c r="Z22" i="1" s="1"/>
  <c r="Y21" i="1"/>
  <c r="Z21" i="1" s="1"/>
  <c r="Y20" i="1"/>
  <c r="Z20" i="1" s="1"/>
  <c r="Y277" i="1"/>
  <c r="Z277" i="1" s="1"/>
  <c r="Y19" i="1"/>
  <c r="Z19" i="1" s="1"/>
  <c r="Y18" i="1"/>
  <c r="Z18" i="1" s="1"/>
  <c r="Y17" i="1"/>
  <c r="Z1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Y246" i="1"/>
  <c r="Z246" i="1" s="1"/>
  <c r="Y245" i="1"/>
  <c r="Z245" i="1" s="1"/>
  <c r="Y244" i="1"/>
  <c r="Z244" i="1" s="1"/>
  <c r="Y243" i="1"/>
  <c r="Z243" i="1" s="1"/>
  <c r="Y242" i="1"/>
  <c r="Z242" i="1" s="1"/>
  <c r="Y241" i="1"/>
  <c r="Z241" i="1" s="1"/>
  <c r="Y499" i="1"/>
  <c r="Z499" i="1" s="1"/>
  <c r="Y498" i="1"/>
  <c r="Z498" i="1" s="1"/>
  <c r="Y497" i="1"/>
  <c r="Z497" i="1" s="1"/>
  <c r="Y496" i="1"/>
  <c r="Z496" i="1" s="1"/>
  <c r="Y477" i="1"/>
  <c r="Z477"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Y96" i="1"/>
  <c r="Z96" i="1" s="1"/>
  <c r="Y95" i="1"/>
  <c r="Z95" i="1" s="1"/>
  <c r="Y94" i="1"/>
  <c r="Z94" i="1" s="1"/>
  <c r="Y93" i="1"/>
  <c r="Z93" i="1" s="1"/>
  <c r="Y92" i="1"/>
  <c r="Z92" i="1" s="1"/>
  <c r="Y12" i="1"/>
  <c r="Z12" i="1" s="1"/>
  <c r="Y91" i="1"/>
  <c r="Z91" i="1" s="1"/>
  <c r="Y522" i="1"/>
  <c r="Z522" i="1" s="1"/>
  <c r="Y521" i="1"/>
  <c r="Z521" i="1" s="1"/>
  <c r="Y520" i="1"/>
  <c r="Z520" i="1" s="1"/>
  <c r="Y519" i="1"/>
  <c r="Z519" i="1" s="1"/>
  <c r="Y518" i="1"/>
  <c r="Z518" i="1" s="1"/>
  <c r="Y26" i="1"/>
  <c r="Z26" i="1" s="1"/>
  <c r="Y490" i="1"/>
  <c r="Z490" i="1" s="1"/>
  <c r="Y489" i="1"/>
  <c r="Z489" i="1" s="1"/>
  <c r="Y488" i="1"/>
  <c r="Z488" i="1" s="1"/>
  <c r="Y487" i="1"/>
  <c r="Z487" i="1" s="1"/>
  <c r="Y486" i="1"/>
  <c r="Z486" i="1" s="1"/>
  <c r="Y517" i="1"/>
  <c r="Z517" i="1" s="1"/>
  <c r="Y485" i="1"/>
  <c r="Z485" i="1" s="1"/>
  <c r="Y504" i="1"/>
  <c r="Z504" i="1" s="1"/>
  <c r="Y484" i="1"/>
  <c r="Z484" i="1" s="1"/>
  <c r="Y508" i="1"/>
  <c r="Z508" i="1" s="1"/>
  <c r="Y483" i="1"/>
  <c r="Z483" i="1" s="1"/>
  <c r="Y473" i="1"/>
  <c r="Z473" i="1" s="1"/>
  <c r="Y472" i="1"/>
  <c r="Z472" i="1" s="1"/>
  <c r="Y482" i="1"/>
  <c r="Z482" i="1" s="1"/>
  <c r="Y471" i="1"/>
  <c r="Z471" i="1" s="1"/>
  <c r="Y470" i="1"/>
  <c r="Z470"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513" i="1"/>
  <c r="Z513" i="1" s="1"/>
  <c r="Y512" i="1"/>
  <c r="Z512" i="1" s="1"/>
  <c r="Y511" i="1"/>
  <c r="Z511" i="1" s="1"/>
  <c r="Y505" i="1"/>
  <c r="Z505" i="1" s="1"/>
  <c r="Y510" i="1"/>
  <c r="Z510" i="1" s="1"/>
  <c r="Y509" i="1"/>
  <c r="Z509" i="1" s="1"/>
  <c r="Y287" i="1"/>
  <c r="Z287" i="1" s="1"/>
  <c r="Y501" i="1"/>
  <c r="Z501" i="1" s="1"/>
  <c r="Y500" i="1"/>
  <c r="Z500" i="1" s="1"/>
  <c r="Y286" i="1"/>
  <c r="Z286" i="1" s="1"/>
  <c r="Y393" i="1"/>
  <c r="Z393" i="1" s="1"/>
  <c r="Y392" i="1"/>
  <c r="Z392" i="1" s="1"/>
  <c r="Y391" i="1"/>
  <c r="Z391" i="1" s="1"/>
  <c r="Y390" i="1"/>
  <c r="Z390" i="1" s="1"/>
  <c r="Y389" i="1"/>
  <c r="Z389" i="1" s="1"/>
  <c r="Y388" i="1"/>
  <c r="Z388"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85" i="1"/>
  <c r="Z85" i="1" s="1"/>
  <c r="Y84" i="1"/>
  <c r="Z84" i="1" s="1"/>
  <c r="Y83" i="1"/>
  <c r="Z83" i="1" s="1"/>
  <c r="Y82" i="1"/>
  <c r="Z82" i="1" s="1"/>
  <c r="Y81" i="1"/>
  <c r="Z81" i="1" s="1"/>
  <c r="Y80" i="1"/>
  <c r="Z80" i="1" s="1"/>
  <c r="Y79" i="1"/>
  <c r="Z79" i="1" s="1"/>
  <c r="Y78" i="1"/>
  <c r="Z78" i="1" s="1"/>
  <c r="Y77" i="1"/>
  <c r="Z77" i="1" s="1"/>
  <c r="Y76" i="1"/>
  <c r="Z76" i="1" s="1"/>
  <c r="Y75" i="1"/>
  <c r="Z75" i="1" s="1"/>
  <c r="Y74" i="1"/>
  <c r="Z74" i="1" s="1"/>
  <c r="Y73" i="1"/>
  <c r="Z73" i="1" s="1"/>
  <c r="Y72" i="1"/>
  <c r="Z72" i="1" s="1"/>
  <c r="Y71" i="1"/>
  <c r="Z71" i="1" s="1"/>
  <c r="Y70" i="1"/>
  <c r="Z70" i="1" s="1"/>
  <c r="Y69" i="1"/>
  <c r="Z69" i="1" s="1"/>
  <c r="Y68" i="1"/>
  <c r="Z68" i="1" s="1"/>
  <c r="Y67" i="1"/>
  <c r="Z67" i="1" s="1"/>
  <c r="Y66" i="1"/>
  <c r="Z66" i="1" s="1"/>
  <c r="Y495" i="1"/>
  <c r="Z495" i="1" s="1"/>
  <c r="Y494" i="1"/>
  <c r="Z494" i="1" s="1"/>
  <c r="Y493" i="1"/>
  <c r="Z493" i="1" s="1"/>
  <c r="Y476" i="1"/>
  <c r="Z476" i="1" s="1"/>
  <c r="Y475" i="1"/>
  <c r="Z475" i="1" s="1"/>
  <c r="Y474" i="1"/>
  <c r="Z474" i="1" s="1"/>
  <c r="Y492" i="1"/>
  <c r="Z492" i="1" s="1"/>
  <c r="Y491" i="1"/>
  <c r="Z49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16" i="1"/>
  <c r="Z16" i="1" s="1"/>
  <c r="Y229" i="1"/>
  <c r="Z229" i="1" s="1"/>
  <c r="Y228" i="1"/>
  <c r="Z228" i="1" s="1"/>
  <c r="Y227" i="1"/>
  <c r="Z227" i="1" s="1"/>
  <c r="Y226" i="1"/>
  <c r="Z226" i="1" s="1"/>
  <c r="Y225" i="1"/>
  <c r="Z225" i="1" s="1"/>
  <c r="Y224" i="1"/>
  <c r="Z224" i="1" s="1"/>
  <c r="Y15" i="1"/>
  <c r="Z15" i="1" s="1"/>
  <c r="Y14" i="1"/>
  <c r="Z14" i="1" s="1"/>
  <c r="Y13" i="1"/>
  <c r="Z13"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507" i="1"/>
  <c r="Z507" i="1" s="1"/>
  <c r="Y481" i="1"/>
  <c r="Z481" i="1" s="1"/>
  <c r="Y480" i="1"/>
  <c r="Z480" i="1" s="1"/>
  <c r="Y516" i="1"/>
  <c r="Z516" i="1" s="1"/>
  <c r="Y435" i="1"/>
  <c r="Z435" i="1" s="1"/>
  <c r="Y515" i="1"/>
  <c r="Z515" i="1" s="1"/>
  <c r="Y65" i="1"/>
  <c r="Z65" i="1" s="1"/>
  <c r="Y503" i="1"/>
  <c r="Z503" i="1" s="1"/>
  <c r="Y479" i="1"/>
  <c r="Z479" i="1" s="1"/>
  <c r="Y478" i="1"/>
  <c r="Z478" i="1" s="1"/>
  <c r="Y506" i="1"/>
  <c r="Z506" i="1" s="1"/>
  <c r="Y434" i="1"/>
  <c r="Z434" i="1" s="1"/>
  <c r="Y514" i="1"/>
  <c r="Z514" i="1" s="1"/>
  <c r="Y64" i="1"/>
  <c r="Z64" i="1" s="1"/>
  <c r="Y63" i="1"/>
  <c r="Z63" i="1" s="1"/>
  <c r="Y62" i="1"/>
  <c r="Z62" i="1" s="1"/>
  <c r="Y61" i="1"/>
  <c r="Z61" i="1" s="1"/>
  <c r="Y60" i="1"/>
  <c r="Z60" i="1" s="1"/>
  <c r="Y59" i="1"/>
  <c r="Z59" i="1" s="1"/>
  <c r="Y58" i="1"/>
  <c r="Z58" i="1" s="1"/>
  <c r="Y57" i="1"/>
  <c r="Z57" i="1" s="1"/>
  <c r="Y433" i="1"/>
  <c r="Z433" i="1" s="1"/>
  <c r="Y56" i="1"/>
  <c r="Z56" i="1" s="1"/>
  <c r="Y432" i="1"/>
  <c r="Z432" i="1" s="1"/>
  <c r="Y431" i="1"/>
  <c r="Z431" i="1" s="1"/>
  <c r="Y430" i="1"/>
  <c r="Z430" i="1" s="1"/>
  <c r="Y429" i="1"/>
  <c r="Z429" i="1" s="1"/>
  <c r="Y55" i="1"/>
  <c r="Z55" i="1" s="1"/>
  <c r="Y54" i="1"/>
  <c r="Z54" i="1" s="1"/>
  <c r="Y53" i="1"/>
  <c r="Z53" i="1" s="1"/>
  <c r="Y52" i="1"/>
  <c r="Z52" i="1" s="1"/>
  <c r="Y51" i="1"/>
  <c r="Z51" i="1" s="1"/>
  <c r="Y428" i="1"/>
  <c r="Z428" i="1" s="1"/>
  <c r="Y50" i="1"/>
  <c r="Z50" i="1" s="1"/>
  <c r="Y427" i="1"/>
  <c r="Z427" i="1" s="1"/>
  <c r="Y49" i="1"/>
  <c r="Z49" i="1" s="1"/>
  <c r="Y48" i="1"/>
  <c r="Z48" i="1" s="1"/>
  <c r="Y426" i="1"/>
  <c r="Z426" i="1" s="1"/>
  <c r="Y425" i="1"/>
  <c r="Z425" i="1" s="1"/>
  <c r="Y47" i="1"/>
  <c r="Z47" i="1" s="1"/>
  <c r="Y46" i="1"/>
  <c r="Z46" i="1" s="1"/>
  <c r="Y45" i="1"/>
  <c r="Z45" i="1" s="1"/>
  <c r="Y90" i="1"/>
  <c r="Z90" i="1" s="1"/>
  <c r="Y89" i="1"/>
  <c r="Z89" i="1" s="1"/>
  <c r="Y88" i="1"/>
  <c r="Z88" i="1" s="1"/>
  <c r="Y87" i="1"/>
  <c r="Z87" i="1" s="1"/>
  <c r="Y86" i="1"/>
  <c r="Z86" i="1" s="1"/>
  <c r="Y446" i="1"/>
  <c r="Z446" i="1" s="1"/>
  <c r="Y445" i="1"/>
  <c r="Z445" i="1" s="1"/>
  <c r="Y444" i="1"/>
  <c r="Z444" i="1" s="1"/>
  <c r="Y443" i="1"/>
  <c r="Z443" i="1" s="1"/>
  <c r="Y442" i="1"/>
  <c r="Z442" i="1" s="1"/>
  <c r="Y441" i="1"/>
  <c r="Z441" i="1" s="1"/>
  <c r="Y440" i="1"/>
  <c r="Z440" i="1" s="1"/>
  <c r="Y439" i="1"/>
  <c r="Z439" i="1" s="1"/>
  <c r="Y438" i="1"/>
  <c r="Z438" i="1" s="1"/>
  <c r="Y437" i="1"/>
  <c r="Z437" i="1" s="1"/>
  <c r="Y436" i="1"/>
  <c r="Z436" i="1" s="1"/>
  <c r="Y469" i="1"/>
  <c r="Z469" i="1" s="1"/>
  <c r="Y468" i="1"/>
  <c r="Z468" i="1" s="1"/>
  <c r="Y467" i="1"/>
  <c r="Z467" i="1" s="1"/>
  <c r="Y466" i="1"/>
  <c r="Z466" i="1" s="1"/>
  <c r="Y465" i="1"/>
  <c r="Z465" i="1" s="1"/>
  <c r="Y464" i="1"/>
  <c r="Z464" i="1" s="1"/>
  <c r="Y463" i="1"/>
  <c r="Z463" i="1" s="1"/>
  <c r="Y462" i="1"/>
  <c r="Z462" i="1" s="1"/>
  <c r="Y461" i="1"/>
  <c r="Z461"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502" i="1"/>
  <c r="Z502" i="1" s="1"/>
  <c r="W285" i="1"/>
  <c r="W284" i="1"/>
  <c r="W283" i="1"/>
  <c r="W282" i="1"/>
  <c r="W281" i="1"/>
  <c r="W280" i="1"/>
  <c r="W25" i="1"/>
  <c r="W279" i="1"/>
  <c r="W24" i="1"/>
  <c r="W278" i="1"/>
  <c r="W23" i="1"/>
  <c r="W22" i="1"/>
  <c r="W21" i="1"/>
  <c r="W20" i="1"/>
  <c r="W277" i="1"/>
  <c r="W19" i="1"/>
  <c r="W18" i="1"/>
  <c r="W1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499" i="1"/>
  <c r="W498" i="1"/>
  <c r="W497" i="1"/>
  <c r="W496" i="1"/>
  <c r="W477"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12" i="1"/>
  <c r="W91" i="1"/>
  <c r="W522" i="1"/>
  <c r="W521" i="1"/>
  <c r="W520" i="1"/>
  <c r="W519" i="1"/>
  <c r="W518" i="1"/>
  <c r="W26" i="1"/>
  <c r="W490" i="1"/>
  <c r="W489" i="1"/>
  <c r="W488" i="1"/>
  <c r="W487" i="1"/>
  <c r="W486" i="1"/>
  <c r="W517" i="1"/>
  <c r="W485" i="1"/>
  <c r="W504" i="1"/>
  <c r="W484" i="1"/>
  <c r="W508" i="1"/>
  <c r="W483" i="1"/>
  <c r="W473" i="1"/>
  <c r="W472" i="1"/>
  <c r="W482" i="1"/>
  <c r="W471" i="1"/>
  <c r="W470"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513" i="1"/>
  <c r="W512" i="1"/>
  <c r="W511" i="1"/>
  <c r="W505" i="1"/>
  <c r="W510" i="1"/>
  <c r="W509" i="1"/>
  <c r="W287" i="1"/>
  <c r="W501" i="1"/>
  <c r="W500" i="1"/>
  <c r="W286"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85" i="1"/>
  <c r="W84" i="1"/>
  <c r="W83" i="1"/>
  <c r="W82" i="1"/>
  <c r="W81" i="1"/>
  <c r="W80" i="1"/>
  <c r="W79" i="1"/>
  <c r="W78" i="1"/>
  <c r="W77" i="1"/>
  <c r="W76" i="1"/>
  <c r="W75" i="1"/>
  <c r="W74" i="1"/>
  <c r="W73" i="1"/>
  <c r="W72" i="1"/>
  <c r="W71" i="1"/>
  <c r="W70" i="1"/>
  <c r="W69" i="1"/>
  <c r="W68" i="1"/>
  <c r="W67" i="1"/>
  <c r="W66" i="1"/>
  <c r="W495" i="1"/>
  <c r="W494" i="1"/>
  <c r="W493" i="1"/>
  <c r="W476" i="1"/>
  <c r="W475" i="1"/>
  <c r="W474" i="1"/>
  <c r="W492" i="1"/>
  <c r="W491" i="1"/>
  <c r="W240" i="1"/>
  <c r="W239" i="1"/>
  <c r="W238" i="1"/>
  <c r="W237" i="1"/>
  <c r="W236" i="1"/>
  <c r="W235" i="1"/>
  <c r="W234" i="1"/>
  <c r="W233" i="1"/>
  <c r="W232" i="1"/>
  <c r="W231" i="1"/>
  <c r="W230" i="1"/>
  <c r="W16" i="1"/>
  <c r="W229" i="1"/>
  <c r="W228" i="1"/>
  <c r="W227" i="1"/>
  <c r="W226" i="1"/>
  <c r="W225" i="1"/>
  <c r="W224" i="1"/>
  <c r="W15" i="1"/>
  <c r="W14" i="1"/>
  <c r="W13"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507" i="1"/>
  <c r="W481" i="1"/>
  <c r="W480" i="1"/>
  <c r="W516" i="1"/>
  <c r="W435" i="1"/>
  <c r="W515" i="1"/>
  <c r="W65" i="1"/>
  <c r="W503" i="1"/>
  <c r="W479" i="1"/>
  <c r="W478" i="1"/>
  <c r="W506" i="1"/>
  <c r="W434" i="1"/>
  <c r="W514" i="1"/>
  <c r="W64" i="1"/>
  <c r="W63" i="1"/>
  <c r="W62" i="1"/>
  <c r="W61" i="1"/>
  <c r="W60" i="1"/>
  <c r="W59" i="1"/>
  <c r="W58" i="1"/>
  <c r="W57" i="1"/>
  <c r="W433" i="1"/>
  <c r="W56" i="1"/>
  <c r="W432" i="1"/>
  <c r="W431" i="1"/>
  <c r="W430" i="1"/>
  <c r="W429" i="1"/>
  <c r="W55" i="1"/>
  <c r="W54" i="1"/>
  <c r="W53" i="1"/>
  <c r="W52" i="1"/>
  <c r="W51" i="1"/>
  <c r="W428" i="1"/>
  <c r="W50" i="1"/>
  <c r="W427" i="1"/>
  <c r="W49" i="1"/>
  <c r="W48" i="1"/>
  <c r="W426" i="1"/>
  <c r="W425" i="1"/>
  <c r="W47" i="1"/>
  <c r="W46" i="1"/>
  <c r="W45" i="1"/>
  <c r="W90" i="1"/>
  <c r="W89" i="1"/>
  <c r="W88" i="1"/>
  <c r="W87" i="1"/>
  <c r="W86" i="1"/>
  <c r="W446" i="1"/>
  <c r="W445" i="1"/>
  <c r="W444" i="1"/>
  <c r="W443" i="1"/>
  <c r="W442" i="1"/>
  <c r="W441" i="1"/>
  <c r="W440" i="1"/>
  <c r="W439" i="1"/>
  <c r="W438" i="1"/>
  <c r="W437" i="1"/>
  <c r="W436" i="1"/>
  <c r="W469" i="1"/>
  <c r="W468" i="1"/>
  <c r="W467" i="1"/>
  <c r="W466" i="1"/>
  <c r="W465" i="1"/>
  <c r="W464" i="1"/>
  <c r="W463" i="1"/>
  <c r="W462" i="1"/>
  <c r="W461" i="1"/>
  <c r="W460" i="1"/>
  <c r="W459" i="1"/>
  <c r="W458" i="1"/>
  <c r="W457" i="1"/>
  <c r="W456" i="1"/>
  <c r="W455" i="1"/>
  <c r="W454" i="1"/>
  <c r="W453" i="1"/>
  <c r="W452" i="1"/>
  <c r="W451" i="1"/>
  <c r="W450" i="1"/>
  <c r="W449" i="1"/>
  <c r="W448" i="1"/>
  <c r="W447"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V285" i="1"/>
  <c r="V284" i="1"/>
  <c r="V283" i="1"/>
  <c r="V282" i="1"/>
  <c r="V281" i="1"/>
  <c r="V280" i="1"/>
  <c r="V25" i="1"/>
  <c r="V279" i="1"/>
  <c r="V24" i="1"/>
  <c r="V278" i="1"/>
  <c r="V23" i="1"/>
  <c r="V22" i="1"/>
  <c r="V21" i="1"/>
  <c r="V20" i="1"/>
  <c r="V277" i="1"/>
  <c r="V19" i="1"/>
  <c r="V18" i="1"/>
  <c r="V1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499" i="1"/>
  <c r="V498" i="1"/>
  <c r="V497" i="1"/>
  <c r="V496" i="1"/>
  <c r="V477"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12" i="1"/>
  <c r="V91" i="1"/>
  <c r="V522" i="1"/>
  <c r="V521" i="1"/>
  <c r="V520" i="1"/>
  <c r="V519" i="1"/>
  <c r="V518" i="1"/>
  <c r="V26" i="1"/>
  <c r="V490" i="1"/>
  <c r="V489" i="1"/>
  <c r="V488" i="1"/>
  <c r="V487" i="1"/>
  <c r="V486" i="1"/>
  <c r="V517" i="1"/>
  <c r="V485" i="1"/>
  <c r="V504" i="1"/>
  <c r="V484" i="1"/>
  <c r="V508" i="1"/>
  <c r="V483" i="1"/>
  <c r="V473" i="1"/>
  <c r="V472" i="1"/>
  <c r="V482" i="1"/>
  <c r="V471" i="1"/>
  <c r="V470"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513" i="1"/>
  <c r="V512" i="1"/>
  <c r="V511" i="1"/>
  <c r="V505" i="1"/>
  <c r="V510" i="1"/>
  <c r="V509" i="1"/>
  <c r="V287" i="1"/>
  <c r="V501" i="1"/>
  <c r="V500" i="1"/>
  <c r="V286"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85" i="1"/>
  <c r="V84" i="1"/>
  <c r="V83" i="1"/>
  <c r="V82" i="1"/>
  <c r="V81" i="1"/>
  <c r="V80" i="1"/>
  <c r="V79" i="1"/>
  <c r="V78" i="1"/>
  <c r="V77" i="1"/>
  <c r="V76" i="1"/>
  <c r="V75" i="1"/>
  <c r="V74" i="1"/>
  <c r="V73" i="1"/>
  <c r="V72" i="1"/>
  <c r="V71" i="1"/>
  <c r="V70" i="1"/>
  <c r="V69" i="1"/>
  <c r="V68" i="1"/>
  <c r="V67" i="1"/>
  <c r="V66" i="1"/>
  <c r="V495" i="1"/>
  <c r="V494" i="1"/>
  <c r="V493" i="1"/>
  <c r="V476" i="1"/>
  <c r="V475" i="1"/>
  <c r="V474" i="1"/>
  <c r="V492" i="1"/>
  <c r="V491" i="1"/>
  <c r="V240" i="1"/>
  <c r="V239" i="1"/>
  <c r="V238" i="1"/>
  <c r="V237" i="1"/>
  <c r="V236" i="1"/>
  <c r="V235" i="1"/>
  <c r="V234" i="1"/>
  <c r="V233" i="1"/>
  <c r="V232" i="1"/>
  <c r="V231" i="1"/>
  <c r="V230" i="1"/>
  <c r="V16" i="1"/>
  <c r="V229" i="1"/>
  <c r="V228" i="1"/>
  <c r="V227" i="1"/>
  <c r="V226" i="1"/>
  <c r="V225" i="1"/>
  <c r="V224" i="1"/>
  <c r="V15" i="1"/>
  <c r="V14" i="1"/>
  <c r="V13"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507" i="1"/>
  <c r="V481" i="1"/>
  <c r="V480" i="1"/>
  <c r="V516" i="1"/>
  <c r="V435" i="1"/>
  <c r="V515" i="1"/>
  <c r="V65" i="1"/>
  <c r="V503" i="1"/>
  <c r="V479" i="1"/>
  <c r="V478" i="1"/>
  <c r="V506" i="1"/>
  <c r="V434" i="1"/>
  <c r="V514" i="1"/>
  <c r="V64" i="1"/>
  <c r="V63" i="1"/>
  <c r="V62" i="1"/>
  <c r="V61" i="1"/>
  <c r="V60" i="1"/>
  <c r="V59" i="1"/>
  <c r="V58" i="1"/>
  <c r="V57" i="1"/>
  <c r="V433" i="1"/>
  <c r="V56" i="1"/>
  <c r="V432" i="1"/>
  <c r="V431" i="1"/>
  <c r="V430" i="1"/>
  <c r="V429" i="1"/>
  <c r="V55" i="1"/>
  <c r="V54" i="1"/>
  <c r="V53" i="1"/>
  <c r="V52" i="1"/>
  <c r="V51" i="1"/>
  <c r="V428" i="1"/>
  <c r="V50" i="1"/>
  <c r="V427" i="1"/>
  <c r="V49" i="1"/>
  <c r="V48" i="1"/>
  <c r="V426" i="1"/>
  <c r="V425" i="1"/>
  <c r="V47" i="1"/>
  <c r="V46" i="1"/>
  <c r="V45" i="1"/>
  <c r="V90" i="1"/>
  <c r="V89" i="1"/>
  <c r="V88" i="1"/>
  <c r="V87" i="1"/>
  <c r="V86" i="1"/>
  <c r="V446" i="1"/>
  <c r="V445" i="1"/>
  <c r="V444" i="1"/>
  <c r="V443" i="1"/>
  <c r="V442" i="1"/>
  <c r="V441" i="1"/>
  <c r="V440" i="1"/>
  <c r="V439" i="1"/>
  <c r="V438" i="1"/>
  <c r="V437" i="1"/>
  <c r="V436" i="1"/>
  <c r="V469" i="1"/>
  <c r="V468" i="1"/>
  <c r="V467" i="1"/>
  <c r="V466" i="1"/>
  <c r="V465" i="1"/>
  <c r="V464" i="1"/>
  <c r="V463" i="1"/>
  <c r="V462" i="1"/>
  <c r="V461" i="1"/>
  <c r="V460" i="1"/>
  <c r="V459" i="1"/>
  <c r="V458" i="1"/>
  <c r="V457" i="1"/>
  <c r="V456" i="1"/>
  <c r="V455" i="1"/>
  <c r="V454" i="1"/>
  <c r="V453" i="1"/>
  <c r="V452" i="1"/>
  <c r="V451" i="1"/>
  <c r="V450" i="1"/>
  <c r="V449" i="1"/>
  <c r="V448" i="1"/>
  <c r="V447"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502" i="1"/>
  <c r="U285" i="1"/>
  <c r="U284" i="1"/>
  <c r="U283" i="1"/>
  <c r="U282" i="1"/>
  <c r="U281" i="1"/>
  <c r="U280" i="1"/>
  <c r="U25" i="1"/>
  <c r="U279" i="1"/>
  <c r="U24" i="1"/>
  <c r="U278" i="1"/>
  <c r="U23" i="1"/>
  <c r="U22" i="1"/>
  <c r="U21" i="1"/>
  <c r="U20" i="1"/>
  <c r="U277" i="1"/>
  <c r="U19" i="1"/>
  <c r="U18" i="1"/>
  <c r="U1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499" i="1"/>
  <c r="U498" i="1"/>
  <c r="U497" i="1"/>
  <c r="U496" i="1"/>
  <c r="U477"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12" i="1"/>
  <c r="U91" i="1"/>
  <c r="U522" i="1"/>
  <c r="U521" i="1"/>
  <c r="U520" i="1"/>
  <c r="U519" i="1"/>
  <c r="U518" i="1"/>
  <c r="U26" i="1"/>
  <c r="U490" i="1"/>
  <c r="U489" i="1"/>
  <c r="U488" i="1"/>
  <c r="U487" i="1"/>
  <c r="U486" i="1"/>
  <c r="U517" i="1"/>
  <c r="U485" i="1"/>
  <c r="U504" i="1"/>
  <c r="U484" i="1"/>
  <c r="U508" i="1"/>
  <c r="U483" i="1"/>
  <c r="U473" i="1"/>
  <c r="U472" i="1"/>
  <c r="U482" i="1"/>
  <c r="U471" i="1"/>
  <c r="U470"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513" i="1"/>
  <c r="U512" i="1"/>
  <c r="U511" i="1"/>
  <c r="U505" i="1"/>
  <c r="U510" i="1"/>
  <c r="U509" i="1"/>
  <c r="U287" i="1"/>
  <c r="U501" i="1"/>
  <c r="U500" i="1"/>
  <c r="U286"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85" i="1"/>
  <c r="U84" i="1"/>
  <c r="U83" i="1"/>
  <c r="U82" i="1"/>
  <c r="U81" i="1"/>
  <c r="U80" i="1"/>
  <c r="U79" i="1"/>
  <c r="U78" i="1"/>
  <c r="U77" i="1"/>
  <c r="U76" i="1"/>
  <c r="U75" i="1"/>
  <c r="U74" i="1"/>
  <c r="U73" i="1"/>
  <c r="U72" i="1"/>
  <c r="U71" i="1"/>
  <c r="U70" i="1"/>
  <c r="U69" i="1"/>
  <c r="U68" i="1"/>
  <c r="U67" i="1"/>
  <c r="U66" i="1"/>
  <c r="U495" i="1"/>
  <c r="U494" i="1"/>
  <c r="U493" i="1"/>
  <c r="U476" i="1"/>
  <c r="U475" i="1"/>
  <c r="U474" i="1"/>
  <c r="U492" i="1"/>
  <c r="U491" i="1"/>
  <c r="U240" i="1"/>
  <c r="U239" i="1"/>
  <c r="U238" i="1"/>
  <c r="U237" i="1"/>
  <c r="U236" i="1"/>
  <c r="U235" i="1"/>
  <c r="U234" i="1"/>
  <c r="U233" i="1"/>
  <c r="U232" i="1"/>
  <c r="U231" i="1"/>
  <c r="U230" i="1"/>
  <c r="U16" i="1"/>
  <c r="U229" i="1"/>
  <c r="U228" i="1"/>
  <c r="U227" i="1"/>
  <c r="U226" i="1"/>
  <c r="U225" i="1"/>
  <c r="U224" i="1"/>
  <c r="U15" i="1"/>
  <c r="U14" i="1"/>
  <c r="U13"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507" i="1"/>
  <c r="U481" i="1"/>
  <c r="U480" i="1"/>
  <c r="U516" i="1"/>
  <c r="U435" i="1"/>
  <c r="U515" i="1"/>
  <c r="U65" i="1"/>
  <c r="U503" i="1"/>
  <c r="U479" i="1"/>
  <c r="U478" i="1"/>
  <c r="U506" i="1"/>
  <c r="U434" i="1"/>
  <c r="U514" i="1"/>
  <c r="U64" i="1"/>
  <c r="U63" i="1"/>
  <c r="U62" i="1"/>
  <c r="U61" i="1"/>
  <c r="U60" i="1"/>
  <c r="U59" i="1"/>
  <c r="U58" i="1"/>
  <c r="U57" i="1"/>
  <c r="U433" i="1"/>
  <c r="U56" i="1"/>
  <c r="U432" i="1"/>
  <c r="U431" i="1"/>
  <c r="U430" i="1"/>
  <c r="U429" i="1"/>
  <c r="U55" i="1"/>
  <c r="U54" i="1"/>
  <c r="U53" i="1"/>
  <c r="U52" i="1"/>
  <c r="U51" i="1"/>
  <c r="U428" i="1"/>
  <c r="U50" i="1"/>
  <c r="U427" i="1"/>
  <c r="U49" i="1"/>
  <c r="U48" i="1"/>
  <c r="U426" i="1"/>
  <c r="U425" i="1"/>
  <c r="U47" i="1"/>
  <c r="U46" i="1"/>
  <c r="U45" i="1"/>
  <c r="U89" i="1"/>
  <c r="U88" i="1"/>
  <c r="U87" i="1"/>
  <c r="U86" i="1"/>
  <c r="U446" i="1"/>
  <c r="U445" i="1"/>
  <c r="U444" i="1"/>
  <c r="U443" i="1"/>
  <c r="U442" i="1"/>
  <c r="U441" i="1"/>
  <c r="U440" i="1"/>
  <c r="U439" i="1"/>
  <c r="U438" i="1"/>
  <c r="U437" i="1"/>
  <c r="U436" i="1"/>
  <c r="U469" i="1"/>
  <c r="U468" i="1"/>
  <c r="U467" i="1"/>
  <c r="U466" i="1"/>
  <c r="U465" i="1"/>
  <c r="U464" i="1"/>
  <c r="U463" i="1"/>
  <c r="U462" i="1"/>
  <c r="U461" i="1"/>
  <c r="U460" i="1"/>
  <c r="U459" i="1"/>
  <c r="U458" i="1"/>
  <c r="U457" i="1"/>
  <c r="U456" i="1"/>
  <c r="U455" i="1"/>
  <c r="U454" i="1"/>
  <c r="U453" i="1"/>
  <c r="U452" i="1"/>
  <c r="U451" i="1"/>
  <c r="U450" i="1"/>
  <c r="U449" i="1"/>
  <c r="U448" i="1"/>
  <c r="U447"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502" i="1"/>
  <c r="T285" i="1"/>
  <c r="T284" i="1"/>
  <c r="T283" i="1"/>
  <c r="T282" i="1"/>
  <c r="T281" i="1"/>
  <c r="T280" i="1"/>
  <c r="T25" i="1"/>
  <c r="T279" i="1"/>
  <c r="T24" i="1"/>
  <c r="T278" i="1"/>
  <c r="T23" i="1"/>
  <c r="T22" i="1"/>
  <c r="T21" i="1"/>
  <c r="T20" i="1"/>
  <c r="T277" i="1"/>
  <c r="T19" i="1"/>
  <c r="T18" i="1"/>
  <c r="T1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499" i="1"/>
  <c r="T498" i="1"/>
  <c r="T497" i="1"/>
  <c r="T496" i="1"/>
  <c r="T477"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12" i="1"/>
  <c r="T91" i="1"/>
  <c r="T522" i="1"/>
  <c r="T521" i="1"/>
  <c r="T520" i="1"/>
  <c r="T519" i="1"/>
  <c r="T518" i="1"/>
  <c r="T26" i="1"/>
  <c r="T490" i="1"/>
  <c r="T489" i="1"/>
  <c r="T488" i="1"/>
  <c r="T487" i="1"/>
  <c r="T486" i="1"/>
  <c r="T517" i="1"/>
  <c r="T485" i="1"/>
  <c r="T504" i="1"/>
  <c r="T484" i="1"/>
  <c r="T508" i="1"/>
  <c r="T483" i="1"/>
  <c r="T473" i="1"/>
  <c r="T472" i="1"/>
  <c r="T482" i="1"/>
  <c r="T471" i="1"/>
  <c r="T470"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513" i="1"/>
  <c r="T512" i="1"/>
  <c r="T511" i="1"/>
  <c r="T505" i="1"/>
  <c r="T510" i="1"/>
  <c r="T509" i="1"/>
  <c r="T287" i="1"/>
  <c r="T501" i="1"/>
  <c r="T500" i="1"/>
  <c r="T286"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85" i="1"/>
  <c r="T84" i="1"/>
  <c r="T83" i="1"/>
  <c r="T82" i="1"/>
  <c r="T81" i="1"/>
  <c r="T80" i="1"/>
  <c r="T79" i="1"/>
  <c r="T78" i="1"/>
  <c r="T77" i="1"/>
  <c r="T76" i="1"/>
  <c r="T75" i="1"/>
  <c r="T74" i="1"/>
  <c r="T73" i="1"/>
  <c r="T72" i="1"/>
  <c r="T71" i="1"/>
  <c r="T70" i="1"/>
  <c r="T69" i="1"/>
  <c r="T68" i="1"/>
  <c r="T67" i="1"/>
  <c r="T66" i="1"/>
  <c r="T495" i="1"/>
  <c r="T494" i="1"/>
  <c r="T493" i="1"/>
  <c r="T476" i="1"/>
  <c r="T475" i="1"/>
  <c r="T474" i="1"/>
  <c r="T492" i="1"/>
  <c r="T491" i="1"/>
  <c r="T240" i="1"/>
  <c r="T239" i="1"/>
  <c r="T238" i="1"/>
  <c r="T237" i="1"/>
  <c r="T236" i="1"/>
  <c r="T235" i="1"/>
  <c r="T234" i="1"/>
  <c r="T233" i="1"/>
  <c r="T232" i="1"/>
  <c r="T231" i="1"/>
  <c r="T230" i="1"/>
  <c r="T16" i="1"/>
  <c r="T229" i="1"/>
  <c r="T228" i="1"/>
  <c r="T227" i="1"/>
  <c r="T226" i="1"/>
  <c r="T225" i="1"/>
  <c r="T224" i="1"/>
  <c r="T15" i="1"/>
  <c r="T14" i="1"/>
  <c r="T13"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507" i="1"/>
  <c r="T481" i="1"/>
  <c r="T480" i="1"/>
  <c r="T516" i="1"/>
  <c r="T435" i="1"/>
  <c r="T515" i="1"/>
  <c r="T65" i="1"/>
  <c r="T503" i="1"/>
  <c r="T479" i="1"/>
  <c r="T478" i="1"/>
  <c r="T506" i="1"/>
  <c r="T434" i="1"/>
  <c r="T514" i="1"/>
  <c r="T64" i="1"/>
  <c r="T63" i="1"/>
  <c r="T62" i="1"/>
  <c r="T61" i="1"/>
  <c r="T60" i="1"/>
  <c r="T59" i="1"/>
  <c r="T58" i="1"/>
  <c r="T57" i="1"/>
  <c r="T433" i="1"/>
  <c r="T56" i="1"/>
  <c r="T432" i="1"/>
  <c r="T431" i="1"/>
  <c r="T430" i="1"/>
  <c r="T429" i="1"/>
  <c r="T55" i="1"/>
  <c r="T54" i="1"/>
  <c r="T53" i="1"/>
  <c r="T52" i="1"/>
  <c r="T51" i="1"/>
  <c r="T428" i="1"/>
  <c r="T50" i="1"/>
  <c r="T427" i="1"/>
  <c r="T49" i="1"/>
  <c r="T48" i="1"/>
  <c r="T426" i="1"/>
  <c r="T425" i="1"/>
  <c r="T47" i="1"/>
  <c r="T46" i="1"/>
  <c r="T45" i="1"/>
  <c r="T90" i="1"/>
  <c r="T89" i="1"/>
  <c r="T88" i="1"/>
  <c r="T87" i="1"/>
  <c r="T86" i="1"/>
  <c r="T446" i="1"/>
  <c r="T445" i="1"/>
  <c r="T444" i="1"/>
  <c r="T443" i="1"/>
  <c r="T442" i="1"/>
  <c r="T441" i="1"/>
  <c r="T440" i="1"/>
  <c r="T439" i="1"/>
  <c r="T438" i="1"/>
  <c r="T437" i="1"/>
  <c r="T436" i="1"/>
  <c r="T469" i="1"/>
  <c r="T468" i="1"/>
  <c r="T467" i="1"/>
  <c r="T466" i="1"/>
  <c r="T465" i="1"/>
  <c r="T464" i="1"/>
  <c r="T463" i="1"/>
  <c r="T462" i="1"/>
  <c r="T461" i="1"/>
  <c r="T460" i="1"/>
  <c r="T459" i="1"/>
  <c r="T458" i="1"/>
  <c r="T457" i="1"/>
  <c r="T456" i="1"/>
  <c r="T455" i="1"/>
  <c r="T454" i="1"/>
  <c r="T453" i="1"/>
  <c r="T452" i="1"/>
  <c r="T451" i="1"/>
  <c r="T450" i="1"/>
  <c r="T449" i="1"/>
  <c r="T448" i="1"/>
  <c r="T447"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S285" i="1"/>
  <c r="S284" i="1"/>
  <c r="S283" i="1"/>
  <c r="S282" i="1"/>
  <c r="S281" i="1"/>
  <c r="S280" i="1"/>
  <c r="S25" i="1"/>
  <c r="S279" i="1"/>
  <c r="S24" i="1"/>
  <c r="S278" i="1"/>
  <c r="S23" i="1"/>
  <c r="S22" i="1"/>
  <c r="S21" i="1"/>
  <c r="S20" i="1"/>
  <c r="S277" i="1"/>
  <c r="S19" i="1"/>
  <c r="S18" i="1"/>
  <c r="S1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499" i="1"/>
  <c r="S498" i="1"/>
  <c r="S497" i="1"/>
  <c r="S496" i="1"/>
  <c r="S477"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12" i="1"/>
  <c r="S91" i="1"/>
  <c r="S522" i="1"/>
  <c r="S521" i="1"/>
  <c r="S520" i="1"/>
  <c r="S519" i="1"/>
  <c r="S518" i="1"/>
  <c r="S26" i="1"/>
  <c r="S490" i="1"/>
  <c r="S489" i="1"/>
  <c r="S488" i="1"/>
  <c r="S487" i="1"/>
  <c r="S486" i="1"/>
  <c r="S517" i="1"/>
  <c r="S485" i="1"/>
  <c r="S504" i="1"/>
  <c r="S484" i="1"/>
  <c r="S508" i="1"/>
  <c r="S483" i="1"/>
  <c r="S473" i="1"/>
  <c r="S472" i="1"/>
  <c r="S482" i="1"/>
  <c r="S471" i="1"/>
  <c r="S470"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513" i="1"/>
  <c r="S512" i="1"/>
  <c r="S511" i="1"/>
  <c r="S505" i="1"/>
  <c r="S510" i="1"/>
  <c r="S509" i="1"/>
  <c r="S287" i="1"/>
  <c r="S501" i="1"/>
  <c r="S500" i="1"/>
  <c r="S286"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85" i="1"/>
  <c r="S84" i="1"/>
  <c r="S83" i="1"/>
  <c r="S82" i="1"/>
  <c r="S81" i="1"/>
  <c r="S80" i="1"/>
  <c r="S79" i="1"/>
  <c r="S78" i="1"/>
  <c r="S77" i="1"/>
  <c r="S76" i="1"/>
  <c r="S75" i="1"/>
  <c r="S74" i="1"/>
  <c r="S73" i="1"/>
  <c r="S72" i="1"/>
  <c r="S71" i="1"/>
  <c r="S70" i="1"/>
  <c r="S69" i="1"/>
  <c r="S68" i="1"/>
  <c r="S67" i="1"/>
  <c r="S66" i="1"/>
  <c r="S495" i="1"/>
  <c r="S494" i="1"/>
  <c r="S493" i="1"/>
  <c r="S476" i="1"/>
  <c r="S475" i="1"/>
  <c r="S474" i="1"/>
  <c r="S492" i="1"/>
  <c r="S491" i="1"/>
  <c r="S240" i="1"/>
  <c r="S239" i="1"/>
  <c r="S238" i="1"/>
  <c r="S237" i="1"/>
  <c r="S236" i="1"/>
  <c r="S235" i="1"/>
  <c r="S234" i="1"/>
  <c r="S233" i="1"/>
  <c r="S232" i="1"/>
  <c r="S231" i="1"/>
  <c r="S230" i="1"/>
  <c r="S229" i="1"/>
  <c r="S228" i="1"/>
  <c r="S227" i="1"/>
  <c r="S226" i="1"/>
  <c r="S225" i="1"/>
  <c r="S224" i="1"/>
  <c r="S15" i="1"/>
  <c r="S14" i="1"/>
  <c r="S13"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507" i="1"/>
  <c r="S481" i="1"/>
  <c r="S480" i="1"/>
  <c r="S516" i="1"/>
  <c r="S435" i="1"/>
  <c r="S515" i="1"/>
  <c r="S65" i="1"/>
  <c r="S503" i="1"/>
  <c r="S479" i="1"/>
  <c r="S478" i="1"/>
  <c r="S506" i="1"/>
  <c r="S434" i="1"/>
  <c r="S514" i="1"/>
  <c r="S64" i="1"/>
  <c r="S63" i="1"/>
  <c r="S62" i="1"/>
  <c r="S61" i="1"/>
  <c r="S60" i="1"/>
  <c r="S59" i="1"/>
  <c r="S58" i="1"/>
  <c r="S57" i="1"/>
  <c r="S433" i="1"/>
  <c r="S56" i="1"/>
  <c r="S432" i="1"/>
  <c r="S431" i="1"/>
  <c r="S430" i="1"/>
  <c r="S429" i="1"/>
  <c r="S55" i="1"/>
  <c r="S54" i="1"/>
  <c r="S53" i="1"/>
  <c r="S52" i="1"/>
  <c r="S51" i="1"/>
  <c r="S428" i="1"/>
  <c r="S50" i="1"/>
  <c r="S427" i="1"/>
  <c r="S49" i="1"/>
  <c r="S48" i="1"/>
  <c r="S426" i="1"/>
  <c r="S425" i="1"/>
  <c r="S47" i="1"/>
  <c r="S46" i="1"/>
  <c r="S45" i="1"/>
  <c r="S90" i="1"/>
  <c r="S89" i="1"/>
  <c r="S88" i="1"/>
  <c r="S87" i="1"/>
  <c r="S86" i="1"/>
  <c r="S446" i="1"/>
  <c r="S445" i="1"/>
  <c r="S444" i="1"/>
  <c r="S443" i="1"/>
  <c r="S442" i="1"/>
  <c r="S441" i="1"/>
  <c r="S440" i="1"/>
  <c r="S439" i="1"/>
  <c r="S438" i="1"/>
  <c r="S437" i="1"/>
  <c r="S436" i="1"/>
  <c r="S469" i="1"/>
  <c r="S468" i="1"/>
  <c r="S467" i="1"/>
  <c r="S466" i="1"/>
  <c r="S465" i="1"/>
  <c r="S464" i="1"/>
  <c r="S463" i="1"/>
  <c r="S462" i="1"/>
  <c r="S461" i="1"/>
  <c r="S460" i="1"/>
  <c r="S459" i="1"/>
  <c r="S458" i="1"/>
  <c r="S457" i="1"/>
  <c r="S456" i="1"/>
  <c r="S455" i="1"/>
  <c r="S454" i="1"/>
  <c r="S453" i="1"/>
  <c r="S452" i="1"/>
  <c r="S451" i="1"/>
  <c r="S450" i="1"/>
  <c r="S449" i="1"/>
  <c r="S448" i="1"/>
  <c r="S447"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502" i="1"/>
  <c r="T502" i="1"/>
  <c r="W502" i="1"/>
  <c r="AB502" i="1"/>
  <c r="AC502"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Q6" i="1"/>
  <c r="W6" i="1" s="1"/>
  <c r="AD554" i="1" l="1"/>
  <c r="AF554" i="1" s="1"/>
  <c r="AD556" i="1"/>
  <c r="AF556" i="1" s="1"/>
  <c r="AD550" i="1"/>
  <c r="AF550" i="1" s="1"/>
  <c r="AD558" i="1"/>
  <c r="AF558" i="1" s="1"/>
  <c r="AD565" i="1"/>
  <c r="AF565" i="1" s="1"/>
  <c r="AD555" i="1"/>
  <c r="AF555" i="1" s="1"/>
  <c r="AD561" i="1"/>
  <c r="AF561" i="1" s="1"/>
  <c r="AD546" i="1"/>
  <c r="AF546" i="1" s="1"/>
  <c r="AD548" i="1"/>
  <c r="AF548" i="1" s="1"/>
  <c r="AD549" i="1"/>
  <c r="AF549" i="1" s="1"/>
  <c r="AD570" i="1"/>
  <c r="AF570" i="1" s="1"/>
  <c r="AD562" i="1"/>
  <c r="AF562" i="1" s="1"/>
  <c r="AD612" i="1"/>
  <c r="AF612" i="1" s="1"/>
  <c r="AD613" i="1"/>
  <c r="AF613" i="1" s="1"/>
  <c r="AD620" i="1"/>
  <c r="AF620" i="1" s="1"/>
  <c r="Q5" i="1"/>
  <c r="O8" i="1" s="1"/>
  <c r="R8" i="1" s="1"/>
  <c r="AD568" i="1"/>
  <c r="AF568" i="1" s="1"/>
  <c r="AD553" i="1"/>
  <c r="AF553" i="1" s="1"/>
  <c r="AE565" i="1"/>
  <c r="AI550" i="1"/>
  <c r="AE558" i="1"/>
  <c r="AI565" i="1"/>
  <c r="AE550" i="1"/>
  <c r="AI558" i="1"/>
  <c r="AD573" i="1"/>
  <c r="AF573" i="1" s="1"/>
  <c r="AD569" i="1"/>
  <c r="AF569" i="1" s="1"/>
  <c r="AD574" i="1"/>
  <c r="AF574" i="1" s="1"/>
  <c r="AD567" i="1"/>
  <c r="AF567" i="1" s="1"/>
  <c r="AD417" i="1"/>
  <c r="AF417" i="1" s="1"/>
  <c r="AD437" i="1"/>
  <c r="AF437" i="1" s="1"/>
  <c r="AD507" i="1"/>
  <c r="AF507" i="1" s="1"/>
  <c r="AD221" i="1"/>
  <c r="AF221" i="1" s="1"/>
  <c r="AD12" i="1"/>
  <c r="AF12" i="1" s="1"/>
  <c r="AD99" i="1"/>
  <c r="AF99" i="1" s="1"/>
  <c r="AD107" i="1"/>
  <c r="AF107" i="1" s="1"/>
  <c r="AD123" i="1"/>
  <c r="AF123" i="1" s="1"/>
  <c r="AD139" i="1"/>
  <c r="AF139" i="1" s="1"/>
  <c r="AD147" i="1"/>
  <c r="AF147" i="1" s="1"/>
  <c r="AD155" i="1"/>
  <c r="AF155" i="1" s="1"/>
  <c r="AD163" i="1"/>
  <c r="AF163" i="1" s="1"/>
  <c r="AD171" i="1"/>
  <c r="AF171" i="1" s="1"/>
  <c r="AD179" i="1"/>
  <c r="AF179" i="1" s="1"/>
  <c r="AD241" i="1"/>
  <c r="AF241" i="1" s="1"/>
  <c r="AD249" i="1"/>
  <c r="AF249" i="1" s="1"/>
  <c r="AD257" i="1"/>
  <c r="AF257" i="1" s="1"/>
  <c r="AD20" i="1"/>
  <c r="AF20" i="1" s="1"/>
  <c r="AD280" i="1"/>
  <c r="AF280" i="1" s="1"/>
  <c r="AD637" i="1"/>
  <c r="AF637" i="1" s="1"/>
  <c r="AD611" i="1"/>
  <c r="AF611" i="1" s="1"/>
  <c r="AD93" i="1"/>
  <c r="AF93" i="1" s="1"/>
  <c r="AD109" i="1"/>
  <c r="AF109" i="1" s="1"/>
  <c r="AD243" i="1"/>
  <c r="AF243" i="1" s="1"/>
  <c r="AD251" i="1"/>
  <c r="AF251" i="1" s="1"/>
  <c r="AD486" i="1"/>
  <c r="AF486" i="1" s="1"/>
  <c r="AD520" i="1"/>
  <c r="AF520" i="1" s="1"/>
  <c r="AD628" i="1"/>
  <c r="AF628" i="1" s="1"/>
  <c r="AI548" i="1"/>
  <c r="AD559" i="1"/>
  <c r="AF559" i="1" s="1"/>
  <c r="AD649" i="1"/>
  <c r="AF649" i="1" s="1"/>
  <c r="AD651" i="1"/>
  <c r="AF651" i="1" s="1"/>
  <c r="AI556" i="1"/>
  <c r="AD141" i="1"/>
  <c r="AF141" i="1" s="1"/>
  <c r="AI571" i="1"/>
  <c r="AI563" i="1"/>
  <c r="AE571" i="1"/>
  <c r="AE556" i="1"/>
  <c r="AI28" i="1"/>
  <c r="AE563" i="1"/>
  <c r="AE548" i="1"/>
  <c r="AD189" i="1"/>
  <c r="AF189" i="1" s="1"/>
  <c r="AD314" i="1"/>
  <c r="AF314" i="1" s="1"/>
  <c r="AI533" i="1"/>
  <c r="AD133" i="1"/>
  <c r="AF133" i="1" s="1"/>
  <c r="AD485" i="1"/>
  <c r="AF485" i="1" s="1"/>
  <c r="AD388" i="1"/>
  <c r="AF388" i="1" s="1"/>
  <c r="AD288" i="1"/>
  <c r="AF288" i="1" s="1"/>
  <c r="AD304" i="1"/>
  <c r="AF304" i="1" s="1"/>
  <c r="AD312" i="1"/>
  <c r="AF312" i="1" s="1"/>
  <c r="AD328" i="1"/>
  <c r="AF328" i="1" s="1"/>
  <c r="AD471" i="1"/>
  <c r="AF471" i="1" s="1"/>
  <c r="AD157" i="1"/>
  <c r="AF157" i="1" s="1"/>
  <c r="AD267" i="1"/>
  <c r="AF267" i="1" s="1"/>
  <c r="AI381" i="1"/>
  <c r="AD341" i="1"/>
  <c r="AF341" i="1" s="1"/>
  <c r="AD356" i="1"/>
  <c r="AF356" i="1" s="1"/>
  <c r="AD364" i="1"/>
  <c r="AF364" i="1" s="1"/>
  <c r="AD380" i="1"/>
  <c r="AF380" i="1" s="1"/>
  <c r="AD230" i="1"/>
  <c r="AF230" i="1" s="1"/>
  <c r="AD238" i="1"/>
  <c r="AF238" i="1" s="1"/>
  <c r="AD493" i="1"/>
  <c r="AF493" i="1" s="1"/>
  <c r="AD71" i="1"/>
  <c r="AF71" i="1" s="1"/>
  <c r="AD442" i="1"/>
  <c r="AF442" i="1" s="1"/>
  <c r="AD210" i="1"/>
  <c r="AF210" i="1" s="1"/>
  <c r="AI632" i="1"/>
  <c r="AD530" i="1"/>
  <c r="AF530" i="1" s="1"/>
  <c r="AD594" i="1"/>
  <c r="AF594" i="1" s="1"/>
  <c r="AD622" i="1"/>
  <c r="AF622" i="1" s="1"/>
  <c r="M20" i="9"/>
  <c r="AE570" i="1"/>
  <c r="AD523" i="1"/>
  <c r="AF523" i="1" s="1"/>
  <c r="AI642" i="1"/>
  <c r="AE546" i="1"/>
  <c r="AI532" i="1"/>
  <c r="AD538" i="1"/>
  <c r="AF538" i="1" s="1"/>
  <c r="AD544" i="1"/>
  <c r="AF544" i="1" s="1"/>
  <c r="AE562" i="1"/>
  <c r="AE555" i="1"/>
  <c r="AE547" i="1"/>
  <c r="AI583" i="1"/>
  <c r="AE595" i="1"/>
  <c r="AD29" i="1"/>
  <c r="AF29" i="1" s="1"/>
  <c r="AD625" i="1"/>
  <c r="AF625" i="1" s="1"/>
  <c r="AI631" i="1"/>
  <c r="AI633" i="1"/>
  <c r="AE635" i="1"/>
  <c r="AE637" i="1"/>
  <c r="AE644" i="1"/>
  <c r="AD643" i="1"/>
  <c r="AF643" i="1" s="1"/>
  <c r="AD529" i="1"/>
  <c r="AF529" i="1" s="1"/>
  <c r="AD624" i="1"/>
  <c r="AF624" i="1" s="1"/>
  <c r="AE21" i="1"/>
  <c r="AI539" i="1"/>
  <c r="AD535" i="1"/>
  <c r="AF535" i="1" s="1"/>
  <c r="AD226" i="1"/>
  <c r="AF226" i="1" s="1"/>
  <c r="AE564" i="1"/>
  <c r="AI581" i="1"/>
  <c r="AI590" i="1"/>
  <c r="AE631" i="1"/>
  <c r="AD76" i="1"/>
  <c r="AF76" i="1" s="1"/>
  <c r="AD385" i="1"/>
  <c r="AF385" i="1" s="1"/>
  <c r="AD160" i="1"/>
  <c r="AF160" i="1" s="1"/>
  <c r="AD176" i="1"/>
  <c r="AF176" i="1" s="1"/>
  <c r="AE553" i="1"/>
  <c r="AI568" i="1"/>
  <c r="AI561" i="1"/>
  <c r="AD605" i="1"/>
  <c r="AF605" i="1" s="1"/>
  <c r="AE291" i="1"/>
  <c r="AD527" i="1"/>
  <c r="AF527" i="1" s="1"/>
  <c r="AE69" i="1"/>
  <c r="AD318" i="1"/>
  <c r="AF318" i="1" s="1"/>
  <c r="AD650" i="1"/>
  <c r="AF650" i="1" s="1"/>
  <c r="AI523" i="1"/>
  <c r="AE579" i="1"/>
  <c r="AD580" i="1"/>
  <c r="AF580" i="1" s="1"/>
  <c r="AD584" i="1"/>
  <c r="AF584" i="1" s="1"/>
  <c r="AE587" i="1"/>
  <c r="AE597" i="1"/>
  <c r="AE603" i="1"/>
  <c r="AE614" i="1"/>
  <c r="AI615" i="1"/>
  <c r="AE29" i="1"/>
  <c r="AD618" i="1"/>
  <c r="AF618" i="1" s="1"/>
  <c r="AE621" i="1"/>
  <c r="AE627" i="1"/>
  <c r="AE629" i="1"/>
  <c r="AD631" i="1"/>
  <c r="AF631" i="1" s="1"/>
  <c r="AD634" i="1"/>
  <c r="AF634" i="1" s="1"/>
  <c r="AD639" i="1"/>
  <c r="AF639" i="1" s="1"/>
  <c r="AD642" i="1"/>
  <c r="AF642" i="1" s="1"/>
  <c r="AD652" i="1"/>
  <c r="AF652" i="1" s="1"/>
  <c r="AI573" i="1"/>
  <c r="AI560" i="1"/>
  <c r="AI617" i="1"/>
  <c r="AI626" i="1"/>
  <c r="AI639" i="1"/>
  <c r="AD239" i="1"/>
  <c r="AF239" i="1" s="1"/>
  <c r="AD349" i="1"/>
  <c r="AF349" i="1" s="1"/>
  <c r="AD124" i="1"/>
  <c r="AF124" i="1" s="1"/>
  <c r="AD536" i="1"/>
  <c r="AF536" i="1" s="1"/>
  <c r="AE572" i="1"/>
  <c r="AE557" i="1"/>
  <c r="AE549" i="1"/>
  <c r="AE589" i="1"/>
  <c r="AE593" i="1"/>
  <c r="AI594" i="1"/>
  <c r="AE600" i="1"/>
  <c r="AE602" i="1"/>
  <c r="AE604" i="1"/>
  <c r="AE616" i="1"/>
  <c r="AD617" i="1"/>
  <c r="AF617" i="1" s="1"/>
  <c r="AD619" i="1"/>
  <c r="AF619" i="1" s="1"/>
  <c r="AD627" i="1"/>
  <c r="AF627" i="1" s="1"/>
  <c r="AE633" i="1"/>
  <c r="AD635" i="1"/>
  <c r="AF635" i="1" s="1"/>
  <c r="AD636" i="1"/>
  <c r="AF636" i="1" s="1"/>
  <c r="AD640" i="1"/>
  <c r="AF640" i="1" s="1"/>
  <c r="AE647" i="1"/>
  <c r="AE650" i="1"/>
  <c r="AD653" i="1"/>
  <c r="AF653" i="1" s="1"/>
  <c r="AD614" i="1"/>
  <c r="AF614" i="1" s="1"/>
  <c r="AD632" i="1"/>
  <c r="AF632" i="1" s="1"/>
  <c r="AI647" i="1"/>
  <c r="AI526" i="1"/>
  <c r="AI572" i="1"/>
  <c r="AI564" i="1"/>
  <c r="AI557" i="1"/>
  <c r="AI549" i="1"/>
  <c r="AI622" i="1"/>
  <c r="AI651" i="1"/>
  <c r="AI73" i="1"/>
  <c r="AI290" i="1"/>
  <c r="AI472" i="1"/>
  <c r="AD389" i="1"/>
  <c r="AF389" i="1" s="1"/>
  <c r="AD287" i="1"/>
  <c r="AF287" i="1" s="1"/>
  <c r="AD289" i="1"/>
  <c r="AF289" i="1" s="1"/>
  <c r="AD297" i="1"/>
  <c r="AF297" i="1" s="1"/>
  <c r="AD305" i="1"/>
  <c r="AF305" i="1" s="1"/>
  <c r="AD313" i="1"/>
  <c r="AF313" i="1" s="1"/>
  <c r="AD321" i="1"/>
  <c r="AF321" i="1" s="1"/>
  <c r="AD329" i="1"/>
  <c r="AF329" i="1" s="1"/>
  <c r="AD482" i="1"/>
  <c r="AF482" i="1" s="1"/>
  <c r="AD517" i="1"/>
  <c r="AF517" i="1" s="1"/>
  <c r="AD519" i="1"/>
  <c r="AF519" i="1" s="1"/>
  <c r="AD92" i="1"/>
  <c r="AF92" i="1" s="1"/>
  <c r="AD100" i="1"/>
  <c r="AF100" i="1" s="1"/>
  <c r="AD108" i="1"/>
  <c r="AF108" i="1" s="1"/>
  <c r="AD116" i="1"/>
  <c r="AF116" i="1" s="1"/>
  <c r="AD132" i="1"/>
  <c r="AF132" i="1" s="1"/>
  <c r="AD140" i="1"/>
  <c r="AF140" i="1" s="1"/>
  <c r="AD148" i="1"/>
  <c r="AF148" i="1" s="1"/>
  <c r="AD180" i="1"/>
  <c r="AF180" i="1" s="1"/>
  <c r="AD188" i="1"/>
  <c r="AF188" i="1" s="1"/>
  <c r="AD592" i="1"/>
  <c r="AF592" i="1" s="1"/>
  <c r="AD599" i="1"/>
  <c r="AF599" i="1" s="1"/>
  <c r="AI80" i="1"/>
  <c r="AI358" i="1"/>
  <c r="AI314" i="1"/>
  <c r="AI410" i="1"/>
  <c r="AI448" i="1"/>
  <c r="AI456" i="1"/>
  <c r="AI464" i="1"/>
  <c r="AI503" i="1"/>
  <c r="AI190" i="1"/>
  <c r="AI198" i="1"/>
  <c r="AI206" i="1"/>
  <c r="AD224" i="1"/>
  <c r="AF224" i="1" s="1"/>
  <c r="AD79" i="1"/>
  <c r="AF79" i="1" s="1"/>
  <c r="AD334" i="1"/>
  <c r="AF334" i="1" s="1"/>
  <c r="AD357" i="1"/>
  <c r="AF357" i="1" s="1"/>
  <c r="AD365" i="1"/>
  <c r="AF365" i="1" s="1"/>
  <c r="AD390" i="1"/>
  <c r="AF390" i="1" s="1"/>
  <c r="AD290" i="1"/>
  <c r="AF290" i="1" s="1"/>
  <c r="AD298" i="1"/>
  <c r="AF298" i="1" s="1"/>
  <c r="AD306" i="1"/>
  <c r="AF306" i="1" s="1"/>
  <c r="AD322" i="1"/>
  <c r="AF322" i="1" s="1"/>
  <c r="AD472" i="1"/>
  <c r="AF472" i="1" s="1"/>
  <c r="AD101" i="1"/>
  <c r="AF101" i="1" s="1"/>
  <c r="AD117" i="1"/>
  <c r="AF117" i="1" s="1"/>
  <c r="AD125" i="1"/>
  <c r="AF125" i="1" s="1"/>
  <c r="AD165" i="1"/>
  <c r="AF165" i="1" s="1"/>
  <c r="AD173" i="1"/>
  <c r="AF173" i="1" s="1"/>
  <c r="AD275" i="1"/>
  <c r="AF275" i="1" s="1"/>
  <c r="AD22" i="1"/>
  <c r="AF22" i="1" s="1"/>
  <c r="AD543" i="1"/>
  <c r="AF543" i="1" s="1"/>
  <c r="AI335" i="1"/>
  <c r="AI509" i="1"/>
  <c r="AI306" i="1"/>
  <c r="AD401" i="1"/>
  <c r="AF401" i="1" s="1"/>
  <c r="AD409" i="1"/>
  <c r="AF409" i="1" s="1"/>
  <c r="AD447" i="1"/>
  <c r="AF447" i="1" s="1"/>
  <c r="AD455" i="1"/>
  <c r="AF455" i="1" s="1"/>
  <c r="AD463" i="1"/>
  <c r="AF463" i="1" s="1"/>
  <c r="AD445" i="1"/>
  <c r="AF445" i="1" s="1"/>
  <c r="AD46" i="1"/>
  <c r="AF46" i="1" s="1"/>
  <c r="AD428" i="1"/>
  <c r="AF428" i="1" s="1"/>
  <c r="AD431" i="1"/>
  <c r="AF431" i="1" s="1"/>
  <c r="AD61" i="1"/>
  <c r="AF61" i="1" s="1"/>
  <c r="AD479" i="1"/>
  <c r="AF479" i="1" s="1"/>
  <c r="AD197" i="1"/>
  <c r="AF197" i="1" s="1"/>
  <c r="AD232" i="1"/>
  <c r="AF232" i="1" s="1"/>
  <c r="AD240" i="1"/>
  <c r="AF240" i="1" s="1"/>
  <c r="AD495" i="1"/>
  <c r="AF495" i="1" s="1"/>
  <c r="AD73" i="1"/>
  <c r="AF73" i="1" s="1"/>
  <c r="AD80" i="1"/>
  <c r="AF80" i="1" s="1"/>
  <c r="AD335" i="1"/>
  <c r="AF335" i="1" s="1"/>
  <c r="AD342" i="1"/>
  <c r="AF342" i="1" s="1"/>
  <c r="AD358" i="1"/>
  <c r="AF358" i="1" s="1"/>
  <c r="AD366" i="1"/>
  <c r="AF366" i="1" s="1"/>
  <c r="AD374" i="1"/>
  <c r="AF374" i="1" s="1"/>
  <c r="AD382" i="1"/>
  <c r="AF382" i="1" s="1"/>
  <c r="AD135" i="1"/>
  <c r="AF135" i="1" s="1"/>
  <c r="AD167" i="1"/>
  <c r="AF167" i="1" s="1"/>
  <c r="AE539" i="1"/>
  <c r="AE531" i="1"/>
  <c r="AI531" i="1"/>
  <c r="AI554" i="1"/>
  <c r="AE578" i="1"/>
  <c r="AD595" i="1"/>
  <c r="AF595" i="1" s="1"/>
  <c r="AE628" i="1"/>
  <c r="AE638" i="1"/>
  <c r="AD644" i="1"/>
  <c r="AF644" i="1" s="1"/>
  <c r="AI421" i="1"/>
  <c r="AI362" i="1"/>
  <c r="AI105" i="1"/>
  <c r="AI113" i="1"/>
  <c r="AI121" i="1"/>
  <c r="AI129" i="1"/>
  <c r="AI137" i="1"/>
  <c r="AI161" i="1"/>
  <c r="AI185" i="1"/>
  <c r="AI498" i="1"/>
  <c r="AI247" i="1"/>
  <c r="AI255" i="1"/>
  <c r="AI271" i="1"/>
  <c r="AD354" i="1"/>
  <c r="AF354" i="1" s="1"/>
  <c r="AD97" i="1"/>
  <c r="AF97" i="1" s="1"/>
  <c r="AD279" i="1"/>
  <c r="AF279" i="1" s="1"/>
  <c r="AE398" i="1"/>
  <c r="AE14" i="1"/>
  <c r="AD48" i="1"/>
  <c r="AF48" i="1" s="1"/>
  <c r="AD610" i="1"/>
  <c r="AF610" i="1" s="1"/>
  <c r="AE615" i="1"/>
  <c r="AD616" i="1"/>
  <c r="AF616" i="1" s="1"/>
  <c r="AD621" i="1"/>
  <c r="AF621" i="1" s="1"/>
  <c r="AI623" i="1"/>
  <c r="AE624" i="1"/>
  <c r="AI625" i="1"/>
  <c r="AD626" i="1"/>
  <c r="AF626" i="1" s="1"/>
  <c r="AE630" i="1"/>
  <c r="AD633" i="1"/>
  <c r="AF633" i="1" s="1"/>
  <c r="AE645" i="1"/>
  <c r="AI646" i="1"/>
  <c r="AI653" i="1"/>
  <c r="AI540" i="1"/>
  <c r="AD545" i="1"/>
  <c r="AF545" i="1" s="1"/>
  <c r="AE623" i="1"/>
  <c r="AD542" i="1"/>
  <c r="AF542" i="1" s="1"/>
  <c r="AI596" i="1"/>
  <c r="AD593" i="1"/>
  <c r="AF593" i="1" s="1"/>
  <c r="AD600" i="1"/>
  <c r="AF600" i="1" s="1"/>
  <c r="AD602" i="1"/>
  <c r="AF602" i="1" s="1"/>
  <c r="AE605" i="1"/>
  <c r="AI610" i="1"/>
  <c r="AD589" i="1"/>
  <c r="AF589" i="1" s="1"/>
  <c r="AE386" i="1"/>
  <c r="AE113" i="1"/>
  <c r="AE129" i="1"/>
  <c r="AE145" i="1"/>
  <c r="AD202" i="1"/>
  <c r="AF202" i="1" s="1"/>
  <c r="AD218" i="1"/>
  <c r="AF218" i="1" s="1"/>
  <c r="AD525" i="1"/>
  <c r="AF525" i="1" s="1"/>
  <c r="AI587" i="1"/>
  <c r="AD591" i="1"/>
  <c r="AF591" i="1" s="1"/>
  <c r="AD598" i="1"/>
  <c r="AF598" i="1" s="1"/>
  <c r="AD106" i="1"/>
  <c r="AF106" i="1" s="1"/>
  <c r="AD122" i="1"/>
  <c r="AF122" i="1" s="1"/>
  <c r="AD88" i="1"/>
  <c r="AF88" i="1" s="1"/>
  <c r="AD209" i="1"/>
  <c r="AF209" i="1" s="1"/>
  <c r="AD68" i="1"/>
  <c r="AF68" i="1" s="1"/>
  <c r="AD83" i="1"/>
  <c r="AF83" i="1" s="1"/>
  <c r="AD338" i="1"/>
  <c r="AF338" i="1" s="1"/>
  <c r="AD353" i="1"/>
  <c r="AF353" i="1" s="1"/>
  <c r="AD361" i="1"/>
  <c r="AF361" i="1" s="1"/>
  <c r="AD369" i="1"/>
  <c r="AF369" i="1" s="1"/>
  <c r="AD377" i="1"/>
  <c r="AF377" i="1" s="1"/>
  <c r="AD112" i="1"/>
  <c r="AF112" i="1" s="1"/>
  <c r="AD128" i="1"/>
  <c r="AF128" i="1" s="1"/>
  <c r="AD136" i="1"/>
  <c r="AF136" i="1" s="1"/>
  <c r="AD144" i="1"/>
  <c r="AF144" i="1" s="1"/>
  <c r="AD168" i="1"/>
  <c r="AF168" i="1" s="1"/>
  <c r="AD184" i="1"/>
  <c r="AF184" i="1" s="1"/>
  <c r="AD246" i="1"/>
  <c r="AF246" i="1" s="1"/>
  <c r="AD254" i="1"/>
  <c r="AF254" i="1" s="1"/>
  <c r="AD262" i="1"/>
  <c r="AF262" i="1" s="1"/>
  <c r="AD18" i="1"/>
  <c r="AF18" i="1" s="1"/>
  <c r="AD24" i="1"/>
  <c r="AF24" i="1" s="1"/>
  <c r="AD285" i="1"/>
  <c r="AF285" i="1" s="1"/>
  <c r="AI530" i="1"/>
  <c r="AE574" i="1"/>
  <c r="AE568" i="1"/>
  <c r="AE561" i="1"/>
  <c r="AI574" i="1"/>
  <c r="AI553" i="1"/>
  <c r="AE584" i="1"/>
  <c r="AE585" i="1"/>
  <c r="AD587" i="1"/>
  <c r="AF587" i="1" s="1"/>
  <c r="AE596" i="1"/>
  <c r="AE599" i="1"/>
  <c r="AI628" i="1"/>
  <c r="AI406" i="1"/>
  <c r="AI210" i="1"/>
  <c r="AD540" i="1"/>
  <c r="AF540" i="1" s="1"/>
  <c r="AD646" i="1"/>
  <c r="AF646" i="1" s="1"/>
  <c r="AD291" i="1"/>
  <c r="AF291" i="1" s="1"/>
  <c r="AD315" i="1"/>
  <c r="AF315" i="1" s="1"/>
  <c r="AD323" i="1"/>
  <c r="AF323" i="1" s="1"/>
  <c r="AD102" i="1"/>
  <c r="AF102" i="1" s="1"/>
  <c r="AD142" i="1"/>
  <c r="AF142" i="1" s="1"/>
  <c r="AD150" i="1"/>
  <c r="AF150" i="1" s="1"/>
  <c r="AD158" i="1"/>
  <c r="AF158" i="1" s="1"/>
  <c r="AD166" i="1"/>
  <c r="AF166" i="1" s="1"/>
  <c r="AD174" i="1"/>
  <c r="AF174" i="1" s="1"/>
  <c r="AD477" i="1"/>
  <c r="AF477" i="1" s="1"/>
  <c r="AD244" i="1"/>
  <c r="AF244" i="1" s="1"/>
  <c r="AD252" i="1"/>
  <c r="AF252" i="1" s="1"/>
  <c r="AD260" i="1"/>
  <c r="AF260" i="1" s="1"/>
  <c r="AD268" i="1"/>
  <c r="AF268" i="1" s="1"/>
  <c r="AD276" i="1"/>
  <c r="AF276" i="1" s="1"/>
  <c r="AD23" i="1"/>
  <c r="AF23" i="1" s="1"/>
  <c r="AD283" i="1"/>
  <c r="AF283" i="1" s="1"/>
  <c r="AD394" i="1"/>
  <c r="AF394" i="1" s="1"/>
  <c r="AD448" i="1"/>
  <c r="AF448" i="1" s="1"/>
  <c r="AD456" i="1"/>
  <c r="AF456" i="1" s="1"/>
  <c r="AD438" i="1"/>
  <c r="AF438" i="1" s="1"/>
  <c r="AD446" i="1"/>
  <c r="AF446" i="1" s="1"/>
  <c r="AD51" i="1"/>
  <c r="AF51" i="1" s="1"/>
  <c r="AD503" i="1"/>
  <c r="AF503" i="1" s="1"/>
  <c r="AD198" i="1"/>
  <c r="AF198" i="1" s="1"/>
  <c r="AD233" i="1"/>
  <c r="AF233" i="1" s="1"/>
  <c r="AD66" i="1"/>
  <c r="AF66" i="1" s="1"/>
  <c r="AD359" i="1"/>
  <c r="AF359" i="1" s="1"/>
  <c r="AI296" i="1"/>
  <c r="AI412" i="1"/>
  <c r="AE420" i="1"/>
  <c r="AE515" i="1"/>
  <c r="AD465" i="1"/>
  <c r="AF465" i="1" s="1"/>
  <c r="AD199" i="1"/>
  <c r="AF199" i="1" s="1"/>
  <c r="AD119" i="1"/>
  <c r="AF119" i="1" s="1"/>
  <c r="AD183" i="1"/>
  <c r="AF183" i="1" s="1"/>
  <c r="AE524" i="1"/>
  <c r="AI525" i="1"/>
  <c r="AE27" i="1"/>
  <c r="AI27" i="1"/>
  <c r="AE529" i="1"/>
  <c r="AD524" i="1"/>
  <c r="AF524" i="1" s="1"/>
  <c r="AD532" i="1"/>
  <c r="AF532" i="1" s="1"/>
  <c r="AD531" i="1"/>
  <c r="AF531" i="1" s="1"/>
  <c r="AD539" i="1"/>
  <c r="AF539" i="1" s="1"/>
  <c r="AE569" i="1"/>
  <c r="AE554" i="1"/>
  <c r="AI569" i="1"/>
  <c r="AE576" i="1"/>
  <c r="AE577" i="1"/>
  <c r="AE582" i="1"/>
  <c r="AD581" i="1"/>
  <c r="AF581" i="1" s="1"/>
  <c r="AI589" i="1"/>
  <c r="AE592" i="1"/>
  <c r="AI597" i="1"/>
  <c r="AE601" i="1"/>
  <c r="AI602" i="1"/>
  <c r="AE612" i="1"/>
  <c r="AE613" i="1"/>
  <c r="AE620" i="1"/>
  <c r="AD629" i="1"/>
  <c r="AF629" i="1" s="1"/>
  <c r="AE636" i="1"/>
  <c r="AE640" i="1"/>
  <c r="AE641" i="1"/>
  <c r="AE649" i="1"/>
  <c r="AE652" i="1"/>
  <c r="AE544" i="1"/>
  <c r="AE537" i="1"/>
  <c r="AI538" i="1"/>
  <c r="AE502" i="1"/>
  <c r="AE213" i="1"/>
  <c r="AD422" i="1"/>
  <c r="AF422" i="1" s="1"/>
  <c r="AD16" i="1"/>
  <c r="AF16" i="1" s="1"/>
  <c r="AD476" i="1"/>
  <c r="AF476" i="1" s="1"/>
  <c r="AD70" i="1"/>
  <c r="AF70" i="1" s="1"/>
  <c r="AD78" i="1"/>
  <c r="AF78" i="1" s="1"/>
  <c r="AD85" i="1"/>
  <c r="AF85" i="1" s="1"/>
  <c r="AD340" i="1"/>
  <c r="AF340" i="1" s="1"/>
  <c r="AD347" i="1"/>
  <c r="AF347" i="1" s="1"/>
  <c r="AD355" i="1"/>
  <c r="AF355" i="1" s="1"/>
  <c r="AD363" i="1"/>
  <c r="AF363" i="1" s="1"/>
  <c r="AD379" i="1"/>
  <c r="AF379" i="1" s="1"/>
  <c r="AD295" i="1"/>
  <c r="AF295" i="1" s="1"/>
  <c r="AD311" i="1"/>
  <c r="AF311" i="1" s="1"/>
  <c r="AD319" i="1"/>
  <c r="AF319" i="1" s="1"/>
  <c r="AD327" i="1"/>
  <c r="AF327" i="1" s="1"/>
  <c r="AD504" i="1"/>
  <c r="AF504" i="1" s="1"/>
  <c r="AD114" i="1"/>
  <c r="AF114" i="1" s="1"/>
  <c r="AD138" i="1"/>
  <c r="AF138" i="1" s="1"/>
  <c r="AD154" i="1"/>
  <c r="AF154" i="1" s="1"/>
  <c r="AD162" i="1"/>
  <c r="AF162" i="1" s="1"/>
  <c r="AD170" i="1"/>
  <c r="AF170" i="1" s="1"/>
  <c r="AD178" i="1"/>
  <c r="AF178" i="1" s="1"/>
  <c r="AD186" i="1"/>
  <c r="AF186" i="1" s="1"/>
  <c r="AD499" i="1"/>
  <c r="AF499" i="1" s="1"/>
  <c r="AD248" i="1"/>
  <c r="AF248" i="1" s="1"/>
  <c r="AD256" i="1"/>
  <c r="AF256" i="1" s="1"/>
  <c r="AD264" i="1"/>
  <c r="AF264" i="1" s="1"/>
  <c r="AD25" i="1"/>
  <c r="AF25" i="1" s="1"/>
  <c r="AE543" i="1"/>
  <c r="AE536" i="1"/>
  <c r="AE528" i="1"/>
  <c r="AD541" i="1"/>
  <c r="AF541" i="1" s="1"/>
  <c r="AD597" i="1"/>
  <c r="AF597" i="1" s="1"/>
  <c r="AE610" i="1"/>
  <c r="AE608" i="1"/>
  <c r="AE606" i="1"/>
  <c r="AE236" i="1"/>
  <c r="AE84" i="1"/>
  <c r="AE339" i="1"/>
  <c r="AE378" i="1"/>
  <c r="AE302" i="1"/>
  <c r="AE318" i="1"/>
  <c r="AE470" i="1"/>
  <c r="AE97" i="1"/>
  <c r="AE177" i="1"/>
  <c r="AE498" i="1"/>
  <c r="AE247" i="1"/>
  <c r="AE255" i="1"/>
  <c r="AE263" i="1"/>
  <c r="AE19" i="1"/>
  <c r="AE279" i="1"/>
  <c r="AD399" i="1"/>
  <c r="AF399" i="1" s="1"/>
  <c r="AD407" i="1"/>
  <c r="AF407" i="1" s="1"/>
  <c r="AD415" i="1"/>
  <c r="AF415" i="1" s="1"/>
  <c r="AD423" i="1"/>
  <c r="AF423" i="1" s="1"/>
  <c r="AD453" i="1"/>
  <c r="AF453" i="1" s="1"/>
  <c r="AD461" i="1"/>
  <c r="AF461" i="1" s="1"/>
  <c r="AD469" i="1"/>
  <c r="AF469" i="1" s="1"/>
  <c r="AD443" i="1"/>
  <c r="AF443" i="1" s="1"/>
  <c r="AD90" i="1"/>
  <c r="AF90" i="1" s="1"/>
  <c r="AD427" i="1"/>
  <c r="AF427" i="1" s="1"/>
  <c r="AD429" i="1"/>
  <c r="AF429" i="1" s="1"/>
  <c r="AD59" i="1"/>
  <c r="AF59" i="1" s="1"/>
  <c r="AD506" i="1"/>
  <c r="AF506" i="1" s="1"/>
  <c r="AD480" i="1"/>
  <c r="AF480" i="1" s="1"/>
  <c r="AD195" i="1"/>
  <c r="AF195" i="1" s="1"/>
  <c r="AD211" i="1"/>
  <c r="AF211" i="1" s="1"/>
  <c r="AD219" i="1"/>
  <c r="AF219" i="1" s="1"/>
  <c r="AD15" i="1"/>
  <c r="AF15" i="1" s="1"/>
  <c r="AD607" i="1"/>
  <c r="AF607" i="1" s="1"/>
  <c r="AE335" i="1"/>
  <c r="AE422" i="1"/>
  <c r="AE452" i="1"/>
  <c r="AE89" i="1"/>
  <c r="AE55" i="1"/>
  <c r="AE210" i="1"/>
  <c r="AD505" i="1"/>
  <c r="AF505" i="1" s="1"/>
  <c r="AD292" i="1"/>
  <c r="AF292" i="1" s="1"/>
  <c r="AD300" i="1"/>
  <c r="AF300" i="1" s="1"/>
  <c r="AD308" i="1"/>
  <c r="AF308" i="1" s="1"/>
  <c r="AD316" i="1"/>
  <c r="AF316" i="1" s="1"/>
  <c r="AD332" i="1"/>
  <c r="AF332" i="1" s="1"/>
  <c r="AD483" i="1"/>
  <c r="AF483" i="1" s="1"/>
  <c r="AD488" i="1"/>
  <c r="AF488" i="1" s="1"/>
  <c r="AD95" i="1"/>
  <c r="AF95" i="1" s="1"/>
  <c r="AD103" i="1"/>
  <c r="AF103" i="1" s="1"/>
  <c r="AD111" i="1"/>
  <c r="AF111" i="1" s="1"/>
  <c r="AD127" i="1"/>
  <c r="AF127" i="1" s="1"/>
  <c r="AD143" i="1"/>
  <c r="AF143" i="1" s="1"/>
  <c r="AD151" i="1"/>
  <c r="AF151" i="1" s="1"/>
  <c r="AD159" i="1"/>
  <c r="AF159" i="1" s="1"/>
  <c r="AD496" i="1"/>
  <c r="AF496" i="1" s="1"/>
  <c r="AD253" i="1"/>
  <c r="AF253" i="1" s="1"/>
  <c r="AD261" i="1"/>
  <c r="AF261" i="1" s="1"/>
  <c r="AD17" i="1"/>
  <c r="AF17" i="1" s="1"/>
  <c r="AD278" i="1"/>
  <c r="AF278" i="1" s="1"/>
  <c r="AD284" i="1"/>
  <c r="AF284" i="1" s="1"/>
  <c r="AE237" i="1"/>
  <c r="AE476" i="1"/>
  <c r="AD403" i="1"/>
  <c r="AF403" i="1" s="1"/>
  <c r="AD411" i="1"/>
  <c r="AF411" i="1" s="1"/>
  <c r="AD449" i="1"/>
  <c r="AF449" i="1" s="1"/>
  <c r="AD457" i="1"/>
  <c r="AF457" i="1" s="1"/>
  <c r="AD439" i="1"/>
  <c r="AF439" i="1" s="1"/>
  <c r="AD86" i="1"/>
  <c r="AF86" i="1" s="1"/>
  <c r="AD425" i="1"/>
  <c r="AF425" i="1" s="1"/>
  <c r="AD52" i="1"/>
  <c r="AF52" i="1" s="1"/>
  <c r="AD56" i="1"/>
  <c r="AF56" i="1" s="1"/>
  <c r="AD63" i="1"/>
  <c r="AF63" i="1" s="1"/>
  <c r="AD65" i="1"/>
  <c r="AF65" i="1" s="1"/>
  <c r="AD191" i="1"/>
  <c r="AF191" i="1" s="1"/>
  <c r="AD215" i="1"/>
  <c r="AF215" i="1" s="1"/>
  <c r="AD227" i="1"/>
  <c r="AF227" i="1" s="1"/>
  <c r="AD234" i="1"/>
  <c r="AF234" i="1" s="1"/>
  <c r="AD67" i="1"/>
  <c r="AF67" i="1" s="1"/>
  <c r="AD75" i="1"/>
  <c r="AF75" i="1" s="1"/>
  <c r="AD360" i="1"/>
  <c r="AF360" i="1" s="1"/>
  <c r="AD368" i="1"/>
  <c r="AF368" i="1" s="1"/>
  <c r="AD384" i="1"/>
  <c r="AF384" i="1" s="1"/>
  <c r="AD393" i="1"/>
  <c r="AF393" i="1" s="1"/>
  <c r="AD511" i="1"/>
  <c r="AF511" i="1" s="1"/>
  <c r="AD293" i="1"/>
  <c r="AF293" i="1" s="1"/>
  <c r="AD301" i="1"/>
  <c r="AF301" i="1" s="1"/>
  <c r="AD309" i="1"/>
  <c r="AF309" i="1" s="1"/>
  <c r="AD317" i="1"/>
  <c r="AF317" i="1" s="1"/>
  <c r="AD325" i="1"/>
  <c r="AF325" i="1" s="1"/>
  <c r="AD333" i="1"/>
  <c r="AF333" i="1" s="1"/>
  <c r="AD508" i="1"/>
  <c r="AF508" i="1" s="1"/>
  <c r="AD489" i="1"/>
  <c r="AF489" i="1" s="1"/>
  <c r="AD96" i="1"/>
  <c r="AF96" i="1" s="1"/>
  <c r="AD104" i="1"/>
  <c r="AF104" i="1" s="1"/>
  <c r="AD497" i="1"/>
  <c r="AF497" i="1" s="1"/>
  <c r="AI376" i="1"/>
  <c r="AE518" i="1"/>
  <c r="AE439" i="1"/>
  <c r="AE56" i="1"/>
  <c r="AE199" i="1"/>
  <c r="AE360" i="1"/>
  <c r="AE308" i="1"/>
  <c r="AE111" i="1"/>
  <c r="AE151" i="1"/>
  <c r="AE284" i="1"/>
  <c r="AD64" i="1"/>
  <c r="AF64" i="1" s="1"/>
  <c r="AD216" i="1"/>
  <c r="AF216" i="1" s="1"/>
  <c r="AE423" i="1"/>
  <c r="AE85" i="1"/>
  <c r="AE340" i="1"/>
  <c r="AE154" i="1"/>
  <c r="AE162" i="1"/>
  <c r="AD576" i="1"/>
  <c r="AF576" i="1" s="1"/>
  <c r="AD577" i="1"/>
  <c r="AF577" i="1" s="1"/>
  <c r="AE580" i="1"/>
  <c r="AE586" i="1"/>
  <c r="AD638" i="1"/>
  <c r="AF638" i="1" s="1"/>
  <c r="AE642" i="1"/>
  <c r="AD641" i="1"/>
  <c r="AF641" i="1" s="1"/>
  <c r="AE394" i="1"/>
  <c r="AE402" i="1"/>
  <c r="AE410" i="1"/>
  <c r="AE418" i="1"/>
  <c r="AE448" i="1"/>
  <c r="AE456" i="1"/>
  <c r="AE464" i="1"/>
  <c r="AE438" i="1"/>
  <c r="AE446" i="1"/>
  <c r="AE47" i="1"/>
  <c r="AE51" i="1"/>
  <c r="AE432" i="1"/>
  <c r="AE62" i="1"/>
  <c r="AE503" i="1"/>
  <c r="AE190" i="1"/>
  <c r="AE198" i="1"/>
  <c r="AE206" i="1"/>
  <c r="AE214" i="1"/>
  <c r="AE222" i="1"/>
  <c r="AE225" i="1"/>
  <c r="AE232" i="1"/>
  <c r="AE240" i="1"/>
  <c r="AE495" i="1"/>
  <c r="AE73" i="1"/>
  <c r="AE80" i="1"/>
  <c r="AE342" i="1"/>
  <c r="AE350" i="1"/>
  <c r="AE358" i="1"/>
  <c r="AE366" i="1"/>
  <c r="AE374" i="1"/>
  <c r="AE382" i="1"/>
  <c r="AE390" i="1"/>
  <c r="AE509" i="1"/>
  <c r="AE290" i="1"/>
  <c r="AE298" i="1"/>
  <c r="AE306" i="1"/>
  <c r="AE314" i="1"/>
  <c r="AE322" i="1"/>
  <c r="AE330" i="1"/>
  <c r="AE472" i="1"/>
  <c r="AE486" i="1"/>
  <c r="AE520" i="1"/>
  <c r="AE93" i="1"/>
  <c r="AE101" i="1"/>
  <c r="AE109" i="1"/>
  <c r="AE117" i="1"/>
  <c r="AE125" i="1"/>
  <c r="AE133" i="1"/>
  <c r="AE141" i="1"/>
  <c r="AE149" i="1"/>
  <c r="AE157" i="1"/>
  <c r="AE165" i="1"/>
  <c r="AE173" i="1"/>
  <c r="AE181" i="1"/>
  <c r="AE189" i="1"/>
  <c r="AE243" i="1"/>
  <c r="AE251" i="1"/>
  <c r="AE259" i="1"/>
  <c r="AE267" i="1"/>
  <c r="AE275" i="1"/>
  <c r="AE22" i="1"/>
  <c r="AE282" i="1"/>
  <c r="AD414" i="1"/>
  <c r="AF414" i="1" s="1"/>
  <c r="AD502" i="1"/>
  <c r="AF502" i="1" s="1"/>
  <c r="AD229" i="1"/>
  <c r="AF229" i="1" s="1"/>
  <c r="AD236" i="1"/>
  <c r="AF236" i="1" s="1"/>
  <c r="AD475" i="1"/>
  <c r="AF475" i="1" s="1"/>
  <c r="AD84" i="1"/>
  <c r="AF84" i="1" s="1"/>
  <c r="AD339" i="1"/>
  <c r="AF339" i="1" s="1"/>
  <c r="AD362" i="1"/>
  <c r="AF362" i="1" s="1"/>
  <c r="AD370" i="1"/>
  <c r="AF370" i="1" s="1"/>
  <c r="AD386" i="1"/>
  <c r="AF386" i="1" s="1"/>
  <c r="AD286" i="1"/>
  <c r="AF286" i="1" s="1"/>
  <c r="AD294" i="1"/>
  <c r="AF294" i="1" s="1"/>
  <c r="AD302" i="1"/>
  <c r="AF302" i="1" s="1"/>
  <c r="AD326" i="1"/>
  <c r="AF326" i="1" s="1"/>
  <c r="AD490" i="1"/>
  <c r="AF490" i="1" s="1"/>
  <c r="AD522" i="1"/>
  <c r="AF522" i="1" s="1"/>
  <c r="AD105" i="1"/>
  <c r="AF105" i="1" s="1"/>
  <c r="AD113" i="1"/>
  <c r="AF113" i="1" s="1"/>
  <c r="AD121" i="1"/>
  <c r="AF121" i="1" s="1"/>
  <c r="AD129" i="1"/>
  <c r="AF129" i="1" s="1"/>
  <c r="AD145" i="1"/>
  <c r="AF145" i="1" s="1"/>
  <c r="AD161" i="1"/>
  <c r="AF161" i="1" s="1"/>
  <c r="AD169" i="1"/>
  <c r="AF169" i="1" s="1"/>
  <c r="AD177" i="1"/>
  <c r="AF177" i="1" s="1"/>
  <c r="AD185" i="1"/>
  <c r="AF185" i="1" s="1"/>
  <c r="AD498" i="1"/>
  <c r="AF498" i="1" s="1"/>
  <c r="AD247" i="1"/>
  <c r="AF247" i="1" s="1"/>
  <c r="AD255" i="1"/>
  <c r="AF255" i="1" s="1"/>
  <c r="AD263" i="1"/>
  <c r="AF263" i="1" s="1"/>
  <c r="AD271" i="1"/>
  <c r="AF271" i="1" s="1"/>
  <c r="AD19" i="1"/>
  <c r="AF19" i="1" s="1"/>
  <c r="AE535" i="1"/>
  <c r="AE527" i="1"/>
  <c r="AE541" i="1"/>
  <c r="AE533" i="1"/>
  <c r="AE28" i="1"/>
  <c r="AI529" i="1"/>
  <c r="AD27" i="1"/>
  <c r="AF27" i="1" s="1"/>
  <c r="AD28" i="1"/>
  <c r="AF28" i="1" s="1"/>
  <c r="AD533" i="1"/>
  <c r="AF533" i="1" s="1"/>
  <c r="AE573" i="1"/>
  <c r="AE567" i="1"/>
  <c r="AE560" i="1"/>
  <c r="AE552" i="1"/>
  <c r="AI567" i="1"/>
  <c r="AI552" i="1"/>
  <c r="AI576" i="1"/>
  <c r="AD582" i="1"/>
  <c r="AF582" i="1" s="1"/>
  <c r="AD585" i="1"/>
  <c r="AF585" i="1" s="1"/>
  <c r="AE619" i="1"/>
  <c r="AD623" i="1"/>
  <c r="AF623" i="1" s="1"/>
  <c r="AI635" i="1"/>
  <c r="AD645" i="1"/>
  <c r="AF645" i="1" s="1"/>
  <c r="AE400" i="1"/>
  <c r="AE45" i="1"/>
  <c r="AE341" i="1"/>
  <c r="AE501" i="1"/>
  <c r="AE288" i="1"/>
  <c r="AE485" i="1"/>
  <c r="AE12" i="1"/>
  <c r="AE187" i="1"/>
  <c r="AE257" i="1"/>
  <c r="AE273" i="1"/>
  <c r="AE280" i="1"/>
  <c r="AD400" i="1"/>
  <c r="AF400" i="1" s="1"/>
  <c r="AD408" i="1"/>
  <c r="AF408" i="1" s="1"/>
  <c r="AD416" i="1"/>
  <c r="AF416" i="1" s="1"/>
  <c r="AD424" i="1"/>
  <c r="AF424" i="1" s="1"/>
  <c r="AD454" i="1"/>
  <c r="AF454" i="1" s="1"/>
  <c r="AD462" i="1"/>
  <c r="AF462" i="1" s="1"/>
  <c r="AD436" i="1"/>
  <c r="AF436" i="1" s="1"/>
  <c r="AD444" i="1"/>
  <c r="AF444" i="1" s="1"/>
  <c r="AD45" i="1"/>
  <c r="AF45" i="1" s="1"/>
  <c r="AD50" i="1"/>
  <c r="AF50" i="1" s="1"/>
  <c r="AD430" i="1"/>
  <c r="AF430" i="1" s="1"/>
  <c r="AD478" i="1"/>
  <c r="AF478" i="1" s="1"/>
  <c r="AD481" i="1"/>
  <c r="AF481" i="1" s="1"/>
  <c r="AD196" i="1"/>
  <c r="AF196" i="1" s="1"/>
  <c r="AD204" i="1"/>
  <c r="AF204" i="1" s="1"/>
  <c r="AD212" i="1"/>
  <c r="AF212" i="1" s="1"/>
  <c r="AD220" i="1"/>
  <c r="AF220" i="1" s="1"/>
  <c r="AE397" i="1"/>
  <c r="AE413" i="1"/>
  <c r="AE459" i="1"/>
  <c r="AE467" i="1"/>
  <c r="AE88" i="1"/>
  <c r="AE48" i="1"/>
  <c r="AE54" i="1"/>
  <c r="AE57" i="1"/>
  <c r="AE435" i="1"/>
  <c r="AE193" i="1"/>
  <c r="AE209" i="1"/>
  <c r="AE13" i="1"/>
  <c r="AE228" i="1"/>
  <c r="AE235" i="1"/>
  <c r="AE474" i="1"/>
  <c r="AE68" i="1"/>
  <c r="AE76" i="1"/>
  <c r="AE345" i="1"/>
  <c r="AE353" i="1"/>
  <c r="AE361" i="1"/>
  <c r="AE369" i="1"/>
  <c r="AE393" i="1"/>
  <c r="AE511" i="1"/>
  <c r="AE293" i="1"/>
  <c r="AE301" i="1"/>
  <c r="AE309" i="1"/>
  <c r="AE317" i="1"/>
  <c r="AE325" i="1"/>
  <c r="AE333" i="1"/>
  <c r="AE508" i="1"/>
  <c r="AE104" i="1"/>
  <c r="AE112" i="1"/>
  <c r="AE128" i="1"/>
  <c r="AE136" i="1"/>
  <c r="AE144" i="1"/>
  <c r="AE152" i="1"/>
  <c r="AE160" i="1"/>
  <c r="AE168" i="1"/>
  <c r="AE176" i="1"/>
  <c r="AE184" i="1"/>
  <c r="AE497" i="1"/>
  <c r="AE246" i="1"/>
  <c r="AE254" i="1"/>
  <c r="AE262" i="1"/>
  <c r="AE270" i="1"/>
  <c r="AE18" i="1"/>
  <c r="AE24" i="1"/>
  <c r="AE285" i="1"/>
  <c r="AI377" i="1"/>
  <c r="AI218" i="1"/>
  <c r="AE401" i="1"/>
  <c r="AE437" i="1"/>
  <c r="AE479" i="1"/>
  <c r="AE224" i="1"/>
  <c r="AE334" i="1"/>
  <c r="AE389" i="1"/>
  <c r="AE321" i="1"/>
  <c r="AE92" i="1"/>
  <c r="AE124" i="1"/>
  <c r="AE180" i="1"/>
  <c r="AE266" i="1"/>
  <c r="AD484" i="1"/>
  <c r="AF484" i="1" s="1"/>
  <c r="AE409" i="1"/>
  <c r="AE445" i="1"/>
  <c r="AE197" i="1"/>
  <c r="AE239" i="1"/>
  <c r="AE349" i="1"/>
  <c r="AE287" i="1"/>
  <c r="AE329" i="1"/>
  <c r="AE108" i="1"/>
  <c r="AE156" i="1"/>
  <c r="AE250" i="1"/>
  <c r="AE281" i="1"/>
  <c r="AD630" i="1"/>
  <c r="AF630" i="1" s="1"/>
  <c r="AI637" i="1"/>
  <c r="AI428" i="1"/>
  <c r="AI239" i="1"/>
  <c r="AI100" i="1"/>
  <c r="AI140" i="1"/>
  <c r="AE300" i="1"/>
  <c r="AE167" i="1"/>
  <c r="AE175" i="1"/>
  <c r="AE496" i="1"/>
  <c r="AE17" i="1"/>
  <c r="AE278" i="1"/>
  <c r="AE407" i="1"/>
  <c r="AE211" i="1"/>
  <c r="AE303" i="1"/>
  <c r="AE311" i="1"/>
  <c r="AE504" i="1"/>
  <c r="AE130" i="1"/>
  <c r="AE178" i="1"/>
  <c r="AE499" i="1"/>
  <c r="AD77" i="1"/>
  <c r="AF77" i="1" s="1"/>
  <c r="AD378" i="1"/>
  <c r="AF378" i="1" s="1"/>
  <c r="AE417" i="1"/>
  <c r="AE46" i="1"/>
  <c r="AE205" i="1"/>
  <c r="AE494" i="1"/>
  <c r="AE357" i="1"/>
  <c r="AE289" i="1"/>
  <c r="AE482" i="1"/>
  <c r="AE164" i="1"/>
  <c r="AI442" i="1"/>
  <c r="AI89" i="1"/>
  <c r="AI77" i="1"/>
  <c r="AI339" i="1"/>
  <c r="AI386" i="1"/>
  <c r="AI470" i="1"/>
  <c r="AI484" i="1"/>
  <c r="AI522" i="1"/>
  <c r="AI97" i="1"/>
  <c r="AI153" i="1"/>
  <c r="AI177" i="1"/>
  <c r="AI279" i="1"/>
  <c r="AI394" i="1"/>
  <c r="AI402" i="1"/>
  <c r="AI438" i="1"/>
  <c r="AI47" i="1"/>
  <c r="AI51" i="1"/>
  <c r="AI62" i="1"/>
  <c r="AI222" i="1"/>
  <c r="AI232" i="1"/>
  <c r="AI240" i="1"/>
  <c r="AI495" i="1"/>
  <c r="AI366" i="1"/>
  <c r="AI374" i="1"/>
  <c r="AI382" i="1"/>
  <c r="AI390" i="1"/>
  <c r="AI322" i="1"/>
  <c r="AI330" i="1"/>
  <c r="AI520" i="1"/>
  <c r="AI117" i="1"/>
  <c r="AI243" i="1"/>
  <c r="AI275" i="1"/>
  <c r="AE405" i="1"/>
  <c r="AE421" i="1"/>
  <c r="AE451" i="1"/>
  <c r="AE201" i="1"/>
  <c r="AE83" i="1"/>
  <c r="AE338" i="1"/>
  <c r="AE96" i="1"/>
  <c r="AE120" i="1"/>
  <c r="AE444" i="1"/>
  <c r="AE430" i="1"/>
  <c r="AE60" i="1"/>
  <c r="AE455" i="1"/>
  <c r="AE431" i="1"/>
  <c r="AE221" i="1"/>
  <c r="AE79" i="1"/>
  <c r="AE373" i="1"/>
  <c r="AE313" i="1"/>
  <c r="AE100" i="1"/>
  <c r="AE140" i="1"/>
  <c r="AE188" i="1"/>
  <c r="AE447" i="1"/>
  <c r="AE428" i="1"/>
  <c r="AE507" i="1"/>
  <c r="AE231" i="1"/>
  <c r="AE381" i="1"/>
  <c r="AE305" i="1"/>
  <c r="AE517" i="1"/>
  <c r="AE116" i="1"/>
  <c r="AE148" i="1"/>
  <c r="AE242" i="1"/>
  <c r="AE274" i="1"/>
  <c r="AD26" i="1"/>
  <c r="AF26" i="1" s="1"/>
  <c r="AE523" i="1"/>
  <c r="AD534" i="1"/>
  <c r="AF534" i="1" s="1"/>
  <c r="AD579" i="1"/>
  <c r="AF579" i="1" s="1"/>
  <c r="AE463" i="1"/>
  <c r="AE61" i="1"/>
  <c r="AE72" i="1"/>
  <c r="AE365" i="1"/>
  <c r="AE297" i="1"/>
  <c r="AE519" i="1"/>
  <c r="AE132" i="1"/>
  <c r="AE172" i="1"/>
  <c r="AE258" i="1"/>
  <c r="AE575" i="1"/>
  <c r="AE581" i="1"/>
  <c r="AI585" i="1"/>
  <c r="AE559" i="1"/>
  <c r="AI551" i="1"/>
  <c r="AE566" i="1"/>
  <c r="AI396" i="1"/>
  <c r="AE551" i="1"/>
  <c r="AI566" i="1"/>
  <c r="AI559" i="1"/>
  <c r="AD500" i="1"/>
  <c r="AF500" i="1" s="1"/>
  <c r="AD513" i="1"/>
  <c r="AF513" i="1" s="1"/>
  <c r="AI404" i="1"/>
  <c r="AI420" i="1"/>
  <c r="AI450" i="1"/>
  <c r="AI458" i="1"/>
  <c r="AI466" i="1"/>
  <c r="AI440" i="1"/>
  <c r="AI87" i="1"/>
  <c r="AI426" i="1"/>
  <c r="AI53" i="1"/>
  <c r="AI433" i="1"/>
  <c r="AI64" i="1"/>
  <c r="AI515" i="1"/>
  <c r="AI192" i="1"/>
  <c r="AI200" i="1"/>
  <c r="AI208" i="1"/>
  <c r="AI216" i="1"/>
  <c r="AI223" i="1"/>
  <c r="AI227" i="1"/>
  <c r="AI234" i="1"/>
  <c r="AI492" i="1"/>
  <c r="AI67" i="1"/>
  <c r="AI75" i="1"/>
  <c r="AI82" i="1"/>
  <c r="AI337" i="1"/>
  <c r="AI344" i="1"/>
  <c r="AI352" i="1"/>
  <c r="AI360" i="1"/>
  <c r="AI368" i="1"/>
  <c r="AI384" i="1"/>
  <c r="AI392" i="1"/>
  <c r="AI505" i="1"/>
  <c r="AI292" i="1"/>
  <c r="AI300" i="1"/>
  <c r="AI308" i="1"/>
  <c r="AI135" i="1"/>
  <c r="AI175" i="1"/>
  <c r="AI204" i="1"/>
  <c r="AI212" i="1"/>
  <c r="AE403" i="1"/>
  <c r="AE86" i="1"/>
  <c r="AE65" i="1"/>
  <c r="AE233" i="1"/>
  <c r="AE351" i="1"/>
  <c r="AE359" i="1"/>
  <c r="AE375" i="1"/>
  <c r="AE307" i="1"/>
  <c r="AE473" i="1"/>
  <c r="AE521" i="1"/>
  <c r="AE118" i="1"/>
  <c r="AE166" i="1"/>
  <c r="AE174" i="1"/>
  <c r="AE283" i="1"/>
  <c r="AD137" i="1"/>
  <c r="AF137" i="1" s="1"/>
  <c r="AD526" i="1"/>
  <c r="AF526" i="1" s="1"/>
  <c r="AE591" i="1"/>
  <c r="AI595" i="1"/>
  <c r="AD601" i="1"/>
  <c r="AF601" i="1" s="1"/>
  <c r="AD604" i="1"/>
  <c r="AF604" i="1" s="1"/>
  <c r="AE611" i="1"/>
  <c r="AE609" i="1"/>
  <c r="AE607" i="1"/>
  <c r="AI611" i="1"/>
  <c r="AD606" i="1"/>
  <c r="AF606" i="1" s="1"/>
  <c r="AD609" i="1"/>
  <c r="AF609" i="1" s="1"/>
  <c r="AD615" i="1"/>
  <c r="AF615" i="1" s="1"/>
  <c r="AE618" i="1"/>
  <c r="AE622" i="1"/>
  <c r="AE625" i="1"/>
  <c r="AE626" i="1"/>
  <c r="AI629" i="1"/>
  <c r="AE632" i="1"/>
  <c r="AE634" i="1"/>
  <c r="AI638" i="1"/>
  <c r="AE639" i="1"/>
  <c r="AI641" i="1"/>
  <c r="AE643" i="1"/>
  <c r="AI644" i="1"/>
  <c r="AE646" i="1"/>
  <c r="AE648" i="1"/>
  <c r="AI649" i="1"/>
  <c r="AD648" i="1"/>
  <c r="AF648" i="1" s="1"/>
  <c r="AE651" i="1"/>
  <c r="AI652" i="1"/>
  <c r="AE653" i="1"/>
  <c r="AD371" i="1"/>
  <c r="AF371" i="1" s="1"/>
  <c r="AD130" i="1"/>
  <c r="AF130" i="1" s="1"/>
  <c r="AD72" i="1"/>
  <c r="AF72" i="1" s="1"/>
  <c r="AD164" i="1"/>
  <c r="AF164" i="1" s="1"/>
  <c r="AD172" i="1"/>
  <c r="AF172" i="1" s="1"/>
  <c r="AD242" i="1"/>
  <c r="AF242" i="1" s="1"/>
  <c r="AD250" i="1"/>
  <c r="AF250" i="1" s="1"/>
  <c r="AD258" i="1"/>
  <c r="AF258" i="1" s="1"/>
  <c r="AD266" i="1"/>
  <c r="AF266" i="1" s="1"/>
  <c r="AD274" i="1"/>
  <c r="AF274" i="1" s="1"/>
  <c r="AD21" i="1"/>
  <c r="AF21" i="1" s="1"/>
  <c r="AD281" i="1"/>
  <c r="AF281" i="1" s="1"/>
  <c r="AE525" i="1"/>
  <c r="AE542" i="1"/>
  <c r="AE534" i="1"/>
  <c r="AE526" i="1"/>
  <c r="AE540" i="1"/>
  <c r="AE532" i="1"/>
  <c r="AE545" i="1"/>
  <c r="AE538" i="1"/>
  <c r="AE530" i="1"/>
  <c r="AI543" i="1"/>
  <c r="AI541" i="1"/>
  <c r="AI534" i="1"/>
  <c r="AD528" i="1"/>
  <c r="AF528" i="1" s="1"/>
  <c r="AD537" i="1"/>
  <c r="AF537" i="1" s="1"/>
  <c r="AD149" i="1"/>
  <c r="AF149" i="1" s="1"/>
  <c r="AI502" i="1"/>
  <c r="AD343" i="1"/>
  <c r="AF343" i="1" s="1"/>
  <c r="AD367" i="1"/>
  <c r="AF367" i="1" s="1"/>
  <c r="AD375" i="1"/>
  <c r="AF375" i="1" s="1"/>
  <c r="AD391" i="1"/>
  <c r="AF391" i="1" s="1"/>
  <c r="AD510" i="1"/>
  <c r="AF510" i="1" s="1"/>
  <c r="AD299" i="1"/>
  <c r="AF299" i="1" s="1"/>
  <c r="AD307" i="1"/>
  <c r="AF307" i="1" s="1"/>
  <c r="AD331" i="1"/>
  <c r="AF331" i="1" s="1"/>
  <c r="AD487" i="1"/>
  <c r="AF487" i="1" s="1"/>
  <c r="AD521" i="1"/>
  <c r="AF521" i="1" s="1"/>
  <c r="AD94" i="1"/>
  <c r="AF94" i="1" s="1"/>
  <c r="AD110" i="1"/>
  <c r="AF110" i="1" s="1"/>
  <c r="AD118" i="1"/>
  <c r="AF118" i="1" s="1"/>
  <c r="AD126" i="1"/>
  <c r="AF126" i="1" s="1"/>
  <c r="AD397" i="1"/>
  <c r="AF397" i="1" s="1"/>
  <c r="AD405" i="1"/>
  <c r="AF405" i="1" s="1"/>
  <c r="AD413" i="1"/>
  <c r="AF413" i="1" s="1"/>
  <c r="AD421" i="1"/>
  <c r="AF421" i="1" s="1"/>
  <c r="AD451" i="1"/>
  <c r="AF451" i="1" s="1"/>
  <c r="AD459" i="1"/>
  <c r="AF459" i="1" s="1"/>
  <c r="AD467" i="1"/>
  <c r="AF467" i="1" s="1"/>
  <c r="AD441" i="1"/>
  <c r="AF441" i="1" s="1"/>
  <c r="AD54" i="1"/>
  <c r="AF54" i="1" s="1"/>
  <c r="AD57" i="1"/>
  <c r="AF57" i="1" s="1"/>
  <c r="AD514" i="1"/>
  <c r="AF514" i="1" s="1"/>
  <c r="AD435" i="1"/>
  <c r="AF435" i="1" s="1"/>
  <c r="AD193" i="1"/>
  <c r="AF193" i="1" s="1"/>
  <c r="AD201" i="1"/>
  <c r="AF201" i="1" s="1"/>
  <c r="AD217" i="1"/>
  <c r="AF217" i="1" s="1"/>
  <c r="AD588" i="1"/>
  <c r="AF588" i="1" s="1"/>
  <c r="AE406" i="1"/>
  <c r="AE414" i="1"/>
  <c r="AE460" i="1"/>
  <c r="AE442" i="1"/>
  <c r="AE49" i="1"/>
  <c r="AE58" i="1"/>
  <c r="AE434" i="1"/>
  <c r="AE516" i="1"/>
  <c r="AE194" i="1"/>
  <c r="AE202" i="1"/>
  <c r="AE218" i="1"/>
  <c r="AE229" i="1"/>
  <c r="AE475" i="1"/>
  <c r="AE77" i="1"/>
  <c r="AE346" i="1"/>
  <c r="AE354" i="1"/>
  <c r="AE362" i="1"/>
  <c r="AE370" i="1"/>
  <c r="AE286" i="1"/>
  <c r="AE512" i="1"/>
  <c r="AE294" i="1"/>
  <c r="AE310" i="1"/>
  <c r="AE326" i="1"/>
  <c r="AE484" i="1"/>
  <c r="AE490" i="1"/>
  <c r="AE522" i="1"/>
  <c r="AE105" i="1"/>
  <c r="AE121" i="1"/>
  <c r="AE137" i="1"/>
  <c r="AE153" i="1"/>
  <c r="AE161" i="1"/>
  <c r="AE169" i="1"/>
  <c r="AE583" i="1"/>
  <c r="AI584" i="1"/>
  <c r="AD583" i="1"/>
  <c r="AF583" i="1" s="1"/>
  <c r="AD586" i="1"/>
  <c r="AF586" i="1" s="1"/>
  <c r="AE588" i="1"/>
  <c r="AD387" i="1"/>
  <c r="AF387" i="1" s="1"/>
  <c r="AE590" i="1"/>
  <c r="AI592" i="1"/>
  <c r="AE594" i="1"/>
  <c r="AE598" i="1"/>
  <c r="AI599" i="1"/>
  <c r="AD603" i="1"/>
  <c r="AF603" i="1" s="1"/>
  <c r="AE617" i="1"/>
  <c r="AD571" i="1"/>
  <c r="AF571" i="1" s="1"/>
  <c r="AI446" i="1"/>
  <c r="AI214" i="1"/>
  <c r="AI342" i="1"/>
  <c r="AI101" i="1"/>
  <c r="AI109" i="1"/>
  <c r="AI149" i="1"/>
  <c r="AI173" i="1"/>
  <c r="AI189" i="1"/>
  <c r="AI282" i="1"/>
  <c r="AE441" i="1"/>
  <c r="AE514" i="1"/>
  <c r="AE217" i="1"/>
  <c r="AE377" i="1"/>
  <c r="AE385" i="1"/>
  <c r="AE489" i="1"/>
  <c r="AD156" i="1"/>
  <c r="AF156" i="1" s="1"/>
  <c r="AD596" i="1"/>
  <c r="AF596" i="1" s="1"/>
  <c r="AI409" i="1"/>
  <c r="AI305" i="1"/>
  <c r="AI519" i="1"/>
  <c r="AI188" i="1"/>
  <c r="AD336" i="1"/>
  <c r="AF336" i="1" s="1"/>
  <c r="AI395" i="1"/>
  <c r="AI403" i="1"/>
  <c r="AI411" i="1"/>
  <c r="AI419" i="1"/>
  <c r="AI449" i="1"/>
  <c r="AI457" i="1"/>
  <c r="AI465" i="1"/>
  <c r="AI439" i="1"/>
  <c r="AI86" i="1"/>
  <c r="AI425" i="1"/>
  <c r="AI52" i="1"/>
  <c r="AI56" i="1"/>
  <c r="AI63" i="1"/>
  <c r="AI65" i="1"/>
  <c r="AE396" i="1"/>
  <c r="AE404" i="1"/>
  <c r="AE412" i="1"/>
  <c r="AE450" i="1"/>
  <c r="AE458" i="1"/>
  <c r="AE466" i="1"/>
  <c r="AE440" i="1"/>
  <c r="AE87" i="1"/>
  <c r="AE426" i="1"/>
  <c r="AE53" i="1"/>
  <c r="AE433" i="1"/>
  <c r="AE64" i="1"/>
  <c r="AE192" i="1"/>
  <c r="AE200" i="1"/>
  <c r="AE208" i="1"/>
  <c r="AE216" i="1"/>
  <c r="AE223" i="1"/>
  <c r="AE227" i="1"/>
  <c r="AE234" i="1"/>
  <c r="AE492" i="1"/>
  <c r="AE67" i="1"/>
  <c r="AE75" i="1"/>
  <c r="AE82" i="1"/>
  <c r="AE337" i="1"/>
  <c r="AE344" i="1"/>
  <c r="AE352" i="1"/>
  <c r="AI467" i="1"/>
  <c r="AI57" i="1"/>
  <c r="AI345" i="1"/>
  <c r="AI393" i="1"/>
  <c r="AI511" i="1"/>
  <c r="AE408" i="1"/>
  <c r="AE416" i="1"/>
  <c r="AE424" i="1"/>
  <c r="AE454" i="1"/>
  <c r="AE462" i="1"/>
  <c r="AE436" i="1"/>
  <c r="AE50" i="1"/>
  <c r="AE478" i="1"/>
  <c r="AE481" i="1"/>
  <c r="AE204" i="1"/>
  <c r="AE212" i="1"/>
  <c r="AE220" i="1"/>
  <c r="AE230" i="1"/>
  <c r="AE238" i="1"/>
  <c r="AE493" i="1"/>
  <c r="AE71" i="1"/>
  <c r="AE348" i="1"/>
  <c r="AD296" i="1"/>
  <c r="AF296" i="1" s="1"/>
  <c r="AD320" i="1"/>
  <c r="AF320" i="1" s="1"/>
  <c r="AD245" i="1"/>
  <c r="AF245" i="1" s="1"/>
  <c r="AD91" i="1"/>
  <c r="AF91" i="1" s="1"/>
  <c r="AD98" i="1"/>
  <c r="AF98" i="1" s="1"/>
  <c r="AD406" i="1"/>
  <c r="AF406" i="1" s="1"/>
  <c r="AD452" i="1"/>
  <c r="AF452" i="1" s="1"/>
  <c r="AD460" i="1"/>
  <c r="AF460" i="1" s="1"/>
  <c r="AD468" i="1"/>
  <c r="AF468" i="1" s="1"/>
  <c r="AD49" i="1"/>
  <c r="AF49" i="1" s="1"/>
  <c r="AD434" i="1"/>
  <c r="AF434" i="1" s="1"/>
  <c r="AD516" i="1"/>
  <c r="AF516" i="1" s="1"/>
  <c r="AD228" i="1"/>
  <c r="AF228" i="1" s="1"/>
  <c r="AD235" i="1"/>
  <c r="AF235" i="1" s="1"/>
  <c r="AD82" i="1"/>
  <c r="AF82" i="1" s="1"/>
  <c r="AD344" i="1"/>
  <c r="AF344" i="1" s="1"/>
  <c r="AD376" i="1"/>
  <c r="AF376" i="1" s="1"/>
  <c r="AD277" i="1"/>
  <c r="AF277" i="1" s="1"/>
  <c r="AI640" i="1"/>
  <c r="AD647" i="1"/>
  <c r="AF647" i="1" s="1"/>
  <c r="AE356" i="1"/>
  <c r="AE364" i="1"/>
  <c r="AE372" i="1"/>
  <c r="AE380" i="1"/>
  <c r="AE388" i="1"/>
  <c r="AE296" i="1"/>
  <c r="AE304" i="1"/>
  <c r="AE312" i="1"/>
  <c r="AE320" i="1"/>
  <c r="AE328" i="1"/>
  <c r="AE471" i="1"/>
  <c r="AE99" i="1"/>
  <c r="AE107" i="1"/>
  <c r="AE115" i="1"/>
  <c r="AE123" i="1"/>
  <c r="AE131" i="1"/>
  <c r="AE139" i="1"/>
  <c r="AE147" i="1"/>
  <c r="AE155" i="1"/>
  <c r="AE163" i="1"/>
  <c r="AE171" i="1"/>
  <c r="AE179" i="1"/>
  <c r="AE241" i="1"/>
  <c r="AE249" i="1"/>
  <c r="AE265" i="1"/>
  <c r="AE20" i="1"/>
  <c r="AE411" i="1"/>
  <c r="AE419" i="1"/>
  <c r="AE465" i="1"/>
  <c r="AE425" i="1"/>
  <c r="AE63" i="1"/>
  <c r="AE207" i="1"/>
  <c r="AE226" i="1"/>
  <c r="AE66" i="1"/>
  <c r="AE81" i="1"/>
  <c r="AE336" i="1"/>
  <c r="AE383" i="1"/>
  <c r="AE391" i="1"/>
  <c r="AE299" i="1"/>
  <c r="AE315" i="1"/>
  <c r="AE487" i="1"/>
  <c r="AE94" i="1"/>
  <c r="AE102" i="1"/>
  <c r="AE134" i="1"/>
  <c r="AE158" i="1"/>
  <c r="AE23" i="1"/>
  <c r="AE453" i="1"/>
  <c r="AE461" i="1"/>
  <c r="AE469" i="1"/>
  <c r="AE429" i="1"/>
  <c r="AE506" i="1"/>
  <c r="AE480" i="1"/>
  <c r="AE16" i="1"/>
  <c r="AE70" i="1"/>
  <c r="AE78" i="1"/>
  <c r="AE355" i="1"/>
  <c r="AE387" i="1"/>
  <c r="AE500" i="1"/>
  <c r="AE513" i="1"/>
  <c r="AE295" i="1"/>
  <c r="AE319" i="1"/>
  <c r="AE91" i="1"/>
  <c r="AE98" i="1"/>
  <c r="AE106" i="1"/>
  <c r="AE114" i="1"/>
  <c r="AE146" i="1"/>
  <c r="AE248" i="1"/>
  <c r="AE272" i="1"/>
  <c r="AE25" i="1"/>
  <c r="AD402" i="1"/>
  <c r="AF402" i="1" s="1"/>
  <c r="AD410" i="1"/>
  <c r="AF410" i="1" s="1"/>
  <c r="AD418" i="1"/>
  <c r="AF418" i="1" s="1"/>
  <c r="AD47" i="1"/>
  <c r="AF47" i="1" s="1"/>
  <c r="AD432" i="1"/>
  <c r="AF432" i="1" s="1"/>
  <c r="AD62" i="1"/>
  <c r="AF62" i="1" s="1"/>
  <c r="AD214" i="1"/>
  <c r="AF214" i="1" s="1"/>
  <c r="AD222" i="1"/>
  <c r="AF222" i="1" s="1"/>
  <c r="AD509" i="1"/>
  <c r="AF509" i="1" s="1"/>
  <c r="AD518" i="1"/>
  <c r="AF518" i="1" s="1"/>
  <c r="AD146" i="1"/>
  <c r="AF146" i="1" s="1"/>
  <c r="AD265" i="1"/>
  <c r="AF265" i="1" s="1"/>
  <c r="AD273" i="1"/>
  <c r="AF273" i="1" s="1"/>
  <c r="AD420" i="1"/>
  <c r="AF420" i="1" s="1"/>
  <c r="AD450" i="1"/>
  <c r="AF450" i="1" s="1"/>
  <c r="AD200" i="1"/>
  <c r="AF200" i="1" s="1"/>
  <c r="AD208" i="1"/>
  <c r="AF208" i="1" s="1"/>
  <c r="AI582" i="1"/>
  <c r="AD590" i="1"/>
  <c r="AF590" i="1" s="1"/>
  <c r="AE368" i="1"/>
  <c r="AE376" i="1"/>
  <c r="AE384" i="1"/>
  <c r="AE392" i="1"/>
  <c r="AE505" i="1"/>
  <c r="AE292" i="1"/>
  <c r="AE316" i="1"/>
  <c r="AE324" i="1"/>
  <c r="AE332" i="1"/>
  <c r="AE483" i="1"/>
  <c r="AE488" i="1"/>
  <c r="AE95" i="1"/>
  <c r="AE103" i="1"/>
  <c r="AE119" i="1"/>
  <c r="AE127" i="1"/>
  <c r="AE135" i="1"/>
  <c r="AE143" i="1"/>
  <c r="AE159" i="1"/>
  <c r="AE183" i="1"/>
  <c r="AE245" i="1"/>
  <c r="AE253" i="1"/>
  <c r="AE261" i="1"/>
  <c r="AE269" i="1"/>
  <c r="AI397" i="1"/>
  <c r="AI405" i="1"/>
  <c r="AI413" i="1"/>
  <c r="AI451" i="1"/>
  <c r="AI459" i="1"/>
  <c r="AI441" i="1"/>
  <c r="AI88" i="1"/>
  <c r="AI48" i="1"/>
  <c r="AI54" i="1"/>
  <c r="AI514" i="1"/>
  <c r="AI435" i="1"/>
  <c r="AI193" i="1"/>
  <c r="AI201" i="1"/>
  <c r="AI209" i="1"/>
  <c r="AI217" i="1"/>
  <c r="AI13" i="1"/>
  <c r="AI228" i="1"/>
  <c r="AI235" i="1"/>
  <c r="AI474" i="1"/>
  <c r="AI68" i="1"/>
  <c r="AI76" i="1"/>
  <c r="AI83" i="1"/>
  <c r="AI338" i="1"/>
  <c r="AI353" i="1"/>
  <c r="AI361" i="1"/>
  <c r="AI369" i="1"/>
  <c r="AI385" i="1"/>
  <c r="AI293" i="1"/>
  <c r="AI301" i="1"/>
  <c r="AI309" i="1"/>
  <c r="AI317" i="1"/>
  <c r="AI325" i="1"/>
  <c r="AI333" i="1"/>
  <c r="AI508" i="1"/>
  <c r="AI489" i="1"/>
  <c r="AI96" i="1"/>
  <c r="AI104" i="1"/>
  <c r="AI112" i="1"/>
  <c r="AI120" i="1"/>
  <c r="AI128" i="1"/>
  <c r="AI136" i="1"/>
  <c r="AI144" i="1"/>
  <c r="AI152" i="1"/>
  <c r="AI160" i="1"/>
  <c r="AI168" i="1"/>
  <c r="AI176" i="1"/>
  <c r="AI184" i="1"/>
  <c r="AI497" i="1"/>
  <c r="AI246" i="1"/>
  <c r="AI254" i="1"/>
  <c r="AD203" i="1"/>
  <c r="AF203" i="1" s="1"/>
  <c r="AD345" i="1"/>
  <c r="AF345" i="1" s="1"/>
  <c r="AD346" i="1"/>
  <c r="AF346" i="1" s="1"/>
  <c r="AI612" i="1"/>
  <c r="AI613" i="1"/>
  <c r="AI316" i="1"/>
  <c r="AI324" i="1"/>
  <c r="AI332" i="1"/>
  <c r="AI483" i="1"/>
  <c r="AI488" i="1"/>
  <c r="AI95" i="1"/>
  <c r="AI103" i="1"/>
  <c r="AI111" i="1"/>
  <c r="AI119" i="1"/>
  <c r="AI127" i="1"/>
  <c r="AI143" i="1"/>
  <c r="AI151" i="1"/>
  <c r="AI159" i="1"/>
  <c r="AI167" i="1"/>
  <c r="AI183" i="1"/>
  <c r="AI496" i="1"/>
  <c r="AI245" i="1"/>
  <c r="AI253" i="1"/>
  <c r="AI261" i="1"/>
  <c r="AI269" i="1"/>
  <c r="AI17" i="1"/>
  <c r="AI278" i="1"/>
  <c r="AI284" i="1"/>
  <c r="AD213" i="1"/>
  <c r="AF213" i="1" s="1"/>
  <c r="AI262" i="1"/>
  <c r="AI270" i="1"/>
  <c r="AI18" i="1"/>
  <c r="AI24" i="1"/>
  <c r="AI285" i="1"/>
  <c r="AI401" i="1"/>
  <c r="AI417" i="1"/>
  <c r="AI447" i="1"/>
  <c r="AI455" i="1"/>
  <c r="AI463" i="1"/>
  <c r="AI437" i="1"/>
  <c r="AI445" i="1"/>
  <c r="AI46" i="1"/>
  <c r="AI431" i="1"/>
  <c r="AI61" i="1"/>
  <c r="AI479" i="1"/>
  <c r="AI507" i="1"/>
  <c r="AI197" i="1"/>
  <c r="AI205" i="1"/>
  <c r="AI213" i="1"/>
  <c r="AI221" i="1"/>
  <c r="AI224" i="1"/>
  <c r="AI231" i="1"/>
  <c r="AI494" i="1"/>
  <c r="AI72" i="1"/>
  <c r="AI79" i="1"/>
  <c r="AI334" i="1"/>
  <c r="AI349" i="1"/>
  <c r="AI357" i="1"/>
  <c r="AI365" i="1"/>
  <c r="AI373" i="1"/>
  <c r="AI389" i="1"/>
  <c r="AI287" i="1"/>
  <c r="AI289" i="1"/>
  <c r="AI297" i="1"/>
  <c r="AI313" i="1"/>
  <c r="AI321" i="1"/>
  <c r="AI329" i="1"/>
  <c r="AI482" i="1"/>
  <c r="AI517" i="1"/>
  <c r="AI92" i="1"/>
  <c r="AI108" i="1"/>
  <c r="AI116" i="1"/>
  <c r="AI124" i="1"/>
  <c r="AI132" i="1"/>
  <c r="AI148" i="1"/>
  <c r="AI156" i="1"/>
  <c r="AI164" i="1"/>
  <c r="AI172" i="1"/>
  <c r="AI180" i="1"/>
  <c r="AI242" i="1"/>
  <c r="AI250" i="1"/>
  <c r="AI258" i="1"/>
  <c r="AI266" i="1"/>
  <c r="AI274" i="1"/>
  <c r="AI21" i="1"/>
  <c r="AI281" i="1"/>
  <c r="AE399" i="1"/>
  <c r="AE415" i="1"/>
  <c r="AE443" i="1"/>
  <c r="AE90" i="1"/>
  <c r="AE427" i="1"/>
  <c r="AE59" i="1"/>
  <c r="AE203" i="1"/>
  <c r="AE15" i="1"/>
  <c r="AE347" i="1"/>
  <c r="AE363" i="1"/>
  <c r="AE371" i="1"/>
  <c r="AE327" i="1"/>
  <c r="AE26" i="1"/>
  <c r="AE122" i="1"/>
  <c r="AE138" i="1"/>
  <c r="AE170" i="1"/>
  <c r="AE186" i="1"/>
  <c r="AE256" i="1"/>
  <c r="AE264" i="1"/>
  <c r="AE277" i="1"/>
  <c r="AE367" i="1"/>
  <c r="AD55" i="1"/>
  <c r="AF55" i="1" s="1"/>
  <c r="AD58" i="1"/>
  <c r="AF58" i="1" s="1"/>
  <c r="AD14" i="1"/>
  <c r="AF14" i="1" s="1"/>
  <c r="AD231" i="1"/>
  <c r="AF231" i="1" s="1"/>
  <c r="AI398" i="1"/>
  <c r="AI414" i="1"/>
  <c r="AI422" i="1"/>
  <c r="AI452" i="1"/>
  <c r="AI460" i="1"/>
  <c r="AI468" i="1"/>
  <c r="AI49" i="1"/>
  <c r="AI55" i="1"/>
  <c r="AI58" i="1"/>
  <c r="AI434" i="1"/>
  <c r="AI516" i="1"/>
  <c r="AI194" i="1"/>
  <c r="AI202" i="1"/>
  <c r="AI14" i="1"/>
  <c r="AI229" i="1"/>
  <c r="AI236" i="1"/>
  <c r="AI475" i="1"/>
  <c r="AI69" i="1"/>
  <c r="AI84" i="1"/>
  <c r="AI346" i="1"/>
  <c r="AI354" i="1"/>
  <c r="AI370" i="1"/>
  <c r="AI378" i="1"/>
  <c r="AI286" i="1"/>
  <c r="AI512" i="1"/>
  <c r="AI294" i="1"/>
  <c r="AI302" i="1"/>
  <c r="AI310" i="1"/>
  <c r="AI318" i="1"/>
  <c r="AI326" i="1"/>
  <c r="AI490" i="1"/>
  <c r="AI145" i="1"/>
  <c r="AI169" i="1"/>
  <c r="AI263" i="1"/>
  <c r="AI19" i="1"/>
  <c r="AI157" i="1"/>
  <c r="AI181" i="1"/>
  <c r="AD337" i="1"/>
  <c r="AF337" i="1" s="1"/>
  <c r="AD352" i="1"/>
  <c r="AF352" i="1" s="1"/>
  <c r="AD270" i="1"/>
  <c r="AF270" i="1" s="1"/>
  <c r="AI658" i="1"/>
  <c r="AD381" i="1"/>
  <c r="AF381" i="1" s="1"/>
  <c r="AD187" i="1"/>
  <c r="AF187" i="1" s="1"/>
  <c r="AD13" i="1"/>
  <c r="AF13" i="1" s="1"/>
  <c r="AI400" i="1"/>
  <c r="AI416" i="1"/>
  <c r="AI196" i="1"/>
  <c r="AI220" i="1"/>
  <c r="AI372" i="1"/>
  <c r="AI501" i="1"/>
  <c r="AI304" i="1"/>
  <c r="AI312" i="1"/>
  <c r="AI187" i="1"/>
  <c r="AI265" i="1"/>
  <c r="AE74" i="1"/>
  <c r="AE323" i="1"/>
  <c r="AE150" i="1"/>
  <c r="AE182" i="1"/>
  <c r="AE477" i="1"/>
  <c r="AE276" i="1"/>
  <c r="AE468" i="1"/>
  <c r="AE185" i="1"/>
  <c r="AE271" i="1"/>
  <c r="AD372" i="1"/>
  <c r="AF372" i="1" s="1"/>
  <c r="AD194" i="1"/>
  <c r="AF194" i="1" s="1"/>
  <c r="AD566" i="1"/>
  <c r="AF566" i="1" s="1"/>
  <c r="AI537" i="1"/>
  <c r="AD272" i="1"/>
  <c r="AF272" i="1" s="1"/>
  <c r="AD395" i="1"/>
  <c r="AF395" i="1" s="1"/>
  <c r="AD310" i="1"/>
  <c r="AF310" i="1" s="1"/>
  <c r="AI609" i="1"/>
  <c r="AD348" i="1"/>
  <c r="AF348" i="1" s="1"/>
  <c r="AD303" i="1"/>
  <c r="AF303" i="1" s="1"/>
  <c r="AD175" i="1"/>
  <c r="AF175" i="1" s="1"/>
  <c r="AD182" i="1"/>
  <c r="AF182" i="1" s="1"/>
  <c r="AI191" i="1"/>
  <c r="AI199" i="1"/>
  <c r="AI207" i="1"/>
  <c r="AI215" i="1"/>
  <c r="AI226" i="1"/>
  <c r="AI233" i="1"/>
  <c r="AI491" i="1"/>
  <c r="AI66" i="1"/>
  <c r="AI74" i="1"/>
  <c r="AI81" i="1"/>
  <c r="AI336" i="1"/>
  <c r="AI343" i="1"/>
  <c r="AI351" i="1"/>
  <c r="AI359" i="1"/>
  <c r="AI367" i="1"/>
  <c r="AI375" i="1"/>
  <c r="AI383" i="1"/>
  <c r="AI391" i="1"/>
  <c r="AI510" i="1"/>
  <c r="AI291" i="1"/>
  <c r="AI299" i="1"/>
  <c r="AI307" i="1"/>
  <c r="AI315" i="1"/>
  <c r="AI323" i="1"/>
  <c r="AI331" i="1"/>
  <c r="AI473" i="1"/>
  <c r="AI487" i="1"/>
  <c r="AI521" i="1"/>
  <c r="AI94" i="1"/>
  <c r="AI102" i="1"/>
  <c r="AI110" i="1"/>
  <c r="AI118" i="1"/>
  <c r="AI126" i="1"/>
  <c r="AI134" i="1"/>
  <c r="AI142" i="1"/>
  <c r="AI150" i="1"/>
  <c r="AI158" i="1"/>
  <c r="AI166" i="1"/>
  <c r="AI174" i="1"/>
  <c r="AI182" i="1"/>
  <c r="AI477" i="1"/>
  <c r="AI244" i="1"/>
  <c r="AI252" i="1"/>
  <c r="AI260" i="1"/>
  <c r="AI268" i="1"/>
  <c r="AI276" i="1"/>
  <c r="AI23" i="1"/>
  <c r="AI283" i="1"/>
  <c r="AI399" i="1"/>
  <c r="AI407" i="1"/>
  <c r="AI415" i="1"/>
  <c r="AI423" i="1"/>
  <c r="AI453" i="1"/>
  <c r="AI461" i="1"/>
  <c r="AI469" i="1"/>
  <c r="AI443" i="1"/>
  <c r="AI90" i="1"/>
  <c r="AI427" i="1"/>
  <c r="AI429" i="1"/>
  <c r="AI59" i="1"/>
  <c r="AI506" i="1"/>
  <c r="AI480" i="1"/>
  <c r="AI195" i="1"/>
  <c r="AD433" i="1"/>
  <c r="AF433" i="1" s="1"/>
  <c r="AI30" i="1"/>
  <c r="AE195" i="1"/>
  <c r="AE219" i="1"/>
  <c r="AE379" i="1"/>
  <c r="AD492" i="1"/>
  <c r="AF492" i="1" s="1"/>
  <c r="AD152" i="1"/>
  <c r="AF152" i="1" s="1"/>
  <c r="AI418" i="1"/>
  <c r="AI432" i="1"/>
  <c r="AI225" i="1"/>
  <c r="AI350" i="1"/>
  <c r="AI298" i="1"/>
  <c r="AI486" i="1"/>
  <c r="AI93" i="1"/>
  <c r="AI125" i="1"/>
  <c r="AI133" i="1"/>
  <c r="AI141" i="1"/>
  <c r="AI165" i="1"/>
  <c r="AI251" i="1"/>
  <c r="AI259" i="1"/>
  <c r="AI267" i="1"/>
  <c r="AI22" i="1"/>
  <c r="AE196" i="1"/>
  <c r="AI536" i="1"/>
  <c r="AI29" i="1"/>
  <c r="AD512" i="1"/>
  <c r="AF512" i="1" s="1"/>
  <c r="AD563" i="1"/>
  <c r="AF563" i="1" s="1"/>
  <c r="AD392" i="1"/>
  <c r="AF392" i="1" s="1"/>
  <c r="AD324" i="1"/>
  <c r="AF324" i="1" s="1"/>
  <c r="AD560" i="1"/>
  <c r="AF560" i="1" s="1"/>
  <c r="AD572" i="1"/>
  <c r="AF572" i="1" s="1"/>
  <c r="AD282" i="1"/>
  <c r="AF282" i="1" s="1"/>
  <c r="AI203" i="1"/>
  <c r="AI211" i="1"/>
  <c r="AI219" i="1"/>
  <c r="AI15" i="1"/>
  <c r="AI16" i="1"/>
  <c r="AE395" i="1"/>
  <c r="AE449" i="1"/>
  <c r="AE457" i="1"/>
  <c r="AE52" i="1"/>
  <c r="AE191" i="1"/>
  <c r="AE215" i="1"/>
  <c r="AE491" i="1"/>
  <c r="AE343" i="1"/>
  <c r="AE510" i="1"/>
  <c r="AE331" i="1"/>
  <c r="AE110" i="1"/>
  <c r="AE126" i="1"/>
  <c r="AE142" i="1"/>
  <c r="AE244" i="1"/>
  <c r="AE252" i="1"/>
  <c r="AE260" i="1"/>
  <c r="AE268" i="1"/>
  <c r="AD69" i="1"/>
  <c r="AF69" i="1" s="1"/>
  <c r="AD470" i="1"/>
  <c r="AF470" i="1" s="1"/>
  <c r="AD131" i="1"/>
  <c r="AF131" i="1" s="1"/>
  <c r="AD89" i="1"/>
  <c r="AF89" i="1" s="1"/>
  <c r="AD207" i="1"/>
  <c r="AF207" i="1" s="1"/>
  <c r="AI606" i="1"/>
  <c r="AI620" i="1"/>
  <c r="AI624" i="1"/>
  <c r="AD656" i="1"/>
  <c r="AF656" i="1" s="1"/>
  <c r="AE658" i="1"/>
  <c r="AD474" i="1"/>
  <c r="AF474" i="1" s="1"/>
  <c r="AD501" i="1"/>
  <c r="AF501" i="1" s="1"/>
  <c r="AD153" i="1"/>
  <c r="AF153" i="1" s="1"/>
  <c r="AD259" i="1"/>
  <c r="AF259" i="1" s="1"/>
  <c r="AI618" i="1"/>
  <c r="AD464" i="1"/>
  <c r="AF464" i="1" s="1"/>
  <c r="AD74" i="1"/>
  <c r="AF74" i="1" s="1"/>
  <c r="AD269" i="1"/>
  <c r="AF269" i="1" s="1"/>
  <c r="AD373" i="1"/>
  <c r="AF373" i="1" s="1"/>
  <c r="AI545" i="1"/>
  <c r="AD551" i="1"/>
  <c r="AF551" i="1" s="1"/>
  <c r="AI593" i="1"/>
  <c r="AI600" i="1"/>
  <c r="AI601" i="1"/>
  <c r="AI645" i="1"/>
  <c r="AD657" i="1"/>
  <c r="AF657" i="1" s="1"/>
  <c r="AD237" i="1"/>
  <c r="AF237" i="1" s="1"/>
  <c r="AD473" i="1"/>
  <c r="AF473" i="1" s="1"/>
  <c r="AD134" i="1"/>
  <c r="AF134" i="1" s="1"/>
  <c r="AD419" i="1"/>
  <c r="AF419" i="1" s="1"/>
  <c r="AD120" i="1"/>
  <c r="AF120" i="1" s="1"/>
  <c r="AI544" i="1"/>
  <c r="AI542" i="1"/>
  <c r="AD578" i="1"/>
  <c r="AF578" i="1" s="1"/>
  <c r="AD608" i="1"/>
  <c r="AF608" i="1" s="1"/>
  <c r="AI237" i="1"/>
  <c r="AI476" i="1"/>
  <c r="AI70" i="1"/>
  <c r="AI78" i="1"/>
  <c r="AI85" i="1"/>
  <c r="AI340" i="1"/>
  <c r="AI347" i="1"/>
  <c r="AI355" i="1"/>
  <c r="AI363" i="1"/>
  <c r="AI371" i="1"/>
  <c r="AI379" i="1"/>
  <c r="AI387" i="1"/>
  <c r="AI500" i="1"/>
  <c r="AI513" i="1"/>
  <c r="AI295" i="1"/>
  <c r="AI303" i="1"/>
  <c r="AI311" i="1"/>
  <c r="AI319" i="1"/>
  <c r="AI327" i="1"/>
  <c r="AI504" i="1"/>
  <c r="AI26" i="1"/>
  <c r="AI91" i="1"/>
  <c r="AI98" i="1"/>
  <c r="AI106" i="1"/>
  <c r="AI114" i="1"/>
  <c r="AI122" i="1"/>
  <c r="AI130" i="1"/>
  <c r="AI138" i="1"/>
  <c r="AI146" i="1"/>
  <c r="AI154" i="1"/>
  <c r="AI162" i="1"/>
  <c r="AI170" i="1"/>
  <c r="AI178" i="1"/>
  <c r="AI186" i="1"/>
  <c r="AI499" i="1"/>
  <c r="AI248" i="1"/>
  <c r="AI256" i="1"/>
  <c r="AI264" i="1"/>
  <c r="AI272" i="1"/>
  <c r="AI277" i="1"/>
  <c r="AI25" i="1"/>
  <c r="AD458" i="1"/>
  <c r="AF458" i="1" s="1"/>
  <c r="AD466" i="1"/>
  <c r="AF466" i="1" s="1"/>
  <c r="AD440" i="1"/>
  <c r="AF440" i="1" s="1"/>
  <c r="AD87" i="1"/>
  <c r="AF87" i="1" s="1"/>
  <c r="AD192" i="1"/>
  <c r="AF192" i="1" s="1"/>
  <c r="AD223" i="1"/>
  <c r="AF223" i="1" s="1"/>
  <c r="AD383" i="1"/>
  <c r="AF383" i="1" s="1"/>
  <c r="AD398" i="1"/>
  <c r="AF398" i="1" s="1"/>
  <c r="AD190" i="1"/>
  <c r="AF190" i="1" s="1"/>
  <c r="AD330" i="1"/>
  <c r="AF330" i="1" s="1"/>
  <c r="AD115" i="1"/>
  <c r="AF115" i="1" s="1"/>
  <c r="AD552" i="1"/>
  <c r="AF552" i="1" s="1"/>
  <c r="AD494" i="1"/>
  <c r="AF494" i="1" s="1"/>
  <c r="AD181" i="1"/>
  <c r="AF181" i="1" s="1"/>
  <c r="AD557" i="1"/>
  <c r="AF557" i="1" s="1"/>
  <c r="AD575" i="1"/>
  <c r="AF575" i="1" s="1"/>
  <c r="AD396" i="1"/>
  <c r="AF396" i="1" s="1"/>
  <c r="AD404" i="1"/>
  <c r="AF404" i="1" s="1"/>
  <c r="AD412" i="1"/>
  <c r="AF412" i="1" s="1"/>
  <c r="AD426" i="1"/>
  <c r="AF426" i="1" s="1"/>
  <c r="AD53" i="1"/>
  <c r="AF53" i="1" s="1"/>
  <c r="AD515" i="1"/>
  <c r="AF515" i="1" s="1"/>
  <c r="AD225" i="1"/>
  <c r="AF225" i="1" s="1"/>
  <c r="AD491" i="1"/>
  <c r="AF491" i="1" s="1"/>
  <c r="AD351" i="1"/>
  <c r="AF351" i="1" s="1"/>
  <c r="AI524" i="1"/>
  <c r="AI535" i="1"/>
  <c r="AI528" i="1"/>
  <c r="AI575" i="1"/>
  <c r="AI578" i="1"/>
  <c r="AI580" i="1"/>
  <c r="AI586" i="1"/>
  <c r="AI588" i="1"/>
  <c r="AI591" i="1"/>
  <c r="AI598" i="1"/>
  <c r="AI607" i="1"/>
  <c r="AI616" i="1"/>
  <c r="AI621" i="1"/>
  <c r="AI627" i="1"/>
  <c r="AI630" i="1"/>
  <c r="AI634" i="1"/>
  <c r="AI643" i="1"/>
  <c r="AI648" i="1"/>
  <c r="AD547" i="1"/>
  <c r="AF547" i="1" s="1"/>
  <c r="AD60" i="1"/>
  <c r="AF60" i="1" s="1"/>
  <c r="AD81" i="1"/>
  <c r="AF81" i="1" s="1"/>
  <c r="AD564" i="1"/>
  <c r="AF564" i="1" s="1"/>
  <c r="AE656" i="1"/>
  <c r="AD205" i="1"/>
  <c r="AF205" i="1" s="1"/>
  <c r="AD654" i="1"/>
  <c r="AF654" i="1" s="1"/>
  <c r="AD206" i="1"/>
  <c r="AF206" i="1" s="1"/>
  <c r="AE654" i="1"/>
  <c r="AD350" i="1"/>
  <c r="AF350" i="1" s="1"/>
  <c r="AD30" i="1"/>
  <c r="AF30" i="1" s="1"/>
  <c r="AD659" i="1"/>
  <c r="AF659" i="1" s="1"/>
  <c r="AD658" i="1"/>
  <c r="AF658" i="1" s="1"/>
  <c r="AE659" i="1"/>
  <c r="AE30" i="1"/>
  <c r="AI659" i="1"/>
  <c r="AI555" i="1"/>
  <c r="AI657" i="1"/>
  <c r="AI570" i="1"/>
  <c r="AI547" i="1"/>
  <c r="AI562" i="1"/>
  <c r="AI408" i="1"/>
  <c r="AI424" i="1"/>
  <c r="AI454" i="1"/>
  <c r="AI462" i="1"/>
  <c r="AI436" i="1"/>
  <c r="AI444" i="1"/>
  <c r="AI45" i="1"/>
  <c r="AI50" i="1"/>
  <c r="AI430" i="1"/>
  <c r="AI60" i="1"/>
  <c r="AI478" i="1"/>
  <c r="AI481" i="1"/>
  <c r="AI230" i="1"/>
  <c r="AI238" i="1"/>
  <c r="AI493" i="1"/>
  <c r="AI71" i="1"/>
  <c r="AI341" i="1"/>
  <c r="AI348" i="1"/>
  <c r="AI356" i="1"/>
  <c r="AI364" i="1"/>
  <c r="AI380" i="1"/>
  <c r="AI388" i="1"/>
  <c r="AI288" i="1"/>
  <c r="AI320" i="1"/>
  <c r="AI328" i="1"/>
  <c r="AI471" i="1"/>
  <c r="AI485" i="1"/>
  <c r="AI518" i="1"/>
  <c r="AI12" i="1"/>
  <c r="AI99" i="1"/>
  <c r="AI107" i="1"/>
  <c r="AI115" i="1"/>
  <c r="AI123" i="1"/>
  <c r="AI131" i="1"/>
  <c r="AI139" i="1"/>
  <c r="AI147" i="1"/>
  <c r="AI155" i="1"/>
  <c r="AI163" i="1"/>
  <c r="AI171" i="1"/>
  <c r="AI179" i="1"/>
  <c r="AI241" i="1"/>
  <c r="AI249" i="1"/>
  <c r="AI257" i="1"/>
  <c r="AI273" i="1"/>
  <c r="AI20" i="1"/>
  <c r="AI280" i="1"/>
  <c r="AI527" i="1"/>
  <c r="AI546" i="1"/>
  <c r="AI577" i="1"/>
  <c r="AI579" i="1"/>
  <c r="AI603" i="1"/>
  <c r="AI604" i="1"/>
  <c r="AI605" i="1"/>
  <c r="AI608" i="1"/>
  <c r="AI614" i="1"/>
  <c r="AI619" i="1"/>
  <c r="AI636" i="1"/>
  <c r="AI650" i="1"/>
  <c r="AI656" i="1"/>
  <c r="AD655" i="1"/>
  <c r="AF655" i="1" s="1"/>
  <c r="AI654" i="1"/>
  <c r="AE655" i="1"/>
  <c r="AE657" i="1"/>
  <c r="W5" i="1" l="1"/>
</calcChain>
</file>

<file path=xl/sharedStrings.xml><?xml version="1.0" encoding="utf-8"?>
<sst xmlns="http://schemas.openxmlformats.org/spreadsheetml/2006/main" count="11869" uniqueCount="1045">
  <si>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</si>
  <si>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</si>
  <si>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</si>
  <si>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</si>
  <si>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</si>
  <si>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</si>
  <si>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</si>
  <si>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</si>
  <si>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</si>
  <si>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</si>
  <si>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</si>
  <si>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</si>
  <si>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</si>
  <si>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</si>
  <si>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</si>
  <si>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</si>
  <si>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</si>
  <si>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</si>
  <si>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</si>
  <si>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</si>
  <si>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</si>
  <si>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</si>
  <si>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</si>
  <si>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</si>
  <si>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</si>
  <si>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</si>
  <si>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</si>
  <si>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</si>
  <si>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</si>
  <si>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</si>
  <si>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</si>
  <si>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</si>
  <si>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</si>
  <si>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</si>
  <si>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</si>
  <si>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</si>
  <si>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</si>
  <si>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</si>
  <si>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</si>
  <si>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</si>
  <si>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</si>
  <si>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</si>
  <si>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</si>
  <si>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</si>
  <si>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</si>
  <si>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</si>
  <si>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</si>
  <si>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</si>
  <si>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</si>
  <si>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</si>
  <si>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</si>
  <si>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</si>
  <si>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</si>
  <si>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</si>
  <si>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</si>
  <si>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</si>
  <si>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</si>
  <si>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</si>
  <si>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</si>
  <si>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</si>
  <si>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</si>
  <si>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</si>
  <si>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</si>
  <si>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</si>
  <si>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</si>
  <si>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</si>
  <si>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</si>
  <si>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</si>
  <si>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</si>
  <si>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</si>
  <si>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</si>
  <si>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</si>
  <si>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</si>
  <si>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</si>
  <si>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</si>
  <si>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</si>
  <si>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</si>
  <si>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</si>
  <si>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</si>
  <si>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</si>
  <si>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</si>
  <si>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</si>
  <si>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</si>
  <si>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</si>
  <si>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</si>
  <si>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</si>
  <si>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</si>
  <si>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</si>
  <si>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</si>
  <si>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</si>
  <si>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</si>
  <si>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</si>
  <si>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</si>
  <si>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</si>
  <si>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</si>
  <si>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</si>
  <si>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</si>
  <si>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</si>
  <si>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</si>
  <si>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</si>
  <si>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</si>
  <si>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</si>
  <si>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</si>
  <si>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</si>
  <si>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</si>
  <si>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</si>
  <si>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</si>
  <si>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</si>
  <si>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</si>
  <si>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</si>
  <si>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</si>
  <si>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</si>
  <si>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</si>
  <si>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</si>
  <si>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</si>
  <si>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</si>
  <si>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</si>
  <si>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</si>
  <si>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</si>
  <si>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</si>
  <si>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</si>
  <si>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</si>
  <si>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</si>
  <si>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</si>
  <si>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</si>
  <si>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</si>
  <si>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</si>
  <si>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</si>
  <si>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</si>
  <si>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</si>
  <si>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</si>
  <si>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</si>
  <si>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</si>
  <si>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</si>
  <si>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</si>
  <si>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</si>
  <si>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</si>
  <si>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</si>
  <si>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</si>
  <si>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</si>
  <si>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</si>
  <si>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</si>
  <si>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</si>
  <si>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</si>
  <si>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</si>
  <si>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</si>
  <si>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</si>
  <si>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</si>
  <si>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</si>
  <si>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</si>
  <si>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</si>
  <si>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</si>
  <si>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</si>
  <si>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</si>
  <si>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</si>
  <si>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</si>
  <si>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</si>
  <si>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</si>
  <si>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</si>
  <si>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</si>
  <si>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</si>
  <si>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</si>
  <si>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</si>
  <si>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</si>
  <si>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</si>
  <si>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</si>
  <si>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</si>
  <si>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</si>
  <si>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</si>
  <si>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</si>
  <si>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</si>
  <si>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</si>
  <si>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</si>
  <si>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</si>
  <si>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</si>
  <si>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</si>
  <si>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</si>
  <si>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</si>
  <si>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</si>
  <si>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</si>
  <si>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</si>
  <si>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</si>
  <si>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</si>
  <si>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</si>
  <si>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</si>
  <si>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</si>
  <si>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</si>
  <si>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</si>
  <si>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</si>
  <si>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</si>
  <si>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</si>
  <si>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</si>
  <si>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</si>
  <si>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</si>
  <si>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</si>
  <si>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</si>
  <si>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</si>
  <si>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</si>
  <si>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</si>
  <si>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</si>
  <si>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</si>
  <si>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</si>
  <si>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</si>
  <si>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</si>
  <si>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</si>
  <si>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</si>
  <si>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</si>
  <si>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</si>
  <si>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</si>
  <si>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</si>
  <si>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</si>
  <si>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</si>
  <si>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</si>
  <si>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</si>
  <si>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</si>
  <si>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</si>
  <si>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</si>
  <si>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</si>
  <si>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</si>
  <si>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</si>
  <si>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</si>
  <si>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</si>
  <si>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</si>
  <si>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</si>
  <si>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</si>
  <si>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</si>
  <si>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</si>
  <si>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</si>
  <si>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</si>
  <si>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</si>
  <si>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</si>
  <si>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</si>
  <si>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</si>
  <si>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</si>
  <si>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</si>
  <si>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</si>
  <si>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</si>
  <si>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</si>
  <si>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</si>
  <si>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</si>
  <si>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</si>
  <si>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</si>
  <si>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</si>
  <si>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</si>
  <si>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</si>
  <si>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</si>
  <si>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</si>
  <si>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</si>
  <si>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</si>
  <si>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</si>
  <si>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</si>
  <si>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</si>
  <si>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</si>
  <si>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</si>
  <si>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</si>
  <si>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</si>
  <si>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</si>
  <si>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</si>
  <si>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</si>
  <si>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</si>
  <si>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</si>
  <si>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</si>
  <si>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</si>
  <si>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</si>
  <si>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</si>
  <si>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</si>
  <si>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</si>
  <si>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</si>
  <si>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</si>
  <si>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</si>
  <si>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</si>
  <si>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</si>
  <si>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</si>
  <si>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</si>
  <si>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</si>
  <si>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</si>
  <si>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</si>
  <si>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</si>
  <si>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</si>
  <si>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</si>
  <si>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</si>
  <si>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</si>
  <si>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</si>
  <si>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</si>
  <si>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</si>
  <si>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</si>
  <si>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</si>
  <si>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</si>
  <si>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</si>
  <si>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</si>
  <si>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</si>
  <si>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</si>
  <si>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</si>
  <si>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</si>
  <si>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</si>
  <si>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</si>
  <si>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</si>
  <si>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</si>
  <si>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</si>
  <si>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</si>
  <si>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</si>
  <si>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</si>
  <si>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</si>
  <si>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</si>
  <si>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</si>
  <si>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</si>
  <si>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</si>
  <si>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</si>
  <si>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</si>
  <si>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</si>
  <si>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</si>
  <si>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</si>
  <si>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</si>
  <si>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</si>
  <si>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</si>
  <si>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</si>
  <si>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</si>
  <si>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</si>
  <si>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</si>
  <si>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</si>
  <si>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</si>
  <si>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</si>
  <si>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</si>
  <si>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</si>
  <si>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</si>
  <si>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</si>
  <si>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</si>
  <si>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</si>
  <si>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</si>
  <si>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</si>
  <si>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</si>
  <si>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</si>
  <si>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</si>
  <si>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</si>
  <si>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</si>
  <si>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</si>
  <si>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</si>
  <si>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</si>
  <si>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</si>
  <si>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</si>
  <si>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</si>
  <si>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</si>
  <si>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</si>
  <si>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</si>
  <si>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</si>
  <si>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</si>
  <si>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</si>
  <si>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</si>
  <si>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</si>
  <si>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</si>
  <si>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</si>
  <si>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</si>
  <si>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</si>
  <si>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</si>
  <si>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</si>
  <si>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</si>
  <si>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</si>
  <si>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</si>
  <si>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</si>
  <si>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</si>
  <si>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</si>
  <si>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</si>
  <si>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</si>
  <si>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</si>
  <si>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</si>
  <si>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</si>
  <si>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</si>
  <si>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</si>
  <si>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</si>
  <si>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</si>
  <si>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</si>
  <si>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</si>
  <si>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</si>
  <si>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</si>
  <si>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</si>
  <si>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</si>
  <si>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</si>
  <si>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</si>
  <si>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</si>
  <si>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</si>
  <si>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</si>
  <si>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</si>
  <si>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</si>
  <si>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</si>
  <si>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</si>
  <si>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</si>
  <si>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</si>
  <si>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</si>
  <si>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</si>
  <si>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</si>
  <si>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</si>
  <si>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</si>
  <si>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</si>
  <si>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</si>
  <si>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</si>
  <si>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</si>
  <si>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</si>
  <si>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</si>
  <si>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</si>
  <si>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</si>
  <si>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</si>
  <si>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</si>
  <si>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</si>
  <si>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</si>
  <si>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</si>
  <si>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</si>
  <si>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</si>
  <si>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</si>
  <si>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</si>
  <si>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</si>
  <si>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</si>
  <si>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</si>
  <si>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</si>
  <si>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</si>
  <si>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</si>
  <si>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</si>
  <si>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</si>
  <si>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</si>
  <si>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</si>
  <si>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</si>
  <si>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</si>
  <si>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</si>
  <si>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</si>
  <si>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</si>
  <si>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</si>
  <si>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</si>
  <si>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</si>
  <si>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</si>
  <si>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</si>
  <si>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</si>
  <si>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</si>
  <si>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</si>
  <si>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</si>
  <si>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</si>
  <si>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</si>
  <si>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</si>
  <si>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</si>
  <si>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</si>
  <si>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</si>
  <si>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83121700; 83111600; 43221700; 25173100;  81112000; 32101600 </t>
  </si>
  <si>
    <t>43191500
43221500
43222800
81161700
72151600</t>
  </si>
  <si>
    <t>72151607;72103302</t>
  </si>
  <si>
    <t>72151500; 72101500; 731521000; 39121600; 39121000; 72151500; 72101500; 73152100.</t>
  </si>
  <si>
    <t>83121700;83111600;43221700</t>
  </si>
  <si>
    <t>81112200;81112201</t>
  </si>
  <si>
    <t>81112204;81112501</t>
  </si>
  <si>
    <t xml:space="preserve">46171619, 81111805 ,81112208 </t>
  </si>
  <si>
    <t>32131023;39121011;43232300</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</si>
  <si>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</si>
  <si>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</si>
  <si>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</si>
  <si>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</si>
  <si>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</si>
  <si>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</si>
  <si>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</si>
  <si>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</si>
  <si>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</si>
  <si>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</si>
  <si>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</si>
  <si>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</si>
  <si>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</si>
  <si>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</si>
  <si>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</si>
  <si>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</si>
  <si>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</si>
  <si>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</si>
  <si>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</si>
  <si>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</si>
  <si>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</si>
  <si>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</si>
  <si>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</si>
  <si>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</si>
  <si>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</si>
  <si>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</si>
  <si>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</si>
  <si>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</si>
  <si>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</si>
  <si>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</si>
  <si>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</si>
  <si>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</si>
  <si>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</si>
  <si>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</si>
  <si>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</si>
  <si>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</si>
  <si>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</si>
  <si>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</si>
  <si>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</si>
  <si>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</si>
  <si>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</si>
  <si>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</si>
  <si>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</si>
  <si>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</si>
  <si>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</si>
  <si>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</si>
  <si>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</si>
  <si>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</si>
  <si>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</si>
  <si>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</si>
  <si>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</si>
  <si>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</si>
  <si>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</si>
  <si>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</si>
  <si>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</si>
  <si>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</si>
  <si>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</si>
  <si>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</si>
  <si>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</si>
  <si>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</si>
  <si>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</si>
  <si>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</si>
  <si>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</si>
  <si>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</si>
  <si>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</si>
  <si>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</si>
  <si>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</si>
  <si>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</si>
  <si>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</si>
  <si>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</si>
  <si>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</si>
  <si>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</si>
  <si>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</si>
  <si>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</si>
  <si>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</si>
  <si>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42301500;46191500;46201000</t>
  </si>
  <si>
    <t>Adquisición de insumos y materias primas para la producción de materiales impresos en artes gráficas_ SGR.</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</si>
  <si>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</si>
  <si>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</si>
  <si>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</si>
  <si>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</si>
  <si>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</si>
  <si>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</si>
  <si>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</si>
  <si>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</si>
  <si>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</si>
  <si>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</si>
  <si>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</si>
  <si>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</si>
  <si>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</si>
  <si>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</si>
  <si>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</si>
  <si>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</si>
  <si>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</si>
  <si>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</si>
  <si>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</si>
  <si>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</si>
  <si>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</si>
  <si>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</si>
  <si>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</si>
  <si>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</si>
  <si>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</si>
  <si>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</si>
  <si>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</si>
  <si>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</si>
  <si>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</si>
  <si>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</si>
  <si>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</si>
  <si>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</si>
  <si>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</si>
  <si>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</si>
  <si>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</si>
  <si>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</si>
  <si>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</si>
  <si>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</si>
  <si>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</si>
  <si>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</si>
  <si>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</si>
  <si>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</si>
  <si>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</si>
  <si>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</si>
  <si>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</si>
  <si>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</si>
  <si>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</si>
  <si>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</si>
  <si>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</si>
  <si>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</si>
  <si>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</si>
  <si>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</si>
  <si>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</si>
  <si>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</si>
  <si>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</si>
  <si>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</si>
  <si>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</si>
  <si>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</si>
  <si>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</si>
  <si>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</si>
  <si>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</si>
  <si>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</si>
  <si>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</si>
  <si>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</si>
  <si>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</si>
  <si>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</si>
  <si>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</si>
  <si>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</si>
  <si>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</si>
  <si>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</si>
  <si>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</si>
  <si>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</si>
  <si>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</si>
  <si>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</si>
  <si>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</si>
  <si>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</si>
  <si>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</si>
  <si>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</si>
  <si>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</si>
  <si>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</si>
  <si>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</si>
  <si>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</si>
  <si>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</si>
  <si>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</si>
  <si>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</si>
  <si>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</si>
  <si>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</si>
  <si>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</si>
  <si>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</si>
  <si>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</si>
  <si>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</si>
  <si>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</si>
  <si>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</si>
  <si>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</si>
  <si>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</si>
  <si>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</si>
  <si>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</si>
  <si>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</si>
  <si>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</si>
  <si>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</si>
  <si>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</si>
  <si>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</si>
  <si>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</si>
  <si>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</si>
  <si>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</si>
  <si>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</si>
  <si>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</si>
  <si>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</si>
  <si>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</si>
  <si>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</si>
  <si>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</si>
  <si>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</si>
  <si>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</si>
  <si>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</si>
  <si>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</si>
  <si>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</si>
  <si>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</si>
  <si>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</si>
  <si>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</si>
  <si>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</si>
  <si>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</si>
  <si>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</si>
  <si>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</si>
  <si>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</si>
  <si>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</si>
  <si>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</si>
  <si>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</si>
  <si>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</si>
  <si>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</si>
  <si>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</si>
  <si>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</si>
  <si>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</si>
  <si>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</si>
  <si>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</si>
  <si>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</si>
  <si>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</si>
  <si>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</si>
  <si>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</si>
  <si>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</si>
  <si>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</si>
  <si>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</si>
  <si>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</si>
  <si>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</si>
  <si>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</si>
  <si>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</si>
  <si>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</si>
  <si>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</si>
  <si>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</si>
  <si>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</si>
  <si>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</si>
  <si>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</si>
  <si>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</si>
  <si>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</si>
  <si>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</si>
  <si>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</si>
  <si>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</si>
  <si>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</si>
  <si>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</si>
  <si>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</si>
  <si>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</si>
  <si>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</si>
  <si>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</si>
  <si>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</si>
  <si>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</si>
  <si>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</si>
  <si>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</si>
  <si>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</si>
  <si>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</si>
  <si>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</si>
  <si>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</si>
  <si>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</si>
  <si>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</si>
  <si>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</si>
  <si>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</si>
  <si>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</si>
  <si>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</si>
  <si>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</si>
  <si>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</si>
  <si>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</si>
  <si>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</si>
  <si>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</si>
  <si>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</si>
  <si>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</si>
  <si>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</si>
  <si>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</si>
  <si>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</si>
  <si>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</si>
  <si>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</si>
  <si>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</si>
  <si>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</si>
  <si>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</si>
  <si>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</si>
  <si>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</si>
  <si>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</si>
  <si>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</si>
  <si>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</si>
  <si>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</si>
  <si>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</si>
  <si>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</si>
  <si>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</si>
  <si>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</si>
  <si>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</si>
  <si>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</si>
  <si>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</si>
  <si>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</si>
  <si>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</si>
  <si>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</si>
  <si>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</si>
  <si>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</si>
  <si>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</si>
  <si>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</si>
  <si>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</si>
  <si>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</si>
  <si>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</si>
  <si>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</si>
  <si>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</si>
  <si>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</si>
  <si>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</si>
  <si>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</si>
  <si>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</si>
  <si>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</si>
  <si>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</si>
  <si>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</si>
  <si>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</si>
  <si>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</si>
  <si>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</si>
  <si>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</si>
  <si>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</si>
  <si>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</si>
  <si>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</si>
  <si>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</si>
  <si>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</si>
  <si>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</si>
  <si>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</si>
  <si>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</si>
  <si>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</si>
  <si>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</si>
  <si>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</si>
  <si>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</si>
  <si>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</si>
  <si>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</si>
  <si>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</si>
  <si>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</si>
  <si>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</si>
  <si>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</si>
  <si>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</si>
  <si>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</si>
  <si>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</si>
  <si>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</si>
  <si>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</si>
  <si>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</si>
  <si>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</si>
  <si>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</si>
  <si>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</si>
  <si>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</si>
  <si>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</si>
  <si>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</si>
  <si>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</si>
  <si>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</si>
  <si>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</si>
  <si>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</si>
  <si>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</si>
  <si>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</si>
  <si>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</si>
  <si>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</si>
  <si>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</si>
  <si>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</si>
  <si>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</si>
  <si>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</si>
  <si>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</si>
  <si>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</si>
  <si>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</si>
  <si>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</si>
  <si>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</si>
  <si>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</si>
  <si>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</si>
  <si>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</si>
  <si>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</si>
  <si>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</si>
  <si>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</si>
  <si>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</si>
  <si>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</si>
  <si>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</si>
  <si>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</si>
  <si>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</si>
  <si>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</si>
  <si>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</si>
  <si>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</si>
  <si>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</si>
  <si>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</si>
  <si>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</si>
  <si>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</si>
  <si>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</si>
  <si>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</si>
  <si>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</si>
  <si>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</si>
  <si>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</si>
  <si>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</si>
  <si>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</si>
  <si>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</si>
  <si>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</si>
  <si>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</si>
  <si>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</si>
  <si>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</si>
  <si>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</si>
  <si>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</si>
  <si>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</si>
  <si>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</si>
  <si>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</si>
  <si>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</si>
  <si>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</si>
  <si>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</si>
  <si>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</si>
  <si>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</si>
  <si>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</si>
  <si>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</si>
  <si>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</si>
  <si>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</si>
  <si>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</si>
  <si>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</si>
  <si>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</si>
  <si>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</si>
  <si>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</si>
  <si>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</si>
  <si>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</si>
  <si>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</si>
  <si>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</si>
  <si>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</si>
  <si>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</si>
  <si>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</si>
  <si>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</si>
  <si>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</si>
  <si>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</si>
  <si>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</si>
  <si>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</si>
  <si>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</si>
  <si>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</si>
  <si>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</si>
  <si>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</si>
  <si>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</si>
  <si>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</si>
  <si>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</si>
  <si>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</si>
  <si>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</si>
  <si>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</si>
  <si>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</si>
  <si>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</si>
  <si>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</si>
  <si>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</si>
  <si>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</si>
  <si>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</si>
  <si>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</si>
  <si>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</si>
  <si>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</si>
  <si>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</si>
  <si>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</si>
  <si>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</si>
  <si>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</si>
  <si>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</si>
  <si>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</si>
  <si>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</si>
  <si>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</si>
  <si>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</si>
  <si>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</si>
  <si>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</si>
  <si>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</si>
  <si>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</si>
  <si>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</si>
  <si>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</si>
  <si>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</si>
  <si>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</si>
  <si>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</si>
  <si>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</si>
  <si>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</si>
  <si>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</si>
  <si>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</si>
  <si>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</si>
  <si>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</si>
  <si>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</si>
  <si>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</si>
  <si>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</si>
  <si>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</si>
  <si>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</si>
  <si>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</si>
  <si>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</si>
  <si>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</si>
  <si>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</si>
  <si>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</si>
  <si>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</si>
  <si>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</si>
  <si>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</si>
  <si>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</si>
  <si>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</si>
  <si>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</si>
  <si>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</si>
  <si>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</si>
  <si>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</si>
  <si>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</si>
  <si>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</si>
  <si>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</si>
  <si>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</si>
  <si>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</si>
  <si>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</si>
  <si>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</si>
  <si>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</si>
  <si>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</si>
  <si>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</si>
  <si>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</si>
  <si>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</si>
  <si>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</si>
  <si>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</si>
  <si>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</si>
  <si>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</si>
  <si>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</si>
  <si>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</si>
  <si>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</si>
  <si>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</si>
  <si>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</si>
  <si>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</si>
  <si>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</si>
  <si>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</si>
  <si>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</si>
  <si>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</si>
  <si>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</si>
  <si>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</si>
  <si>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</si>
  <si>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</si>
  <si>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</si>
  <si>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</si>
  <si>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</si>
  <si>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</si>
  <si>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</si>
  <si>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</si>
  <si>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</si>
  <si>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</si>
  <si>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</si>
  <si>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</si>
  <si>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</si>
  <si>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</si>
  <si>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</si>
  <si>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</si>
  <si>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</si>
  <si>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</si>
  <si>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</si>
  <si>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</si>
  <si>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</si>
  <si>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</si>
  <si>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</si>
  <si>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</si>
  <si>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</si>
  <si>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</si>
  <si>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y prórroga No. 1 al contrato que tiene como objeto " Contratar la prestación del servicio de aseo y cafetería incluido insumos para la UAE Cuerpo Oficial de Bomberos -SGC</t>
  </si>
  <si>
    <t>(Todas)</t>
  </si>
  <si>
    <t>Adición al contrato 622-2025 cuyo objeto es: ¨Prestación del servicio de mantenimiento preventivo y correctivo de los equipos de respiración autónoma interspiro propiedad de la UAECOB, incluido el suministro de repuestos, insumos mano de obra especializada –SBLG</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</si>
  <si>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</si>
  <si>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</si>
  <si>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</si>
  <si>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</si>
  <si>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</si>
  <si>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</si>
  <si>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</si>
  <si>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</si>
  <si>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</si>
  <si>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</si>
  <si>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</si>
  <si>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</si>
  <si>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0</t>
  </si>
  <si>
    <t>80111600</t>
  </si>
  <si>
    <t>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</si>
  <si>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t>
  </si>
  <si>
    <t>Adición No. 1 al contrato 709 de 2025 que tiene como objeto “Adquisicion de equipos electrodomésticos para las instalaciones de la UAE Cuerpo Oficial de Bomberos- SGC"</t>
  </si>
  <si>
    <t>24131500;
52141500;
52151600;
 52152000;
52152300; 
52161500;</t>
  </si>
  <si>
    <t>Realizar la adecuación y mejoramiento de las instalaciones de La Unidad Administrativa Especial Cuerpo Oficial de Bomberos de Bogotá D.C. – SGC.C</t>
  </si>
  <si>
    <t>Interventoría técnica, administrativa, financiera, contable, jurídica, ambiental y de Seguridad y Salud en el Trabajo para realizar la adecuación y mejoramiento de las instalaciones de La Unidad Administrativa Especial Cuerpo Oficial de Bomberos de Bogotá D.C. – SGC.</t>
  </si>
  <si>
    <t>47131800;</t>
  </si>
  <si>
    <t>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</si>
  <si>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Contratar la adquisición, renovación y  suscripciones de licencia Microsoft y modulos de seguridad y vulnerabilidad para la U.A.E. Cuerpo Oficial de Bomberos de Bogotá - TIC</t>
  </si>
  <si>
    <t>43231512;81112501</t>
  </si>
  <si>
    <t>Contratar el servicio de actualización y soporte de licenciamiento para Motor de Base de Datos,  y Web Logic para la U.A.E. Cuerpo Oficial de Bomberos de Bogotá - TIC</t>
  </si>
  <si>
    <t>Modernización, mantenimiento y soporte de los componentes multimedia y tecnológicos para el equipamiento del auditorio de la sede principal de la U.A.E. Cuerpo Oficial de Bomberos Bogotá.</t>
  </si>
  <si>
    <t xml:space="preserve"> Paula Ximena Henao Escobar </t>
  </si>
  <si>
    <t>Adquisición de elementos de apoyo didáctico y pedagógico para actividades, programas y campañas requeridas en la Subdirección de Gestión del Riesgo_SGR”</t>
  </si>
  <si>
    <t>60121206,60121000,60121500,60121600</t>
  </si>
  <si>
    <t>53101801,53101803,53101501,53101503</t>
  </si>
  <si>
    <t>14111500,45101700, 45101800, 45101900, 45102000</t>
  </si>
  <si>
    <t>45125000,45121600,41111700,39111610. 46181552</t>
  </si>
  <si>
    <t>Adición y prórroga 2 al contrato No. 411 de 2025 cuyo objeto es: "Contratar la prestación del servicio de monitoreo, control y seguimiento satelital a los vehículos de propiedad de la U.A.E. Cuerpo Oficial de Bomberos de Bogotá - TIC"</t>
  </si>
  <si>
    <t>45111700; 45111500; 45111900; 52161500; 43211900;43233400; 72151600; 81111500; 81161700</t>
  </si>
  <si>
    <t>(Varios elementos)</t>
  </si>
  <si>
    <t>Adquisición de agente encapsulador, para apagar incendios de baterías de iones de litio-SBLG</t>
  </si>
  <si>
    <t>Contratar el suministro de raciones para la atención de emergencias-SBLG</t>
  </si>
  <si>
    <t>Adicion y prorroga al contrato 610-2025 cuyo objeto es: "Suministro de alimentación e hidratación para el cuerpo operativo en la atención de emergencias, entrenamientos, capacitaciones y actividades de prevención.-SBLG"</t>
  </si>
  <si>
    <t>Adición No. 1 al contrato 766 de 2024 que tiene como objeto “Elaboración de estudios y diseños técnicos para la construcción de la estación de bomberos de Ferias B-7 de la UAE Cuerpo Oficial de Bomberos de Bogotá – SGC"</t>
  </si>
  <si>
    <t>81101500;
80101600</t>
  </si>
  <si>
    <t>Interventoría técnica, administrativa, financiera, contable, jurídica, ambiental  y de Seguridad y Salud en el Trabajo para la construcción de la estación de bomberos Ferias B7 UAE Cuerpo Oficial de Bomberos de Bogotá – SGC</t>
  </si>
  <si>
    <t>Adecuación de la nueva estación de bomberos de la UAE Cuerpo Oficial de Bomberos de Bogotá – SGC</t>
  </si>
  <si>
    <t>Interventoría técnica, administrativa, financiera, contable, jurídica, ambiental  y de Seguridad y Salud en el Trabajo para la Adecuación de la Nueva Estación de bomberos de la UAE Cuerpo Oficial de Bomberos de Bogotá – SGC</t>
  </si>
  <si>
    <t>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t>
  </si>
  <si>
    <t xml:space="preserve">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t>
  </si>
  <si>
    <t>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t>
  </si>
  <si>
    <t xml:space="preserve">Reconocimiento y pago Pasivo Exigible FERIAS </t>
  </si>
  <si>
    <t>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t>
  </si>
  <si>
    <t>40101806;
40101826;</t>
  </si>
  <si>
    <t>Mantenimiento preventivo y correctivo de la red contraincendios  y sistemas de detención de alarmas contra incendios a las instalaciones de la  Unidad Administrativa Especial Cuerpo Oficial de Bomberos Bogotá -SGC</t>
  </si>
  <si>
    <t>Adición No. 1 al contrato 586 de 2025 que tiene como objeto “Mantenimiento correctivo y preventivo con suministro de repuestos para los ascensores edificio comando-SGC</t>
  </si>
  <si>
    <t>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</si>
  <si>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Adición No. 1 al contrato 538 de 2025 que tiene como objeto “Realizar el mantenimiento preventivo, correctivo de puertas automatizadas para las salas de máquinas de las estaciones de la UAE Cuerpo Oficial de Bomberos-SGC</t>
  </si>
  <si>
    <t>48101800;
48101915;
24112601;
49121509;</t>
  </si>
  <si>
    <t>Versión No. 10 - PLAN DISTRITAL DE DESARROLLO "BOGOTÁ CAMINA SEGURA"</t>
  </si>
  <si>
    <t>Adquisición de semovientes caninos para el grupo BRAE, destinados al entrenamiento de búsqueda y localización cinotécnica   para la atención de emergencias de la UAE Cuerpo Oficial de Bomberos de Bogota, s.o.</t>
  </si>
  <si>
    <t>Prestar los servicios profesionales para  la Subdirección Operativa en el fortalecimiento de los procesos de intercambio y formación del personal operativo y administrativo, en articulación con las demás áreas de la entidad S.O.</t>
  </si>
  <si>
    <t>Adicion y prorroga al contrato 684-2025 cuyo objeto es: "Suministro de herramientas especializadas, equipos, accesorios y otros elementos de ferretería para garantizar la preparación y atención de emergencias de la U.A.E. Cuerpo Oficial de Bomberos de Bogotá – SBLG".</t>
  </si>
  <si>
    <t>39121321;31162800;39121700; 31162300</t>
  </si>
  <si>
    <t>Prestación del servicio de mantenimiento preventivo y correctivo de los equipos de respiración autónoma interspiro propiedad de la UAECOB, incluido el suministro de repuestos, insumos mano de obra especializada –SBLG</t>
  </si>
  <si>
    <t>Suministro e instalación de llantas para los vehículos incluye (alineación, balanceo y servicios conexos).</t>
  </si>
  <si>
    <t>Etiquetas de columna</t>
  </si>
  <si>
    <t>Fecha de elaboracion: 10/04/2026</t>
  </si>
  <si>
    <t>Adición y prórroga del contrato 253-2025 cuyo objeto es: Contratar el servicio de soporte y mantenimiento del sistema de gestión documental para la UAE Cuerpo Oficial de Bomberos de Bogotá- TIC.</t>
  </si>
  <si>
    <t>43233000;81112200</t>
  </si>
  <si>
    <t>Adición y prorroga No. 1 al contrato 713 de 2025 que tiene como objeto “Adquisición de elementos de menaje para la UAECOB-SGC"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</si>
</sst>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9">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45">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43" fontId="2" fillId="0" borderId="1" xfId="2" applyFont="1" applyFill="1" applyBorder="1" applyAlignment="1" applyProtection="1">
      <alignment horizontal="center" vertical="center" wrapText="1"/>
      <protection locked="0"/>
    </xf>
    <xf numFmtId="0" fontId="12"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1" fontId="11" fillId="0" borderId="1" xfId="2" applyNumberFormat="1" applyFont="1" applyFill="1" applyBorder="1" applyAlignment="1" applyProtection="1">
      <alignment horizontal="center" vertical="center" wrapText="1"/>
      <protection locked="0"/>
    </xf>
    <xf numFmtId="0" fontId="11" fillId="0" borderId="6"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6" borderId="1" xfId="5" applyFont="1" applyFill="1" applyBorder="1" applyAlignment="1">
      <alignment horizontal="center" vertical="center" wrapText="1"/>
    </xf>
    <xf numFmtId="0" fontId="11" fillId="6" borderId="1" xfId="2" applyNumberFormat="1"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11" fillId="6" borderId="1" xfId="0" applyNumberFormat="1" applyFont="1" applyFill="1" applyBorder="1" applyAlignment="1" applyProtection="1">
      <alignment horizontal="center" vertical="center" wrapText="1"/>
      <protection locked="0"/>
    </xf>
    <xf numFmtId="164" fontId="11" fillId="6" borderId="1" xfId="2"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1" fontId="11" fillId="6" borderId="1" xfId="4" applyNumberFormat="1" applyFont="1" applyFill="1" applyBorder="1" applyAlignment="1" applyProtection="1">
      <alignment horizontal="center" vertical="center" wrapText="1"/>
      <protection locked="0"/>
    </xf>
    <xf numFmtId="0" fontId="2" fillId="6" borderId="1" xfId="2" applyNumberFormat="1" applyFont="1" applyFill="1" applyBorder="1" applyAlignment="1" applyProtection="1">
      <alignment horizontal="center" vertical="center" wrapText="1"/>
      <protection locked="0"/>
    </xf>
    <xf numFmtId="43" fontId="11" fillId="6" borderId="1" xfId="2"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0" fontId="11" fillId="6" borderId="1" xfId="5" applyFont="1" applyFill="1" applyBorder="1" applyAlignment="1">
      <alignment horizontal="center" vertical="center" wrapText="1"/>
    </xf>
    <xf numFmtId="0" fontId="11" fillId="6" borderId="1" xfId="0" applyFont="1" applyFill="1" applyBorder="1" applyAlignment="1">
      <alignment vertical="center" wrapText="1"/>
    </xf>
    <xf numFmtId="0" fontId="2" fillId="6" borderId="1" xfId="0" applyFont="1" applyFill="1" applyBorder="1" applyAlignment="1">
      <alignment vertical="center" wrapText="1"/>
    </xf>
    <xf numFmtId="1" fontId="11" fillId="6" borderId="1" xfId="2" applyNumberFormat="1"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8" borderId="1" xfId="5" applyFont="1" applyFill="1" applyBorder="1" applyAlignment="1" applyProtection="1">
      <alignment horizontal="center" vertical="center" wrapText="1"/>
      <protection locked="0"/>
    </xf>
    <xf numFmtId="0" fontId="11" fillId="7" borderId="1" xfId="5"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2" fillId="8"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wrapText="1"/>
      <protection locked="0"/>
    </xf>
    <xf numFmtId="0" fontId="2" fillId="0" borderId="3" xfId="0" applyFont="1" applyBorder="1" applyAlignment="1">
      <alignment vertical="center" wrapText="1"/>
    </xf>
    <xf numFmtId="0" fontId="0" fillId="0" borderId="0" xfId="0" applyAlignment="1">
      <alignment horizontal="left"/>
    </xf>
    <xf numFmtId="164" fontId="2" fillId="6" borderId="7" xfId="2" applyNumberFormat="1" applyFont="1" applyFill="1" applyBorder="1" applyAlignment="1" applyProtection="1">
      <alignment horizontal="center" vertical="center" wrapText="1"/>
      <protection locked="0"/>
    </xf>
    <xf numFmtId="0" fontId="11" fillId="0" borderId="7" xfId="2" applyNumberFormat="1" applyFont="1" applyFill="1" applyBorder="1" applyAlignment="1" applyProtection="1">
      <alignment horizontal="center"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50">
    <dxf>
      <font>
        <color rgb="FF9C0006"/>
      </font>
      <fill>
        <patternFill>
          <bgColor rgb="FFFFC7CE"/>
        </patternFill>
      </fil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rgb="FFF4B08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122.616990740738" createdVersion="8" refreshedVersion="8" minRefreshableVersion="3" recordCount="671" xr:uid="{1ED7B287-2CDE-4BF2-81E3-2F8242D2A644}">
  <cacheSource type="worksheet">
    <worksheetSource name="PAA"/>
  </cacheSource>
  <cacheFields count="34">
    <cacheField name="Id Interno" numFmtId="0">
      <sharedItems containsSemiMixedTypes="0" containsString="0" containsNumber="1" containsInteger="1" minValue="20260001" maxValue="20260699"/>
    </cacheField>
    <cacheField name="Objeto de la contratación" numFmtId="0">
      <sharedItems longText="1"/>
    </cacheField>
    <cacheField name="Modalidad de Selección" numFmtId="0">
      <sharedItems/>
    </cacheField>
    <cacheField name="tipo de Contrato (TH talento humano - B/S bienes y/o servicios)" numFmtId="0">
      <sharedItems count="2">
        <s v="BS"/>
        <s v="TH"/>
      </sharedItems>
    </cacheField>
    <cacheField name="Tipo de Contratación" numFmtId="0">
      <sharedItems/>
    </cacheField>
    <cacheField name="Mes estimado de inicio de ejecución" numFmtId="0">
      <sharedItems/>
    </cacheField>
    <cacheField name="plazo ejec Meses" numFmtId="0">
      <sharedItems containsMixedTypes="1" containsNumber="1" minValue="0" maxValue="24"/>
    </cacheField>
    <cacheField name="mas plazo ejec Días (si aplica)" numFmtId="0">
      <sharedItems containsMixedTypes="1" containsNumber="1" containsInteger="1" minValue="0" maxValue="26"/>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ount="12">
        <s v="Sub. Gestión Humana"/>
        <s v="Sub. Logística"/>
        <s v="Sub. Gestión Corporativa"/>
        <s v="Sub. Operativa"/>
        <s v="Dirección Tic"/>
        <s v="Oficina Asesora de Planeación"/>
        <s v="Oficina de Control Disciplinario Interno"/>
        <s v="Oficina de Control Interno"/>
        <s v="Oficina Juridica"/>
        <s v="Sub. Gestión Riesgos"/>
        <s v="Dirección"/>
        <s v="Dirección comunicaciones y Prensa"/>
      </sharedItems>
    </cacheField>
    <cacheField name="Responsable del Proceso" numFmtId="0">
      <sharedItems/>
    </cacheField>
    <cacheField name="Proyecto y nombre Asociado" numFmtId="0">
      <sharedItems count="4">
        <s v="8173-Modernización de las capacidades del Cuerpo Oficial de Bomberos Bogotá D.C."/>
        <s v="8126-Fortalecimiento institucional de la UAECOB para un gobierno confiable Bogotá D.C."/>
        <s v="131- Funcionamiento"/>
        <s v="N/A"/>
      </sharedItems>
    </cacheField>
    <cacheField name="Gerente del Proyecto Asociado" numFmtId="0">
      <sharedItems/>
    </cacheField>
    <cacheField name="Fuente de Recursos" numFmtId="0">
      <sharedItems count="6">
        <s v="1-100-I087 VA-Sobretasa Bomberil"/>
        <s v="1-100-F001 VA-Recursos distrito"/>
        <s v="N/A"/>
        <s v="1-601-I037 PAS-Crédito"/>
        <s v="1-100-F039-VA-Crédito"/>
        <s v="1-601-F001 PAS-Otros distrito"/>
      </sharedItems>
    </cacheField>
    <cacheField name="Código UNSPSC (cada código separado por ;)" numFmtId="1">
      <sharedItems containsMixedTypes="1" containsNumber="1" containsInteger="1" minValue="1010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1">
  <r>
    <n v="20260189"/>
    <s v="SGH - Adquisición de Equipos y Herramientas para los procesos de Capacitación a cargo de la Academia de la UAE Cuerpo Oficial de Bomberos de Bogotá"/>
    <s v="03 - selec. abrev. subasta inversa"/>
    <x v="0"/>
    <s v="06 - contrato de compraventa"/>
    <s v="MARZO"/>
    <n v="6"/>
    <n v="0"/>
    <n v="200000000"/>
    <s v="NO"/>
    <x v="0"/>
    <s v="Jose Andres Ponce Caicedo"/>
    <x v="0"/>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7"/>
    <s v="Suministro e instalación de llantas para los vehículos incluye (alineación, balanceo y servicios conexos)."/>
    <s v="03 - selec. abrev. subasta inversa"/>
    <x v="0"/>
    <s v="08 - contrato de suministro"/>
    <s v="MAYO"/>
    <n v="12"/>
    <n v="0"/>
    <n v="102400000"/>
    <s v="NO"/>
    <x v="1"/>
    <s v="Omer Mauricio Rivera Ruiz"/>
    <x v="0"/>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e instalación de llantas para los vehículos incluye (alineación, balanceo y servicios conexos)."/>
  </r>
  <r>
    <n v="20260245"/>
    <s v="Mantenimiento correctivo y preventivo de los equipos menores con suministro, repuestos, accesorios e insumos de propiedad de la UAECOB. – SBLG "/>
    <s v="03 - selec. abrev. subasta inversa"/>
    <x v="0"/>
    <s v="03 - contrato de prestacion de servicios"/>
    <s v="JULIO"/>
    <n v="10"/>
    <n v="0"/>
    <n v="125000000"/>
    <s v="NO"/>
    <x v="1"/>
    <s v="Omer Mauricio Rivera Ruiz"/>
    <x v="0"/>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0"/>
    <s v="08 - contrato de suministro"/>
    <s v="ABRIL"/>
    <n v="8"/>
    <n v="0"/>
    <n v="62689000"/>
    <s v="NO"/>
    <x v="1"/>
    <s v="Omer Mauricio Rivera Ruiz"/>
    <x v="0"/>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0"/>
    <s v="08 - contrato de suministro"/>
    <s v="MAYO"/>
    <n v="8"/>
    <n v="0"/>
    <n v="48000000"/>
    <s v="NO"/>
    <x v="1"/>
    <s v="Omer Mauricio Rivera Ruiz"/>
    <x v="0"/>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9"/>
    <s v="Prestación de servicios médicos veterinarios, con suministro de medicamentos e insumos veterinarios y otros, para los caninos de la U.A.E. Cuerpo Oficial de Bomberos de Bogotá -  SBLG"/>
    <s v="04 - contratación mínima cuantía"/>
    <x v="0"/>
    <s v="03 - contrato de prestacion de servicios"/>
    <s v="JULIO"/>
    <n v="8"/>
    <n v="0"/>
    <n v="48000000"/>
    <s v="NO"/>
    <x v="1"/>
    <s v="Omer Mauricio Rivera Ruiz"/>
    <x v="0"/>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0"/>
    <s v="08 - contrato de suministro"/>
    <s v="ABRIL"/>
    <n v="8"/>
    <n v="0"/>
    <n v="80000000"/>
    <s v="NO"/>
    <x v="1"/>
    <s v="Omer Mauricio Rivera Ruiz"/>
    <x v="0"/>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0"/>
    <s v="03 - contrato de prestacion de servicios"/>
    <s v="MAYO"/>
    <n v="8"/>
    <n v="0"/>
    <n v="3419000"/>
    <s v="NO"/>
    <x v="1"/>
    <s v="Omer Mauricio Rivera Ruiz"/>
    <x v="0"/>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0"/>
    <s v="03 - contrato de prestacion de servicios"/>
    <s v="SEPTIEMBRE"/>
    <n v="8"/>
    <n v="0"/>
    <n v="26000000"/>
    <s v="NO"/>
    <x v="1"/>
    <s v="Omer Mauricio Rivera Ruiz"/>
    <x v="0"/>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0"/>
    <s v="27 - contrato de prestacion de servicios de mantenimiento"/>
    <s v="SEPTIEMBRE"/>
    <n v="6"/>
    <n v="0"/>
    <n v="45000000"/>
    <s v="NO"/>
    <x v="1"/>
    <s v="Omer Mauricio Rivera Ruiz"/>
    <x v="0"/>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6"/>
    <s v="Prestar el servicio de mantenimiento preventivo y correctivo de los Equipos de Rescate Vehicular HOLMATRO propiedad de la UAECOB, incluido el suministro de repuestos, insumos y mano de obra especializada -  SBLG"/>
    <s v="09 - contratación directa"/>
    <x v="0"/>
    <s v="08 - contrato de suministro"/>
    <s v="OCTUBRE"/>
    <n v="5"/>
    <n v="0"/>
    <n v="50000000"/>
    <s v="NO"/>
    <x v="1"/>
    <s v="Omer Mauricio Rivera Ruiz"/>
    <x v="0"/>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499"/>
    <s v="Suministro  de muebles, enseres y demàs elementos requeridos para la Unidad Administrativa Especial Cuerpo Oficial de Bomberos Bogotá -SGC"/>
    <s v="03 - selec. abrev. subasta inversa"/>
    <x v="0"/>
    <s v="22 - contrato de adquisicion de bienes"/>
    <s v="MAYO"/>
    <n v="4"/>
    <n v="0"/>
    <n v="400000000"/>
    <s v="NO"/>
    <x v="2"/>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10"/>
    <s v="Realizar el mantenimiento preventivo, correctivo de puertas automatizadas para las salas de máquinas de las estaciones de la UAE Cuerpo Oficial de Bomberos-SGC"/>
    <s v="02 - selec. abrev. menor cuantía"/>
    <x v="0"/>
    <s v="17 - contrato de mantenimiento"/>
    <s v="JUNIO"/>
    <n v="9"/>
    <n v="0"/>
    <n v="230000000"/>
    <s v="NO"/>
    <x v="2"/>
    <s v="Fatima Veronica Quintero Nuñez"/>
    <x v="1"/>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8"/>
    <s v="Contratar el servicio de saneamiento ambiental, corte de césped, jardinería, poda y tala de árboles para las sedes (predios y/o estaciones) de la Unidad Administrativa Especial Cuerpo Oficial de Bomberos de Bogotá – SGC"/>
    <s v="02 - selec. abrev. menor cuantía"/>
    <x v="0"/>
    <s v="03 - contrato de prestacion de servicios"/>
    <s v="ABRIL"/>
    <n v="11"/>
    <n v="0"/>
    <n v="250000000"/>
    <s v="NO"/>
    <x v="2"/>
    <s v="Fatima Veronica Quintero Nuñez"/>
    <x v="2"/>
    <s v="Subdirector@ de Gestión Corporativa"/>
    <x v="1"/>
    <s v="70111500;_x000a_72102100 ;_x000a_72102104;_x000a_76101503;_x000a_72154055;_x000a_70111703;_x000a_70111706;_x000a_70111503;_x000a_72153204;"/>
    <s v="No aplica"/>
    <s v="No a"/>
    <s v="l"/>
    <s v="NA"/>
    <s v="NA"/>
    <s v="NA"/>
    <s v="N/A"/>
    <s v="N/A"/>
    <s v="N/A-N/A"/>
    <s v="N/A"/>
    <s v="N/A"/>
    <s v="N/A_N/A"/>
    <s v="N/A-N/A N/A_N/A"/>
    <s v="NANANAN/AN/A"/>
    <s v="N/A"/>
    <s v="No Aplica"/>
    <s v="Si Secop "/>
    <s v="20260518-BS-No a-l-Contratar el servicio de saneamiento ambiental, corte de césped, jardinería, poda y tala de árboles para las sedes (predios y/o estaciones) de la Unidad Administrativa Especial Cuerpo Oficial de Bomberos de Bogotá – SGC"/>
  </r>
  <r>
    <n v="20260618"/>
    <s v="Prestar los servicios profesionales para  la Subdirección Operativa en el fortalecimiento de los procesos de intercambio y formación del personal operativo y administrativo, en articulación con las demás áreas de la entidad S.O."/>
    <s v="03 - selec. abrev. subasta inversa"/>
    <x v="0"/>
    <s v="06 - contrato de compraventa"/>
    <s v="JULIO"/>
    <n v="4"/>
    <n v="0"/>
    <n v="180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BS-8173-2-Prestar los servicios profesionales para  la Subdirección Operativa en el fortalecimiento de los procesos de intercambio y formación del personal operativo y administrativo, en articulación con las demás áreas de la entidad S.O."/>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x v="0"/>
    <s v="03 - contrato de prestacion de servicios"/>
    <s v="MAYO"/>
    <n v="24"/>
    <n v="0"/>
    <n v="0"/>
    <s v="NO"/>
    <x v="0"/>
    <s v="Jose Andres Ponce Caicedo"/>
    <x v="3"/>
    <s v="Subdirector@ de Gestión Corporativa"/>
    <x v="2"/>
    <n v="84131605"/>
    <s v="No aplica"/>
    <s v="No a"/>
    <s v="l"/>
    <s v="NA"/>
    <s v="NA"/>
    <s v="NA"/>
    <s v="N/A"/>
    <s v="N/A"/>
    <s v="N/A-N/A"/>
    <s v="N/A"/>
    <s v="N/A"/>
    <s v="N/A_N/A"/>
    <s v="N/A-N/A N/A_N/A"/>
    <s v="NANANAN/AN/A"/>
    <s v="N/A"/>
    <s v="No Aplica"/>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72"/>
    <s v="Suministro de alimentación e hidratación para el cuerpo operativo en la atención de emergencias, entrenamientos, capacitaciones y actividades de prevención.-SBLG "/>
    <s v="03 - selec. abrev. subasta inversa"/>
    <x v="0"/>
    <s v="08 - contrato de suministro"/>
    <s v="ABRIL"/>
    <n v="8"/>
    <n v="0"/>
    <n v="250000000"/>
    <s v="NO"/>
    <x v="1"/>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672-BS-8173-4-Suministro de alimentación e hidratación para el cuerpo operativo en la atención de emergencias, entrenamientos, capacitaciones y actividades de prevención.-SBLG "/>
  </r>
  <r>
    <n v="20260675"/>
    <s v="Adicion y prorroga al contrato 610-2025 cuyo objeto es: &quot;Suministro de alimentación e hidratación para el cuerpo operativo en la atención de emergencias, entrenamientos, capacitaciones y actividades de prevención.-SBLG&quot;"/>
    <s v="03 - selec. abrev. subasta inversa"/>
    <x v="0"/>
    <s v="08 - contrato de suministro"/>
    <s v="MAYO"/>
    <n v="8"/>
    <n v="0"/>
    <n v="31000000"/>
    <s v="NO"/>
    <x v="1"/>
    <s v="Omer Mauricio Rivera Ruiz"/>
    <x v="0"/>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s v="20260675-BS-8173-4-Adicion y prorroga al contrato 610-2025 cuyo objeto es: &quot;Suministro de alimentación e hidratación para el cuerpo operativo en la atención de emergencias, entrenamientos, capacitaciones y actividades de prevención.-SBLG&quot;"/>
  </r>
  <r>
    <n v="20260677"/>
    <s v="Adquisición de agente encapsulador, para apagar incendios de baterías de iones de litio-SBLG"/>
    <s v="03 - selec. abrev. subasta inversa"/>
    <x v="0"/>
    <s v="06 - contrato de compraventa"/>
    <s v="MAYO"/>
    <n v="6"/>
    <n v="0"/>
    <n v="1000000"/>
    <s v="NO"/>
    <x v="1"/>
    <s v="Omer Mauricio Rivera Ruiz"/>
    <x v="0"/>
    <s v="Subdirector@ de Gestión del Riesgo"/>
    <x v="0"/>
    <n v="46191607"/>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s v="20260677-BS-8173-4-Adquisición de agente encapsulador, para apagar incendios de baterías de iones de litio-SBLG"/>
  </r>
  <r>
    <n v="20260678"/>
    <s v="Contratar el suministro de raciones para la atención de emergencias-SBLG"/>
    <s v="04 - contratación mínima cuantía"/>
    <x v="0"/>
    <s v="08 - contrato de suministro"/>
    <s v="MAYO"/>
    <n v="6"/>
    <n v="0"/>
    <n v="41000000"/>
    <s v="NO"/>
    <x v="1"/>
    <s v="Omer Mauricio Rivera Ruiz"/>
    <x v="0"/>
    <s v="Subdirector@ de Gestión del Riesgo"/>
    <x v="0"/>
    <n v="50192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678-BS-8173-4-Contratar el suministro de raciones para la atención de emergencias-SBLG"/>
  </r>
  <r>
    <n v="20260684"/>
    <s v="Realizar la adecuación y mejoramiento de las instalaciones de La Unidad Administrativa Especial Cuerpo Oficial de Bomberos de Bogotá D.C. – SGC.C"/>
    <s v="01 - licitación pública"/>
    <x v="0"/>
    <s v="05 - contrato de obra"/>
    <s v="JULIO"/>
    <n v="10"/>
    <n v="0"/>
    <n v="570005263"/>
    <s v="NO"/>
    <x v="2"/>
    <s v="Fatima Veronica Quintero Nuñez"/>
    <x v="0"/>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4-BS-8173-7-Realizar la adecuación y mejoramiento de las instalaciones de La Unidad Administrativa Especial Cuerpo Oficial de Bomberos de Bogotá D.C. – SGC.C"/>
  </r>
  <r>
    <n v="20260693"/>
    <s v="Adición No. 1 al contrato 538 de 2025 que tiene como objeto “Realizar el mantenimiento preventivo, correctivo de puertas automatizadas para las salas de máquinas de las estaciones de la UAE Cuerpo Oficial de Bomberos-SGC"/>
    <s v="02 - selec. abrev. menor cuantía"/>
    <x v="0"/>
    <s v="17 - contrato de mantenimiento"/>
    <s v="ABRIL"/>
    <n v="1"/>
    <n v="0"/>
    <n v="20000000"/>
    <s v="NO"/>
    <x v="2"/>
    <s v="Fatima Veronica Quintero Nuñez"/>
    <x v="1"/>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93-BS-8126-8-Adición No. 1 al contrato 538 de 2025 que tiene como objeto “Realizar el mantenimiento preventivo, correctivo de puertas automatizadas para las salas de máquinas de las estaciones de la UAE Cuerpo Oficial de Bomberos-SGC"/>
  </r>
  <r>
    <n v="20260694"/>
    <s v="Adición No. 1 al contrato 713 de 2025 que tiene como objeto “Adquisición de elementos de menaje para la UAECOB-SGC&quot;"/>
    <s v="04 - contratación mínima cuantía"/>
    <x v="0"/>
    <s v="06 - contrato de compraventa"/>
    <s v="ABRIL"/>
    <n v="4"/>
    <n v="0"/>
    <n v="14994737"/>
    <s v="NO"/>
    <x v="2"/>
    <s v="Fatima Veronica Quintero Nuñez"/>
    <x v="0"/>
    <s v="Subdirector@ de Gestión del Riesgo"/>
    <x v="0"/>
    <s v="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1003073722102 Utensilios de loza para mesa y la cocina"/>
    <s v="No Secop"/>
    <s v="20260694-BS-8173-1-Adición No. 1 al contrato 713 de 2025 que tiene como objeto “Adquisición de elementos de menaje para la UAECOB-SGC&quot;"/>
  </r>
  <r>
    <n v="20260695"/>
    <s v="Prestación de servicios profesionales para atender las actividades de seguimiento, verificación y control de los procesos y procedimientos, para el desarrollo de los programas a cargo de la Subdirección Operativa-S.O."/>
    <s v="09 - contratación directa"/>
    <x v="1"/>
    <s v="25 - contrato de prestacion de servicios profesionales"/>
    <s v="JULIO"/>
    <n v="7"/>
    <n v="0"/>
    <n v="24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95-TH-8173-2-Prestación de servicios profesionales para atender las actividades de seguimiento, verificación y control de los procesos y procedimientos, para el desarrollo de los programas a cargo de la Subdirección Operativa-S.O."/>
  </r>
  <r>
    <n v="20260696"/>
    <s v="Adquisición de semovientes caninos para el grupo BRAE, destinados al entrenamiento de búsqueda y localización cinotécnica   para la atención de emergencias de la UAE Cuerpo Oficial de Bomberos de Bogota, s.o."/>
    <s v="04 - contratación mínima cuantía"/>
    <x v="0"/>
    <s v="06 - contrato de compraventa"/>
    <s v="JULIO"/>
    <n v="3"/>
    <n v="0"/>
    <n v="48000000"/>
    <s v="NO"/>
    <x v="3"/>
    <s v="Yenire Yohansy Lozano Ascanio"/>
    <x v="0"/>
    <s v="Subdirector@ de Gestión del Riesgo"/>
    <x v="0"/>
    <n v="101015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Si Secop "/>
    <s v="20260696-BS-8173-2-Adquisición de semovientes caninos para el grupo BRAE, destinados al entrenamiento de búsqueda y localización cinotécnica   para la atención de emergencias de la UAE Cuerpo Oficial de Bomberos de Bogota, s.o."/>
  </r>
  <r>
    <n v="20260697"/>
    <s v="Adicion y prorroga al contrato 684-2025 cuyo objeto es: &quot;Suministro de herramientas especializadas, equipos, accesorios y otros elementos de ferretería para garantizar la preparación y atención de emergencias de la U.A.E. Cuerpo Oficial de Bomberos de Bogotá – SBLG&quot;."/>
    <s v="03 - selec. abrev. subasta inversa"/>
    <x v="0"/>
    <s v="08 - contrato de suministro"/>
    <s v="MAYO"/>
    <n v="2"/>
    <n v="0"/>
    <n v="48000000"/>
    <s v="NO"/>
    <x v="1"/>
    <s v="Omer Mauricio Rivera Ruiz"/>
    <x v="0"/>
    <s v="Subdirector@ de Gestión del Riesgo"/>
    <x v="0"/>
    <s v="39121321;31162800;39121700; 311623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No Secop"/>
    <s v="20260697-BS-8173-4-Adicion y prorroga al contrato 684-2025 cuyo objeto es: &quot;Suministro de herramientas especializadas, equipos, accesorios y otros elementos de ferretería para garantizar la preparación y atención de emergencias de la U.A.E. Cuerpo Oficial de Bomberos de Bogotá – SBLG&quot;."/>
  </r>
  <r>
    <n v="20260698"/>
    <s v="Prestación del servicio de mantenimiento preventivo y correctivo de los equipos de respiración autónoma interspiro propiedad de la UAECOB, incluido el suministro de repuestos, insumos mano de obra especializada –SBLG"/>
    <s v="09 - contratación directa"/>
    <x v="0"/>
    <s v="03 - contrato de prestacion de servicios"/>
    <s v="JUNIO"/>
    <n v="4"/>
    <n v="0"/>
    <n v="160000000"/>
    <s v="NO"/>
    <x v="1"/>
    <s v="Omer Mauricio Rivera Ruiz"/>
    <x v="0"/>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698-BS-8173-4-Prestación del servicio de mantenimiento preventivo y correctivo de los equipos de respiración autónoma interspiro propiedad de la UAECOB, incluido el suministro de repuestos, insumos mano de obra especializada –SBLG"/>
  </r>
  <r>
    <n v="20260699"/>
    <s v="Prestar el servicio de  mantenimiento y recarga de extintores, cilindros y tanques de las maquinas extintoras de la UAECOB.  - SBLG"/>
    <s v="03 - selec. abrev. subasta inversa"/>
    <x v="0"/>
    <s v="03 - contrato de prestacion de servicios"/>
    <s v="MAYO"/>
    <n v="8"/>
    <n v="0"/>
    <n v="34981000"/>
    <s v="NO"/>
    <x v="1"/>
    <s v="Omer Mauricio Rivera Ruiz"/>
    <x v="0"/>
    <s v="Subdirector@ de Gestión del Riesgo"/>
    <x v="0"/>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699-BS-8173-4-Prestar el servicio de  mantenimiento y recarga de extintores, cilindros y tanques de las maquinas extintoras de la UAECOB.  - SBLG"/>
  </r>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1"/>
    <s v="25 - contrato de prestacion de servicios profesionales"/>
    <s v="ENERO"/>
    <n v="11"/>
    <n v="0"/>
    <n v="120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1"/>
    <s v="25 - contrato de prestacion de servicios profesionales"/>
    <s v="ENERO"/>
    <n v="6"/>
    <n v="0"/>
    <n v="45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1"/>
    <s v="25 - contrato de prestacion de servicios profesionales"/>
    <s v="ENERO"/>
    <n v="6"/>
    <n v="0"/>
    <n v="33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1"/>
    <s v="25 - contrato de prestacion de servicios profesionales"/>
    <s v="ENERO"/>
    <n v="6"/>
    <n v="0"/>
    <n v="57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1"/>
    <s v="25 - contrato de prestacion de servicios profesionales"/>
    <s v="ENERO"/>
    <n v="12"/>
    <n v="0"/>
    <n v="936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1"/>
    <s v="25 - contrato de prestacion de servicios profesionales"/>
    <s v="ENERO"/>
    <n v="10"/>
    <n v="0"/>
    <n v="78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1"/>
    <s v="25 - contrato de prestacion de servicios profesionales"/>
    <s v="ENERO"/>
    <s v="11"/>
    <s v="0"/>
    <n v="60500000"/>
    <s v="NO"/>
    <x v="4"/>
    <s v="Paula Ximena Henao Escobar"/>
    <x v="1"/>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1"/>
    <s v="26 - contrato de prestacion de servicios de apoyo a la gestion"/>
    <s v="FEBRERO"/>
    <n v="10"/>
    <n v="0"/>
    <n v="40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1"/>
    <s v="26 - contrato de prestacion de servicios de apoyo a la gestion"/>
    <s v="ENERO"/>
    <n v="6"/>
    <n v="0"/>
    <n v="24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1"/>
    <s v="25 - contrato de prestacion de servicios profesionales"/>
    <s v="ENERO"/>
    <n v="12"/>
    <n v="0"/>
    <n v="84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1"/>
    <s v="25 - contrato de prestacion de servicios profesionales"/>
    <s v="FEBRERO"/>
    <n v="10"/>
    <n v="0"/>
    <n v="78000000"/>
    <s v="NO"/>
    <x v="4"/>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1"/>
    <s v="25 - contrato de prestacion de servicios profesionales"/>
    <s v="ENERO"/>
    <n v="12"/>
    <n v="0"/>
    <n v="6192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1"/>
    <s v="25 - contrato de prestacion de servicios profesionales"/>
    <s v="FEBRERO"/>
    <n v="6"/>
    <n v="0"/>
    <n v="42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1"/>
    <s v="26 - contrato de prestacion de servicios de apoyo a la gestion"/>
    <s v="ENERO"/>
    <n v="6"/>
    <n v="0"/>
    <n v="2694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1"/>
    <s v="26 - contrato de prestacion de servicios de apoyo a la gestion"/>
    <s v="ENERO"/>
    <n v="11"/>
    <n v="0"/>
    <n v="44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1"/>
    <s v="26 - contrato de prestacion de servicios de apoyo a la gestion"/>
    <s v="ENERO"/>
    <n v="11"/>
    <n v="0"/>
    <n v="4400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1"/>
    <s v="25 - contrato de prestacion de servicios profesionales"/>
    <s v="ENERO"/>
    <n v="10"/>
    <n v="0"/>
    <n v="7800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1"/>
    <s v="25 - contrato de prestacion de servicios profesionales"/>
    <s v="ENERO"/>
    <n v="10"/>
    <n v="0"/>
    <n v="75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1"/>
    <s v="25 - contrato de prestacion de servicios profesionales"/>
    <s v="FEBRERO"/>
    <n v="6"/>
    <n v="0"/>
    <n v="42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1"/>
    <s v="25 - contrato de prestacion de servicios profesionales"/>
    <s v="FEBRERO"/>
    <n v="10"/>
    <n v="0"/>
    <n v="78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1"/>
    <s v="25 - contrato de prestacion de servicios profesionales"/>
    <s v="FEBRERO"/>
    <n v="10"/>
    <n v="0"/>
    <n v="55000000"/>
    <s v="NO"/>
    <x v="4"/>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1"/>
    <s v="25 - contrato de prestacion de servicios profesionales"/>
    <s v="FEBRERO"/>
    <n v="6"/>
    <n v="0"/>
    <n v="3000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1"/>
    <s v="26 - contrato de prestacion de servicios de apoyo a la gestion"/>
    <s v="ENERO"/>
    <n v="10"/>
    <n v="0"/>
    <n v="4000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1"/>
    <s v="25 - contrato de prestacion de servicios profesionales"/>
    <s v="FEBRERO"/>
    <n v="6"/>
    <n v="0"/>
    <n v="30966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1"/>
    <s v="25 - contrato de prestacion de servicios profesionales"/>
    <s v="ENERO"/>
    <n v="10"/>
    <n v="0"/>
    <n v="78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1"/>
    <s v="25 - contrato de prestacion de servicios profesionales"/>
    <s v="ENERO"/>
    <n v="10"/>
    <n v="0"/>
    <n v="745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1"/>
    <s v="25 - contrato de prestacion de servicios profesionales"/>
    <s v="ENERO"/>
    <n v="11"/>
    <n v="0"/>
    <n v="924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1"/>
    <s v="25 - contrato de prestacion de servicios profesionales"/>
    <s v="ENERO"/>
    <n v="11"/>
    <n v="0"/>
    <n v="858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1"/>
    <s v="25 - contrato de prestacion de servicios profesionales"/>
    <s v="ENERO"/>
    <n v="10"/>
    <n v="0"/>
    <n v="51610000"/>
    <s v="NO"/>
    <x v="4"/>
    <s v="Paula Ximena Henao Escobar"/>
    <x v="1"/>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1"/>
    <s v="25 - contrato de prestacion de servicios profesionales"/>
    <s v="ENERO"/>
    <n v="10"/>
    <n v="0"/>
    <n v="5500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1"/>
    <s v="25 - contrato de prestacion de servicios profesionales"/>
    <s v="ENERO"/>
    <n v="10"/>
    <n v="0"/>
    <n v="75000000"/>
    <s v="NO"/>
    <x v="4"/>
    <s v="Paula Ximena Henao Escobar"/>
    <x v="1"/>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03 - selec. abrev. subasta inversa"/>
    <x v="0"/>
    <s v="03 - contrato de prestacion de servicios"/>
    <s v="MAYO"/>
    <n v="9"/>
    <n v="0"/>
    <n v="103000000"/>
    <s v="NO"/>
    <x v="4"/>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0"/>
    <s v="03 - contrato de prestacion de servicios"/>
    <s v="OCTUBRE"/>
    <n v="6"/>
    <n v="0"/>
    <n v="1000"/>
    <s v="NO"/>
    <x v="4"/>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x v="0"/>
    <s v="06 - contrato de compraventa"/>
    <s v="OCTUBRE"/>
    <n v="12"/>
    <n v="0"/>
    <n v="10000000"/>
    <s v="NO"/>
    <x v="4"/>
    <s v="Paula Ximena Henao Escobar"/>
    <x v="1"/>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4-BS-8126-4-Adquisición de un certificado digital servidor seguro SSL para múltiples subdominios y aplicaciones para los sistemas misionales de la UAE cuerpo oficial de bomberos de Bogotá"/>
  </r>
  <r>
    <n v="20260036"/>
    <s v="Contratar el alquiler de equipos tecnológicos, periféricos y servicios complementarios para la U.A.E. Cuerpo Oficial de Bomberos de Bogotá. - TIC"/>
    <s v="04 - contratación mínima cuantía"/>
    <x v="0"/>
    <s v="23 - contrato de alquiler"/>
    <s v="ABRIL"/>
    <n v="9"/>
    <n v="0"/>
    <n v="30000000"/>
    <s v="NO"/>
    <x v="4"/>
    <s v="Paula Ximena Henao Escobar"/>
    <x v="1"/>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03 - selec. abrev. subasta inversa"/>
    <x v="0"/>
    <s v="24 - contrato de servicio"/>
    <s v="MAYO"/>
    <n v="12"/>
    <n v="0"/>
    <n v="200000000"/>
    <s v="NO"/>
    <x v="4"/>
    <s v="Paula Ximena Henao Escobar"/>
    <x v="1"/>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0"/>
    <s v="03 - contrato de prestacion de servicios"/>
    <s v="MARZO"/>
    <n v="12"/>
    <n v="0"/>
    <n v="100000000"/>
    <s v="NO"/>
    <x v="4"/>
    <s v="Paula Ximena Henao Escobar"/>
    <x v="1"/>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0"/>
    <s v="03 - contrato de prestacion de servicios"/>
    <s v="MARZO"/>
    <n v="12"/>
    <n v="0"/>
    <n v="100000000"/>
    <s v="NO"/>
    <x v="4"/>
    <s v="Paula Ximena Henao Escobar"/>
    <x v="1"/>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0"/>
    <s v="19 - contrato de renovacion de licencias"/>
    <s v="NOVIEMBRE"/>
    <n v="12"/>
    <n v="0"/>
    <n v="1000"/>
    <s v="NO"/>
    <x v="4"/>
    <s v="Paula Ximena Henao Escobar"/>
    <x v="1"/>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0"/>
    <s v="03 - contrato de prestacion de servicios"/>
    <s v="AGOSTO"/>
    <n v="12"/>
    <n v="0"/>
    <n v="15000000"/>
    <s v="NO"/>
    <x v="4"/>
    <s v="Paula Ximena Henao Escobar"/>
    <x v="1"/>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0"/>
    <s v="19 - contrato de renovacion de licencias"/>
    <s v="OCTUBRE"/>
    <n v="12"/>
    <n v="0"/>
    <n v="1000"/>
    <s v="NO"/>
    <x v="4"/>
    <s v="Paula Ximena Henao Escobar"/>
    <x v="1"/>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2-BS-8126-5-Contratar la renovación de garantía y soporte de fabrica de los equipos activos que hacen parte de la infraestructura tecnológica de la U.A.E. Cuerpo Oficial de Bomberos de Bogotá."/>
  </r>
  <r>
    <n v="20260044"/>
    <s v="Contratar el servicio de mantenimiento, soporte técnico y actualización del aplicativo PCT, utilizado por la UAE Cuerpo Oficial de Bomberos de Bogota - TIC"/>
    <s v="09 - contratación directa"/>
    <x v="0"/>
    <s v="24 - contrato de servicio"/>
    <s v="ENERO"/>
    <n v="12"/>
    <n v="0"/>
    <n v="25000000"/>
    <s v="NO"/>
    <x v="4"/>
    <s v="Paula Ximena Henao Escobar"/>
    <x v="1"/>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5"/>
    <s v="Contratar el servicio de actualización y soporte de licenciamiento para Motor de Base de Datos,  y Web Logic para la U.A.E. Cuerpo Oficial de Bomberos de Bogotá - TIC"/>
    <s v="09 - contratación directa"/>
    <x v="0"/>
    <s v="19 - contrato de renovacion de licencias"/>
    <s v="JUNIO"/>
    <n v="12"/>
    <n v="0"/>
    <n v="200000000"/>
    <s v="NO"/>
    <x v="4"/>
    <s v="Paula Ximena Henao Escobar"/>
    <x v="1"/>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5-BS-8126-4-Contratar el servicio de actualización y soporte de licenciamiento para Motor de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0"/>
    <s v="03 - contrato de prestacion de servicios"/>
    <s v="JULIO"/>
    <n v="12"/>
    <n v="0"/>
    <n v="50000000"/>
    <s v="NO"/>
    <x v="4"/>
    <s v="Paula Ximena Henao Escobar"/>
    <x v="1"/>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0"/>
    <s v="27 - contrato de prestacion de servicios de mantenimiento"/>
    <s v="JUNIO"/>
    <n v="12"/>
    <n v="0"/>
    <n v="10000000"/>
    <s v="NO"/>
    <x v="4"/>
    <s v="Paula Ximena Henao Escobar"/>
    <x v="1"/>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7-BS-8126-4-Contratar el servicios de mantenimiento para el sistema de atención de turnos de la U.A.E. Cuerpo Ofical de Bomberos de Bogotá - TIC"/>
  </r>
  <r>
    <n v="20260048"/>
    <s v="Modernización, mantenimiento y soporte de los componentes multimedia y tecnológicos para el equipamiento del auditorio de la sede principal de la U.A.E. Cuerpo Oficial de Bomberos Bogotá."/>
    <s v="03 - selec. abrev. subasta inversa"/>
    <x v="0"/>
    <s v="03 - contrato de prestacion de servicios"/>
    <s v="MAYO"/>
    <n v="12"/>
    <n v="0"/>
    <n v="628722414"/>
    <s v="NO"/>
    <x v="4"/>
    <s v=" Paula Ximena Henao Escobar "/>
    <x v="1"/>
    <s v="Subdirector@ de Gestión Corporativa"/>
    <x v="0"/>
    <s v="45111700; 45111500; 45111900; 52161500; 43211900;43233400; 72151600; 81111500; 8116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ón, mantenimiento y soporte de los componentes multimedia y tecnológicos para el equipamiento del auditorio de la sede principal de la U.A.E. Cuerpo Oficial de Bomberos Bogotá."/>
  </r>
  <r>
    <n v="20260052"/>
    <s v="Contratar  la suscripción de licencias Suite Adobe para la UAE Cuerpo Oficial de Bomberos de Bogotá-TIC"/>
    <s v="17 - acuerdo marco de precios"/>
    <x v="0"/>
    <s v="19 - contrato de renovacion de licencias"/>
    <s v="SEPTIEMBRE"/>
    <n v="12"/>
    <n v="0"/>
    <n v="50000000"/>
    <s v="NO"/>
    <x v="4"/>
    <s v="Paula Ximena Henao Escobar"/>
    <x v="2"/>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0"/>
    <s v="24 - contrato de servicio"/>
    <s v="ABRIL"/>
    <n v="12"/>
    <n v="0"/>
    <n v="448870000"/>
    <s v="NO"/>
    <x v="4"/>
    <s v="Paula Ximena Henao Escobar"/>
    <x v="2"/>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0"/>
    <s v="27 - contrato de prestacion de servicios de mantenimiento"/>
    <s v="ABRIL"/>
    <n v="12"/>
    <n v="0"/>
    <n v="100000000"/>
    <s v="NO"/>
    <x v="4"/>
    <s v="Paula Ximena Henao Escobar"/>
    <x v="2"/>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x v="0"/>
    <s v="24 - contrato de servicio"/>
    <s v="JUNIO"/>
    <n v="12"/>
    <n v="0"/>
    <n v="100000000"/>
    <s v="NO"/>
    <x v="4"/>
    <s v="Paula Ximena Henao Escobar"/>
    <x v="2"/>
    <s v="Subdirector@ de Gestión Corporativa"/>
    <x v="1"/>
    <s v="43233200; 72151700;  43233200; 81112200; 72151700; 45121600"/>
    <s v="No aplica"/>
    <s v="No a"/>
    <s v="l"/>
    <s v="NA"/>
    <s v="NA"/>
    <s v="NA"/>
    <s v="N/A"/>
    <s v="N/A"/>
    <s v="N/A-N/A"/>
    <s v="N/A"/>
    <s v="N/A"/>
    <s v="N/A_N/A"/>
    <s v="N/A-N/A N/A_N/A"/>
    <s v="NANANAN/AN/A"/>
    <s v="N/A"/>
    <s v="No Aplica"/>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x v="0"/>
    <s v="19 - contrato de renovacion de licencias"/>
    <s v="MARZO"/>
    <n v="12"/>
    <n v="0"/>
    <n v="27600000"/>
    <s v="NO"/>
    <x v="4"/>
    <s v="Paula Ximena Henao Escobar"/>
    <x v="2"/>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1"/>
    <s v="26 - contrato de prestacion de servicios de apoyo a la gestion"/>
    <s v="ENERO"/>
    <n v="12"/>
    <n v="0"/>
    <n v="45042216"/>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1"/>
    <s v="25 - contrato de prestacion de servicios profesionales"/>
    <s v="ENERO"/>
    <n v="6"/>
    <n v="0"/>
    <n v="39000000"/>
    <s v="NO"/>
    <x v="5"/>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1"/>
    <s v="26 - contrato de prestacion de servicios de apoyo a la gestion"/>
    <s v="ENERO"/>
    <n v="12"/>
    <n v="0"/>
    <n v="53889792"/>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1"/>
    <s v="25 - contrato de prestacion de servicios profesionales"/>
    <s v="ENERO"/>
    <n v="11"/>
    <n v="0"/>
    <n v="110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1"/>
    <s v="25 - contrato de prestacion de servicios profesionales"/>
    <s v="ENERO"/>
    <n v="6"/>
    <n v="0"/>
    <n v="42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1"/>
    <s v="25 - contrato de prestacion de servicios profesionales"/>
    <s v="ENERO"/>
    <n v="12"/>
    <n v="0"/>
    <n v="96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1"/>
    <s v="25 - contrato de prestacion de servicios profesionales"/>
    <s v="ENERO"/>
    <n v="12"/>
    <n v="0"/>
    <n v="108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1"/>
    <s v="25 - contrato de prestacion de servicios profesionales"/>
    <s v="ENERO"/>
    <n v="12"/>
    <n v="0"/>
    <n v="90000000"/>
    <s v="NO"/>
    <x v="5"/>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1"/>
    <s v="25 - contrato de prestacion de servicios profesionales"/>
    <s v="ENERO"/>
    <n v="8"/>
    <n v="0"/>
    <n v="336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1"/>
    <s v="25 - contrato de prestacion de servicios profesionales"/>
    <s v="ENERO"/>
    <n v="11"/>
    <n v="0"/>
    <n v="99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1"/>
    <s v="25 - contrato de prestacion de servicios profesionales"/>
    <s v="ENERO"/>
    <n v="11"/>
    <n v="0"/>
    <n v="88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1"/>
    <s v="25 - contrato de prestacion de servicios profesionales"/>
    <s v="ENERO"/>
    <n v="6"/>
    <n v="0"/>
    <n v="42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1"/>
    <s v="25 - contrato de prestacion de servicios profesionales"/>
    <s v="ENERO"/>
    <n v="12"/>
    <n v="0"/>
    <n v="126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1"/>
    <s v="25 - contrato de prestacion de servicios profesionales"/>
    <s v="ENERO"/>
    <n v="6"/>
    <n v="0"/>
    <n v="42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1"/>
    <s v="25 - contrato de prestacion de servicios profesionales"/>
    <s v="ENERO"/>
    <n v="11"/>
    <n v="0"/>
    <n v="101200000"/>
    <s v="NO"/>
    <x v="5"/>
    <s v="Manuel Eduardo Castillo Guzman"/>
    <x v="1"/>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1"/>
    <s v="25 - contrato de prestacion de servicios profesionales"/>
    <s v="ENERO"/>
    <n v="8"/>
    <n v="0"/>
    <n v="52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1"/>
    <s v="25 - contrato de prestacion de servicios profesionales"/>
    <s v="ENERO"/>
    <n v="6"/>
    <n v="0"/>
    <n v="39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1"/>
    <s v="25 - contrato de prestacion de servicios profesionales"/>
    <s v="ENERO"/>
    <n v="6"/>
    <n v="0"/>
    <n v="60000000"/>
    <s v="NO"/>
    <x v="5"/>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1"/>
    <s v="25 - contrato de prestacion de servicios profesionales"/>
    <s v="ENERO"/>
    <n v="6"/>
    <n v="0"/>
    <n v="40200000"/>
    <s v="NO"/>
    <x v="5"/>
    <s v="Manuel Eduardo Castillo Guzman"/>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1"/>
    <s v="25 - contrato de prestacion de servicios profesionales"/>
    <s v="ENERO"/>
    <n v="6"/>
    <n v="0"/>
    <n v="39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1"/>
    <s v="26 - contrato de prestacion de servicios de apoyo a la gestion"/>
    <s v="ENERO"/>
    <n v="8"/>
    <n v="0"/>
    <n v="35926528"/>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1"/>
    <s v="25 - contrato de prestacion de servicios profesionales"/>
    <s v="ENERO"/>
    <n v="8"/>
    <n v="0"/>
    <n v="56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1"/>
    <s v="26 - contrato de prestacion de servicios de apoyo a la gestion"/>
    <s v="ENERO"/>
    <n v="7"/>
    <n v="0"/>
    <n v="49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1"/>
    <s v="25 - contrato de prestacion de servicios profesionales"/>
    <s v="ENERO"/>
    <n v="7"/>
    <n v="0"/>
    <n v="49000000"/>
    <s v="NO"/>
    <x v="5"/>
    <s v="Manuel Eduardo Castillo Guzman"/>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1"/>
    <s v="25 - contrato de prestacion de servicios profesionales"/>
    <s v="FEBRERO"/>
    <n v="10"/>
    <n v="0"/>
    <n v="78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1"/>
    <s v="25 - contrato de prestacion de servicios profesionales"/>
    <s v="FEBRERO"/>
    <n v="10"/>
    <n v="0"/>
    <n v="85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1"/>
    <s v="25 - contrato de prestacion de servicios profesionales"/>
    <s v="FEBRERO"/>
    <n v="10"/>
    <n v="0"/>
    <n v="8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1"/>
    <s v="25 - contrato de prestacion de servicios profesionales"/>
    <s v="FEBRERO"/>
    <n v="10"/>
    <n v="0"/>
    <n v="7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1"/>
    <s v="25 - contrato de prestacion de servicios profesionales"/>
    <s v="FEBRERO"/>
    <n v="10"/>
    <n v="0"/>
    <n v="7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1"/>
    <s v="25 - contrato de prestacion de servicios profesionales"/>
    <s v="FEBRERO"/>
    <n v="10"/>
    <n v="0"/>
    <n v="7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1"/>
    <s v="25 - contrato de prestacion de servicios profesionales"/>
    <s v="FEBRERO"/>
    <n v="10"/>
    <n v="0"/>
    <n v="7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1"/>
    <s v="25 - contrato de prestacion de servicios profesionales"/>
    <s v="FEBRERO"/>
    <n v="10"/>
    <n v="0"/>
    <n v="7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1"/>
    <s v="25 - contrato de prestacion de servicios profesionales"/>
    <s v="FEBRERO"/>
    <n v="10"/>
    <n v="0"/>
    <n v="55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1"/>
    <s v="26 - contrato de prestacion de servicios de apoyo a la gestion"/>
    <s v="FEBRERO"/>
    <n v="10"/>
    <n v="0"/>
    <n v="36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1"/>
    <s v="26 - contrato de prestacion de servicios de apoyo a la gestion"/>
    <s v="FEBRERO"/>
    <n v="10"/>
    <n v="0"/>
    <n v="26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1"/>
    <s v="25 - contrato de prestacion de servicios profesionales"/>
    <s v="FEBRERO"/>
    <n v="10"/>
    <n v="0"/>
    <n v="6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1"/>
    <s v="25 - contrato de prestacion de servicios profesionales"/>
    <s v="ENERO"/>
    <n v="11"/>
    <n v="0"/>
    <n v="85158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1"/>
    <s v="25 - contrato de prestacion de servicios profesionales"/>
    <s v="ENERO"/>
    <n v="11"/>
    <n v="0"/>
    <n v="85158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1"/>
    <s v="25 - contrato de prestacion de servicios profesionales"/>
    <s v="ENERO"/>
    <n v="11"/>
    <n v="0"/>
    <n v="85158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1"/>
    <s v="25 - contrato de prestacion de servicios profesionales"/>
    <s v="ENERO"/>
    <n v="11"/>
    <n v="0"/>
    <n v="51424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1"/>
    <s v="26 - contrato de prestacion de servicios de apoyo a la gestion"/>
    <s v="ENERO"/>
    <n v="11"/>
    <n v="0"/>
    <n v="43102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1"/>
    <s v="25 - contrato de prestacion de servicios profesionales"/>
    <s v="FEBRERO"/>
    <n v="9"/>
    <n v="0"/>
    <n v="90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1"/>
    <s v="25 - contrato de prestacion de servicios profesionales"/>
    <s v="FEBRERO"/>
    <n v="8"/>
    <n v="0"/>
    <n v="7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1"/>
    <s v="25 - contrato de prestacion de servicios profesionales"/>
    <s v="FEBRERO"/>
    <n v="8"/>
    <n v="0"/>
    <n v="296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1"/>
    <s v="25 - contrato de prestacion de servicios profesionales"/>
    <s v="FEBRERO"/>
    <n v="8"/>
    <n v="0"/>
    <n v="5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1"/>
    <s v="25 - contrato de prestacion de servicios profesionales"/>
    <s v="FEBRERO"/>
    <n v="9"/>
    <n v="0"/>
    <n v="67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1"/>
    <s v="25 - contrato de prestacion de servicios profesionales"/>
    <s v="FEBRERO"/>
    <n v="8"/>
    <n v="0"/>
    <n v="536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1"/>
    <s v="25 - contrato de prestacion de servicios profesionales"/>
    <s v="FEBRERO"/>
    <n v="4"/>
    <n v="0"/>
    <n v="248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1"/>
    <s v="25 - contrato de prestacion de servicios profesionales"/>
    <s v="FEBRERO"/>
    <n v="8"/>
    <n v="0"/>
    <n v="536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1"/>
    <s v="25 - contrato de prestacion de servicios profesionales"/>
    <s v="FEBRERO"/>
    <n v="9"/>
    <n v="0"/>
    <n v="94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1"/>
    <s v="25 - contrato de prestacion de servicios profesionales"/>
    <s v="FEBRERO"/>
    <n v="8"/>
    <n v="0"/>
    <n v="772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1"/>
    <s v="25 - contrato de prestacion de servicios profesionales"/>
    <s v="FEBRERO"/>
    <n v="8"/>
    <n v="0"/>
    <n v="5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1"/>
    <s v="25 - contrato de prestacion de servicios profesionales"/>
    <s v="FEBRERO"/>
    <n v="6"/>
    <n v="0"/>
    <n v="303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1"/>
    <s v="25 - contrato de prestacion de servicios profesionales"/>
    <s v="FEBRERO"/>
    <n v="9"/>
    <n v="0"/>
    <n v="76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1"/>
    <s v="25 - contrato de prestacion de servicios profesionales"/>
    <s v="FEBRERO"/>
    <n v="9"/>
    <n v="0"/>
    <n v="76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1"/>
    <s v="25 - contrato de prestacion de servicios profesionales"/>
    <s v="FEBRERO"/>
    <n v="9"/>
    <n v="0"/>
    <n v="76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1"/>
    <s v="25 - contrato de prestacion de servicios profesionales"/>
    <s v="FEBRERO"/>
    <n v="9"/>
    <n v="0"/>
    <n v="76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1"/>
    <s v="25 - contrato de prestacion de servicios profesionales"/>
    <s v="FEBRERO"/>
    <n v="9"/>
    <n v="0"/>
    <n v="7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1"/>
    <s v="26 - contrato de prestacion de servicios de apoyo a la gestion"/>
    <s v="FEBRERO"/>
    <n v="9"/>
    <n v="0"/>
    <n v="603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1"/>
    <s v="26 - contrato de prestacion de servicios de apoyo a la gestion"/>
    <s v="FEBRERO"/>
    <n v="8"/>
    <n v="0"/>
    <n v="464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1"/>
    <s v="25 - contrato de prestacion de servicios profesionales"/>
    <s v="FEBRERO"/>
    <n v="8"/>
    <n v="0"/>
    <n v="7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1"/>
    <s v="25 - contrato de prestacion de servicios profesionales"/>
    <s v="FEBRERO"/>
    <n v="11"/>
    <n v="0"/>
    <n v="374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1"/>
    <s v="26 - contrato de prestacion de servicios de apoyo a la gestion"/>
    <s v="FEBRERO"/>
    <n v="8"/>
    <n v="0"/>
    <n v="288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1"/>
    <s v="26 - contrato de prestacion de servicios de apoyo a la gestion"/>
    <s v="FEBRERO"/>
    <n v="8"/>
    <n v="0"/>
    <n v="288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1"/>
    <s v="26 - contrato de prestacion de servicios de apoyo a la gestion"/>
    <s v="FEBRERO"/>
    <n v="8"/>
    <n v="0"/>
    <n v="288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1"/>
    <s v="25 - contrato de prestacion de servicios profesionales"/>
    <s v="FEBRERO"/>
    <n v="8"/>
    <n v="0"/>
    <n v="64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1"/>
    <s v="25 - contrato de prestacion de servicios profesionales"/>
    <s v="FEBRERO"/>
    <n v="8"/>
    <n v="0"/>
    <n v="461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1"/>
    <s v="25 - contrato de prestacion de servicios profesionales"/>
    <s v="FEBRERO"/>
    <n v="8"/>
    <n v="0"/>
    <n v="60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1"/>
    <s v="25 - contrato de prestacion de servicios profesionales"/>
    <s v="FEBRERO"/>
    <n v="8"/>
    <n v="0"/>
    <n v="64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1"/>
    <s v="25 - contrato de prestacion de servicios profesionales"/>
    <s v="FEBRERO"/>
    <n v="8"/>
    <n v="0"/>
    <n v="64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1"/>
    <s v="25 - contrato de prestacion de servicios profesionales"/>
    <s v="FEBRERO"/>
    <n v="8"/>
    <n v="0"/>
    <n v="520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1"/>
    <s v="25 - contrato de prestacion de servicios profesionales"/>
    <s v="ENERO"/>
    <n v="8"/>
    <n v="0"/>
    <n v="64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1"/>
    <s v="26 - contrato de prestacion de servicios de apoyo a la gestion"/>
    <s v="ENERO"/>
    <n v="7"/>
    <n v="0"/>
    <n v="266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1"/>
    <s v="26 - contrato de prestacion de servicios de apoyo a la gestion"/>
    <s v="ENERO"/>
    <n v="11"/>
    <n v="0"/>
    <n v="462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1"/>
    <s v="26 - contrato de prestacion de servicios de apoyo a la gestion"/>
    <s v="ENERO"/>
    <n v="7"/>
    <n v="0"/>
    <n v="266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1"/>
    <s v="26 - contrato de prestacion de servicios de apoyo a la gestion"/>
    <s v="ENERO"/>
    <n v="11"/>
    <n v="0"/>
    <n v="418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1"/>
    <s v="26 - contrato de prestacion de servicios de apoyo a la gestion"/>
    <s v="ENERO"/>
    <n v="7"/>
    <n v="0"/>
    <n v="287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1"/>
    <s v="25 - contrato de prestacion de servicios profesionales"/>
    <s v="ENERO"/>
    <n v="3"/>
    <n v="15"/>
    <n v="29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1"/>
    <s v="25 - contrato de prestacion de servicios profesionales"/>
    <s v="ENERO"/>
    <n v="5"/>
    <n v="0"/>
    <n v="295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1"/>
    <s v="25 - contrato de prestacion de servicios profesionales"/>
    <s v="ENERO"/>
    <n v="10"/>
    <n v="0"/>
    <n v="67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1"/>
    <s v="26 - contrato de prestacion de servicios de apoyo a la gestion"/>
    <s v="ENERO"/>
    <n v="10"/>
    <n v="0"/>
    <n v="36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1"/>
    <s v="25 - contrato de prestacion de servicios profesionales"/>
    <s v="ENERO"/>
    <n v="7"/>
    <n v="0"/>
    <n v="50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1"/>
    <s v="25 - contrato de prestacion de servicios profesionales"/>
    <s v="ENERO"/>
    <n v="7"/>
    <n v="0"/>
    <n v="50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1"/>
    <s v="25 - contrato de prestacion de servicios profesionales"/>
    <s v="ENERO"/>
    <n v="7"/>
    <n v="0"/>
    <n v="385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1"/>
    <s v="25 - contrato de prestacion de servicios profesionales"/>
    <s v="ENERO"/>
    <n v="10"/>
    <n v="0"/>
    <n v="69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1"/>
    <s v="26 - contrato de prestacion de servicios de apoyo a la gestion"/>
    <s v="ENERO"/>
    <n v="7"/>
    <n v="0"/>
    <n v="287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1"/>
    <s v="25 - contrato de prestacion de servicios profesionales"/>
    <s v="ENERO"/>
    <n v="7"/>
    <n v="0"/>
    <n v="4508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1"/>
    <s v="25 - contrato de prestacion de servicios profesionales"/>
    <s v="ENERO"/>
    <n v="11"/>
    <n v="0"/>
    <n v="539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1"/>
    <s v="26 - contrato de prestacion de servicios de apoyo a la gestion"/>
    <s v="ENERO"/>
    <n v="8"/>
    <n v="0"/>
    <n v="32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1"/>
    <s v="25 - contrato de prestacion de servicios profesionales"/>
    <s v="ENERO"/>
    <n v="7"/>
    <n v="0"/>
    <n v="406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1"/>
    <s v="25 - contrato de prestacion de servicios profesionales"/>
    <s v="ENERO"/>
    <n v="11"/>
    <n v="0"/>
    <n v="671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1"/>
    <s v="26 - contrato de prestacion de servicios de apoyo a la gestion"/>
    <s v="ENERO"/>
    <n v="7"/>
    <n v="0"/>
    <n v="28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1"/>
    <s v="25 - contrato de prestacion de servicios profesionales"/>
    <s v="ENERO"/>
    <n v="7"/>
    <n v="0"/>
    <n v="427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1"/>
    <s v="25 - contrato de prestacion de servicios profesionales"/>
    <s v="ENERO"/>
    <n v="7"/>
    <n v="0"/>
    <n v="427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1"/>
    <s v="25 - contrato de prestacion de servicios profesionales"/>
    <s v="ENERO"/>
    <n v="7"/>
    <n v="0"/>
    <n v="427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1"/>
    <s v="25 - contrato de prestacion de servicios profesionales"/>
    <s v="ENERO"/>
    <n v="7"/>
    <n v="0"/>
    <n v="343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1"/>
    <s v="25 - contrato de prestacion de servicios profesionales"/>
    <s v="ENERO"/>
    <n v="7"/>
    <n v="0"/>
    <n v="36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1"/>
    <s v="25 - contrato de prestacion de servicios profesionales"/>
    <s v="ENERO"/>
    <n v="11"/>
    <n v="0"/>
    <n v="77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1"/>
    <s v="25 - contrato de prestacion de servicios profesionales"/>
    <s v="ENERO"/>
    <n v="10"/>
    <n v="0"/>
    <n v="64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1"/>
    <s v="25 - contrato de prestacion de servicios profesionales"/>
    <s v="ENERO"/>
    <n v="11"/>
    <n v="0"/>
    <n v="77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1"/>
    <s v="25 - contrato de prestacion de servicios profesionales"/>
    <s v="ENERO"/>
    <n v="10"/>
    <n v="0"/>
    <n v="65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1"/>
    <s v="25 - contrato de prestacion de servicios profesionales"/>
    <s v="ENERO"/>
    <n v="7"/>
    <n v="0"/>
    <n v="518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1"/>
    <s v="25 - contrato de prestacion de servicios profesionales"/>
    <s v="ENERO"/>
    <n v="7"/>
    <n v="0"/>
    <n v="64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1"/>
    <s v="26 - contrato de prestacion de servicios de apoyo a la gestion"/>
    <s v="ENERO"/>
    <n v="7"/>
    <n v="0"/>
    <n v="252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1"/>
    <s v="25 - contrato de prestacion de servicios profesionales"/>
    <s v="ENERO"/>
    <n v="7"/>
    <n v="0"/>
    <n v="413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1"/>
    <s v="25 - contrato de prestacion de servicios profesionales"/>
    <s v="ENERO"/>
    <n v="8"/>
    <n v="0"/>
    <n v="576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1"/>
    <s v="25 - contrato de prestacion de servicios profesionales"/>
    <s v="ENERO"/>
    <n v="5"/>
    <n v="0"/>
    <n v="46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1"/>
    <s v="25 - contrato de prestacion de servicios profesionales"/>
    <s v="ENERO"/>
    <n v="7"/>
    <n v="0"/>
    <n v="50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1"/>
    <s v="25 - contrato de prestacion de servicios profesionales"/>
    <s v="ENERO"/>
    <n v="7"/>
    <n v="0"/>
    <n v="609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1"/>
    <s v="25 - contrato de prestacion de servicios profesionales"/>
    <s v="ENERO"/>
    <n v="7"/>
    <n v="0"/>
    <n v="623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1"/>
    <s v="25 - contrato de prestacion de servicios profesionales"/>
    <s v="ENERO"/>
    <n v="10"/>
    <n v="0"/>
    <n v="83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1"/>
    <s v="25 - contrato de prestacion de servicios profesionales"/>
    <s v="ENERO"/>
    <n v="11"/>
    <n v="0"/>
    <n v="92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1"/>
    <s v="25 - contrato de prestacion de servicios profesionales"/>
    <s v="ENERO"/>
    <n v="8"/>
    <n v="0"/>
    <n v="66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1"/>
    <s v="25 - contrato de prestacion de servicios profesionales"/>
    <s v="ENERO"/>
    <n v="11"/>
    <n v="0"/>
    <n v="605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1"/>
    <s v="25 - contrato de prestacion de servicios profesionales"/>
    <s v="ENERO"/>
    <n v="7"/>
    <n v="0"/>
    <n v="378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1"/>
    <s v="25 - contrato de prestacion de servicios profesionales"/>
    <s v="ENERO"/>
    <n v="7"/>
    <n v="0"/>
    <n v="378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1"/>
    <s v="25 - contrato de prestacion de servicios profesionales"/>
    <s v="ENERO"/>
    <n v="10"/>
    <n v="0"/>
    <n v="82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1"/>
    <s v="25 - contrato de prestacion de servicios profesionales"/>
    <s v="ENERO"/>
    <n v="11"/>
    <n v="0"/>
    <n v="572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1"/>
    <s v="25 - contrato de prestacion de servicios profesionales"/>
    <s v="ENERO"/>
    <n v="10"/>
    <n v="0"/>
    <n v="72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1"/>
    <s v="26 - contrato de prestacion de servicios de apoyo a la gestion"/>
    <s v="ENERO"/>
    <n v="11"/>
    <n v="0"/>
    <n v="407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1"/>
    <s v="25 - contrato de prestacion de servicios profesionales"/>
    <s v="ENERO"/>
    <n v="11"/>
    <n v="0"/>
    <n v="814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1"/>
    <s v="25 - contrato de prestacion de servicios profesionales"/>
    <s v="ENERO"/>
    <n v="11"/>
    <n v="0"/>
    <n v="847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1"/>
    <s v="25 - contrato de prestacion de servicios profesionales"/>
    <s v="ENERO"/>
    <n v="10"/>
    <n v="0"/>
    <n v="55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1"/>
    <s v="26 - contrato de prestacion de servicios de apoyo a la gestion"/>
    <s v="ENERO"/>
    <n v="8"/>
    <n v="0"/>
    <n v="26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1"/>
    <s v="25 - contrato de prestacion de servicios profesionales"/>
    <s v="ENERO"/>
    <n v="11"/>
    <n v="0"/>
    <n v="968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1"/>
    <s v="25 - contrato de prestacion de servicios profesionales"/>
    <s v="ENERO"/>
    <n v="11"/>
    <n v="0"/>
    <n v="935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1"/>
    <s v="25 - contrato de prestacion de servicios profesionales"/>
    <s v="ENERO"/>
    <n v="11"/>
    <n v="0"/>
    <n v="9152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1"/>
    <s v="25 - contrato de prestacion de servicios profesionales"/>
    <s v="ENERO"/>
    <n v="11"/>
    <n v="0"/>
    <n v="1144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6"/>
    <s v="SGH - Garantizar los recursos para movilización efectiva del personal operativo en la atención de emergencias"/>
    <s v="91 - n/a acto administrativo (resolución, decreto, acuerdo, etc.)"/>
    <x v="0"/>
    <s v="03 - contrato de prestacion de servicios"/>
    <s v="FEBRERO"/>
    <n v="11"/>
    <n v="0"/>
    <n v="80000000"/>
    <s v="NO"/>
    <x v="0"/>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0"/>
    <s v="03 - contrato de prestacion de servicios"/>
    <s v="FEBRERO"/>
    <n v="11"/>
    <n v="0"/>
    <n v="280000000"/>
    <s v="NO"/>
    <x v="0"/>
    <s v="Jose Andres Ponce Caicedo"/>
    <x v="0"/>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0"/>
    <s v="06 - contrato de compraventa"/>
    <s v="MARZO"/>
    <n v="4"/>
    <n v="0"/>
    <n v="200000000"/>
    <s v="NO"/>
    <x v="0"/>
    <s v="Jose Andres Ponce Caicedo"/>
    <x v="0"/>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s v="20260188-BS-8173-9-SGH - Adecuación de escenarios necesarios para el desarrollo de procesos de formación, capacitación y entrenamiento del personal operativo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0"/>
    <s v="03 - contrato de prestacion de servicios"/>
    <s v="MARZO"/>
    <n v="6"/>
    <n v="0"/>
    <n v="1200000000"/>
    <s v="NO"/>
    <x v="0"/>
    <s v="Jose Andres Ponce Caicedo"/>
    <x v="0"/>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x v="0"/>
    <s v="06 - contrato de compraventa"/>
    <s v="MARZO"/>
    <n v="4"/>
    <n v="0"/>
    <n v="40000000"/>
    <s v="NO"/>
    <x v="0"/>
    <s v="Jose Andres Ponce Caicedo"/>
    <x v="0"/>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0"/>
    <s v="03 - contrato de prestacion de servicios"/>
    <s v="MARZO"/>
    <n v="6"/>
    <n v="0"/>
    <n v="449000000"/>
    <s v="NO"/>
    <x v="0"/>
    <s v="Jose Andres Ponce Caicedo"/>
    <x v="2"/>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0"/>
    <s v="03 - contrato de prestacion de servicios"/>
    <s v="ENERO"/>
    <n v="10"/>
    <n v="0"/>
    <n v="1620000000"/>
    <s v="NO"/>
    <x v="0"/>
    <s v="Jose Andres Ponce Caicedo"/>
    <x v="2"/>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2 - selec. abrev. menor cuantía"/>
    <x v="0"/>
    <s v="06 - contrato de compraventa"/>
    <s v="MARZO"/>
    <n v="4"/>
    <n v="0"/>
    <n v="62000000"/>
    <s v="NO"/>
    <x v="0"/>
    <s v="Jose Andres Ponce Caicedo"/>
    <x v="2"/>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0"/>
    <s v="17 - contrato de mantenimiento"/>
    <s v="ENERO"/>
    <n v="12"/>
    <n v="0"/>
    <n v="6689476699"/>
    <s v="SI"/>
    <x v="1"/>
    <s v="Omer Mauricio Rivera Ruiz"/>
    <x v="0"/>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8"/>
    <s v="Prestación de servicios profesionales apoyando el control legal de los procesos y acciones, especialmente la gestión contractual para el desarrollo de las estrategías de la Subdirección Logística - SBLG"/>
    <s v="09 - contratación directa"/>
    <x v="1"/>
    <s v="25 - contrato de prestacion de servicios profesionales"/>
    <s v="ENERO"/>
    <n v="10"/>
    <n v="0"/>
    <n v="90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1"/>
    <s v="25 - contrato de prestacion de servicios profesionales"/>
    <s v="ENERO"/>
    <n v="5"/>
    <n v="0"/>
    <n v="325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1"/>
    <s v="25 - contrato de prestacion de servicios profesionales"/>
    <s v="ENERO"/>
    <n v="8"/>
    <n v="0"/>
    <n v="64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1"/>
    <s v="25 - contrato de prestacion de servicios profesionales"/>
    <s v="ENERO"/>
    <n v="5"/>
    <n v="0"/>
    <n v="3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1"/>
    <s v="25 - contrato de prestacion de servicios profesionales"/>
    <s v="ENERO"/>
    <n v="9"/>
    <n v="0"/>
    <n v="72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1"/>
    <s v="25 - contrato de prestacion de servicios profesionales"/>
    <s v="ENERO"/>
    <n v="9"/>
    <n v="0"/>
    <n v="4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1"/>
    <s v="25 - contrato de prestacion de servicios profesionales"/>
    <s v="ENERO"/>
    <n v="11"/>
    <n v="0"/>
    <n v="120917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1"/>
    <s v="25 - contrato de prestacion de servicios profesionales"/>
    <s v="ENERO"/>
    <n v="9"/>
    <n v="0"/>
    <n v="405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1"/>
    <s v="25 - contrato de prestacion de servicios profesionales"/>
    <s v="ENERO"/>
    <n v="7"/>
    <n v="15"/>
    <n v="4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1"/>
    <s v="26 - contrato de prestacion de servicios de apoyo a la gestion"/>
    <s v="ENERO"/>
    <n v="7"/>
    <n v="15"/>
    <n v="30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1"/>
    <s v="25 - contrato de prestacion de servicios profesionales"/>
    <s v="ENERO"/>
    <n v="10"/>
    <n v="0"/>
    <n v="68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1"/>
    <s v="25 - contrato de prestacion de servicios profesionales"/>
    <s v="ENERO"/>
    <n v="10"/>
    <n v="0"/>
    <n v="93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1"/>
    <s v="25 - contrato de prestacion de servicios profesionales"/>
    <s v="ENERO"/>
    <n v="9"/>
    <n v="0"/>
    <n v="72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1"/>
    <s v="25 - contrato de prestacion de servicios profesionales"/>
    <s v="ENERO"/>
    <n v="7"/>
    <n v="0"/>
    <n v="525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1"/>
    <s v="25 - contrato de prestacion de servicios profesionales"/>
    <s v="ENERO"/>
    <n v="10"/>
    <n v="0"/>
    <n v="80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1"/>
    <s v="25 - contrato de prestacion de servicios profesionales"/>
    <s v="ENERO"/>
    <n v="9"/>
    <n v="0"/>
    <n v="405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1"/>
    <s v="26 - contrato de prestacion de servicios de apoyo a la gestion"/>
    <s v="ENERO"/>
    <n v="5"/>
    <n v="0"/>
    <n v="16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1"/>
    <s v="26 - contrato de prestacion de servicios de apoyo a la gestion"/>
    <s v="ENERO"/>
    <n v="8"/>
    <n v="0"/>
    <n v="288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1"/>
    <s v="26 - contrato de prestacion de servicios de apoyo a la gestion"/>
    <s v="ENERO"/>
    <n v="9"/>
    <n v="0"/>
    <n v="32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1"/>
    <s v="25 - contrato de prestacion de servicios profesionales"/>
    <s v="ENERO"/>
    <n v="11"/>
    <n v="0"/>
    <n v="99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1"/>
    <s v="26 - contrato de prestacion de servicios de apoyo a la gestion"/>
    <s v="ENERO"/>
    <n v="4"/>
    <n v="0"/>
    <n v="1312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1"/>
    <s v="25 - contrato de prestacion de servicios profesionales"/>
    <s v="ENERO"/>
    <n v="8"/>
    <n v="0"/>
    <n v="36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1"/>
    <s v="26 - contrato de prestacion de servicios de apoyo a la gestion"/>
    <s v="ENERO"/>
    <n v="5"/>
    <n v="0"/>
    <n v="206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1"/>
    <s v="26 - contrato de prestacion de servicios de apoyo a la gestion"/>
    <s v="ENERO"/>
    <n v="8"/>
    <n v="0"/>
    <n v="28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1"/>
    <s v="25 - contrato de prestacion de servicios profesionales"/>
    <s v="ENERO"/>
    <n v="10"/>
    <n v="0"/>
    <n v="5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1"/>
    <s v="25 - contrato de prestacion de servicios profesionales"/>
    <s v="ENERO"/>
    <n v="6"/>
    <n v="0"/>
    <n v="33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1"/>
    <s v="25 - contrato de prestacion de servicios profesionales"/>
    <s v="ENERO"/>
    <n v="9"/>
    <n v="0"/>
    <n v="4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1"/>
    <s v="26 - contrato de prestacion de servicios de apoyo a la gestion"/>
    <s v="ENERO"/>
    <n v="9"/>
    <n v="0"/>
    <n v="29565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1"/>
    <s v="26 - contrato de prestacion de servicios de apoyo a la gestion"/>
    <s v="ENERO"/>
    <n v="10"/>
    <n v="0"/>
    <n v="328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1"/>
    <s v="26 - contrato de prestacion de servicios de apoyo a la gestion"/>
    <s v="ENERO"/>
    <n v="10"/>
    <n v="0"/>
    <n v="3285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1"/>
    <s v="26 - contrato de prestacion de servicios de apoyo a la gestion"/>
    <s v="ENERO"/>
    <n v="10"/>
    <n v="0"/>
    <n v="328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1"/>
    <s v="26 - contrato de prestacion de servicios de apoyo a la gestion"/>
    <s v="ENERO"/>
    <n v="8"/>
    <n v="0"/>
    <n v="32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1"/>
    <s v="25 - contrato de prestacion de servicios profesionales"/>
    <s v="ENERO"/>
    <n v="9"/>
    <n v="0"/>
    <n v="81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1"/>
    <s v="26 - contrato de prestacion de servicios de apoyo a la gestion"/>
    <s v="ENERO"/>
    <n v="6"/>
    <n v="0"/>
    <n v="216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1"/>
    <s v="25 - contrato de prestacion de servicios profesionales"/>
    <s v="ENERO"/>
    <n v="6"/>
    <n v="0"/>
    <n v="35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1"/>
    <s v="25 - contrato de prestacion de servicios profesionales"/>
    <s v="ENERO"/>
    <n v="8"/>
    <n v="0"/>
    <n v="52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1"/>
    <s v="25 - contrato de prestacion de servicios profesionales"/>
    <s v="ENERO"/>
    <n v="10"/>
    <n v="0"/>
    <n v="90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1"/>
    <s v="26 - contrato de prestacion de servicios de apoyo a la gestion"/>
    <s v="ENERO"/>
    <n v="10"/>
    <n v="0"/>
    <n v="36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1"/>
    <s v="26 - contrato de prestacion de servicios de apoyo a la gestion"/>
    <s v="ENERO"/>
    <n v="9"/>
    <n v="0"/>
    <n v="32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1"/>
    <s v="25 - contrato de prestacion de servicios profesionales"/>
    <s v="ENERO"/>
    <n v="6"/>
    <n v="0"/>
    <n v="420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1"/>
    <s v="26 - contrato de prestacion de servicios de apoyo a la gestion"/>
    <s v="ENERO"/>
    <n v="9"/>
    <n v="0"/>
    <n v="32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1"/>
    <s v="25 - contrato de prestacion de servicios profesionales"/>
    <s v="ENERO"/>
    <n v="9"/>
    <n v="0"/>
    <n v="495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1"/>
    <s v="26 - contrato de prestacion de servicios de apoyo a la gestion"/>
    <s v="ENERO"/>
    <n v="7"/>
    <n v="0"/>
    <n v="252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1"/>
    <s v="25 - contrato de prestacion de servicios profesionales"/>
    <s v="ENERO"/>
    <n v="7"/>
    <n v="15"/>
    <n v="60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1"/>
    <s v="25 - contrato de prestacion de servicios profesionales"/>
    <s v="ENERO"/>
    <n v="7"/>
    <n v="0"/>
    <n v="315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1"/>
    <s v="25 - contrato de prestacion de servicios profesionales"/>
    <s v="ENERO"/>
    <n v="8"/>
    <n v="0"/>
    <n v="48000000"/>
    <s v="NO"/>
    <x v="1"/>
    <s v="Omer Mauricio Rivera Ruiz"/>
    <x v="0"/>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x v="0"/>
    <s v="08 - contrato de suministro"/>
    <s v="MARZO"/>
    <n v="10"/>
    <n v="0"/>
    <n v="111000000"/>
    <s v="NO"/>
    <x v="1"/>
    <s v="Omer Mauricio Rivera Ruiz"/>
    <x v="0"/>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el parque automotor y los equipos especializados de la U.A.E. Cuerpo Oficial de Bomberos Bogotá, dentro y fuera del perímetro del Distrito Capital – SBLG."/>
  </r>
  <r>
    <n v="20260248"/>
    <s v="Suministro de alimentación e hidratación para el cuerpo operativo en la atención de emergencias, entrenamientos, capacitaciones y actividades de prevención.-SBLG "/>
    <s v="03 - selec. abrev. subasta inversa"/>
    <x v="0"/>
    <s v="08 - contrato de suministro"/>
    <s v="MAYO"/>
    <n v="8"/>
    <n v="0"/>
    <n v="99000000"/>
    <s v="NO"/>
    <x v="1"/>
    <s v="Omer Mauricio Rivera Ruiz"/>
    <x v="0"/>
    <s v="Subdirector@ de Gestión del Riesgo"/>
    <x v="1"/>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53"/>
    <s v="Suministrar los repuestos, accesorios e insumos de los equipos de rescate vehicular liviano y pesado marca LUKAS-  SBLG"/>
    <s v="09 - contratación directa"/>
    <x v="0"/>
    <s v="08 - contrato de suministro"/>
    <s v="SEPTIEMBRE"/>
    <n v="5"/>
    <n v="0"/>
    <n v="2000000"/>
    <s v="NO"/>
    <x v="1"/>
    <s v="Omer Mauricio Rivera Ruiz"/>
    <x v="0"/>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x v="0"/>
    <s v="03 - contrato de prestacion de servicios"/>
    <s v="MARZO"/>
    <n v="4"/>
    <n v="0"/>
    <n v="26104301"/>
    <s v="NO"/>
    <x v="1"/>
    <s v="Omer Mauricio Rivera Ruiz"/>
    <x v="0"/>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0"/>
    <s v="03 - contrato de prestacion de servicios"/>
    <s v="MARZO"/>
    <n v="12"/>
    <n v="0"/>
    <n v="49000000"/>
    <s v="NO"/>
    <x v="1"/>
    <s v="Omer Mauricio Rivera Ruiz"/>
    <x v="2"/>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10"/>
    <n v="0"/>
    <n v="3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10"/>
    <n v="0"/>
    <n v="3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10"/>
    <n v="0"/>
    <n v="3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10"/>
    <n v="0"/>
    <n v="3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10"/>
    <n v="0"/>
    <n v="31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1"/>
    <s v="26 - contrato de prestacion de servicios de apoyo a la gestion"/>
    <s v="ENERO"/>
    <n v="9"/>
    <n v="0"/>
    <n v="269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1"/>
    <s v="26 - contrato de prestacion de servicios de apoyo a la gestion"/>
    <s v="ENERO"/>
    <n v="9"/>
    <n v="0"/>
    <n v="2961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1"/>
    <s v="25 - contrato de prestacion de servicios profesionales"/>
    <s v="ENERO"/>
    <n v="9"/>
    <n v="0"/>
    <n v="45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1"/>
    <s v="25 - contrato de prestacion de servicios profesionales"/>
    <s v="ENERO"/>
    <n v="9"/>
    <n v="0"/>
    <n v="45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1"/>
    <s v="26 - contrato de prestacion de servicios de apoyo a la gestion"/>
    <s v="ENERO"/>
    <n v="9"/>
    <n v="0"/>
    <n v="333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1"/>
    <s v="26 - contrato de prestacion de servicios de apoyo a la gestion"/>
    <s v="ENERO"/>
    <n v="9"/>
    <n v="0"/>
    <n v="333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1"/>
    <s v="26 - contrato de prestacion de servicios de apoyo a la gestion"/>
    <s v="ENERO"/>
    <n v="3"/>
    <n v="15"/>
    <n v="154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1"/>
    <s v="25 - contrato de prestacion de servicios profesionales"/>
    <s v="ENERO"/>
    <n v="5"/>
    <n v="15"/>
    <n v="5225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1"/>
    <s v="25 - contrato de prestacion de servicios profesionales"/>
    <s v="ENERO"/>
    <n v="10"/>
    <n v="0"/>
    <n v="80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1"/>
    <s v="25 - contrato de prestacion de servicios profesionales"/>
    <s v="ENERO"/>
    <n v="10"/>
    <n v="0"/>
    <n v="49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1"/>
    <s v="25 - contrato de prestacion de servicios profesionales"/>
    <s v="ENERO"/>
    <n v="7"/>
    <n v="0"/>
    <n v="476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1"/>
    <s v="25 - contrato de prestacion de servicios profesionales"/>
    <s v="JULIO"/>
    <n v="6"/>
    <n v="0"/>
    <n v="432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1"/>
    <s v="25 - contrato de prestacion de servicios profesionales"/>
    <s v="ENERO"/>
    <n v="8"/>
    <n v="0"/>
    <n v="412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1"/>
    <s v="25 - contrato de prestacion de servicios profesionales"/>
    <s v="ENERO"/>
    <n v="10"/>
    <n v="0"/>
    <n v="6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1"/>
    <s v="25 - contrato de prestacion de servicios profesionales"/>
    <s v="ENERO"/>
    <n v="8"/>
    <n v="0"/>
    <n v="656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1"/>
    <s v="25 - contrato de prestacion de servicios profesionales"/>
    <s v="ENERO"/>
    <n v="10"/>
    <n v="0"/>
    <n v="72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1"/>
    <s v="25 - contrato de prestacion de servicios profesionales"/>
    <s v="ENERO"/>
    <n v="10"/>
    <n v="0"/>
    <n v="9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1"/>
    <s v="25 - contrato de prestacion de servicios profesionales"/>
    <s v="ENERO"/>
    <n v="10"/>
    <n v="0"/>
    <n v="72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1"/>
    <s v="25 - contrato de prestacion de servicios profesionales"/>
    <s v="ENERO"/>
    <n v="5"/>
    <n v="0"/>
    <n v="32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1"/>
    <s v="25 - contrato de prestacion de servicios profesionales"/>
    <s v="ENERO"/>
    <n v="4"/>
    <n v="15"/>
    <n v="4275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1"/>
    <s v="25 - contrato de prestacion de servicios profesionales"/>
    <s v="ENERO"/>
    <n v="4"/>
    <n v="15"/>
    <n v="4275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1"/>
    <s v="25 - contrato de prestacion de servicios profesionales"/>
    <s v="ENERO"/>
    <n v="3"/>
    <n v="0"/>
    <n v="2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1"/>
    <s v="25 - contrato de prestacion de servicios profesionales"/>
    <s v="ENERO"/>
    <n v="8"/>
    <n v="0"/>
    <n v="72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1"/>
    <s v="25 - contrato de prestacion de servicios profesionales"/>
    <s v="ENERO"/>
    <n v="10"/>
    <n v="0"/>
    <n v="9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1"/>
    <s v="25 - contrato de prestacion de servicios profesionales"/>
    <s v="ENERO"/>
    <n v="8"/>
    <n v="0"/>
    <n v="376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1"/>
    <s v="25 - contrato de prestacion de servicios profesionales"/>
    <s v="ENERO"/>
    <n v="10"/>
    <n v="0"/>
    <n v="9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1"/>
    <s v="25 - contrato de prestacion de servicios profesionales"/>
    <s v="ENERO"/>
    <n v="8"/>
    <n v="0"/>
    <n v="448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1"/>
    <s v="25 - contrato de prestacion de servicios profesionales"/>
    <s v="ENERO"/>
    <n v="9"/>
    <n v="0"/>
    <n v="297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1"/>
    <s v="25 - contrato de prestacion de servicios profesionales"/>
    <s v="ENERO"/>
    <n v="10"/>
    <n v="0"/>
    <n v="6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1"/>
    <s v="25 - contrato de prestacion de servicios profesionales"/>
    <s v="ENERO"/>
    <n v="10"/>
    <n v="0"/>
    <n v="67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1"/>
    <s v="25 - contrato de prestacion de servicios profesionales"/>
    <s v="ENERO"/>
    <n v="4"/>
    <n v="15"/>
    <n v="2925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1"/>
    <s v="25 - contrato de prestacion de servicios profesionales"/>
    <s v="ENERO"/>
    <n v="4"/>
    <n v="15"/>
    <n v="31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1"/>
    <s v="25 - contrato de prestacion de servicios profesionales"/>
    <s v="ENERO"/>
    <n v="8"/>
    <n v="0"/>
    <n v="576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1"/>
    <s v="25 - contrato de prestacion de servicios profesionales"/>
    <s v="ENERO"/>
    <n v="4"/>
    <n v="15"/>
    <n v="31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1"/>
    <s v="25 - contrato de prestacion de servicios profesionales"/>
    <s v="ENERO"/>
    <n v="5"/>
    <n v="0"/>
    <n v="40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1"/>
    <s v="25 - contrato de prestacion de servicios profesionales"/>
    <s v="ENERO"/>
    <n v="9"/>
    <n v="0"/>
    <n v="67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1"/>
    <s v="25 - contrato de prestacion de servicios profesionales"/>
    <s v="ENERO"/>
    <n v="5"/>
    <n v="0"/>
    <n v="47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1"/>
    <s v="25 - contrato de prestacion de servicios profesionales"/>
    <s v="ENERO"/>
    <n v="5"/>
    <n v="0"/>
    <n v="35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1"/>
    <s v="25 - contrato de prestacion de servicios profesionales"/>
    <s v="ENERO"/>
    <n v="9"/>
    <n v="0"/>
    <n v="80715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0"/>
    <s v="12 - resolucion"/>
    <s v="ENERO"/>
    <n v="12"/>
    <n v="0"/>
    <n v="6914369000"/>
    <s v="NO"/>
    <x v="3"/>
    <s v="Yenire Yohansy Lozano Ascanio"/>
    <x v="0"/>
    <s v="Subdirector@ de Gestión del Riesgo"/>
    <x v="3"/>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x v="1"/>
    <s v="25 - contrato de prestacion de servicios profesionales"/>
    <s v="JULIO"/>
    <n v="12"/>
    <n v="0"/>
    <n v="59989966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TH-8173-2-Prestación de servicios profesionales para atender las actividades de seguimiento, verificación y control de los procesos y procedimientos, para el desarrollo de los programas a cargo de la Subdirección Operativa-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1"/>
    <s v="26 - contrato de prestacion de servicios de apoyo a la gestion"/>
    <s v="JULIO"/>
    <n v="5"/>
    <n v="15"/>
    <n v="24915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1"/>
    <s v="25 - contrato de prestacion de servicios profesionales"/>
    <s v="JULIO"/>
    <n v="5"/>
    <n v="0"/>
    <n v="4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1"/>
    <s v="25 - contrato de prestacion de servicios profesionales"/>
    <s v="JULIO"/>
    <n v="4"/>
    <n v="0"/>
    <n v="264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1"/>
    <s v="25 - contrato de prestacion de servicios profesionales"/>
    <s v="JULIO"/>
    <n v="5"/>
    <n v="0"/>
    <n v="4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1"/>
    <s v="25 - contrato de prestacion de servicios profesionales"/>
    <s v="JULIO"/>
    <n v="5"/>
    <n v="0"/>
    <n v="4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1"/>
    <s v="25 - contrato de prestacion de servicios profesionales"/>
    <s v="JULIO"/>
    <n v="5"/>
    <n v="0"/>
    <n v="4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1"/>
    <s v="25 - contrato de prestacion de servicios profesionales"/>
    <s v="JULIO"/>
    <n v="5"/>
    <n v="0"/>
    <n v="33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1"/>
    <s v="25 - contrato de prestacion de servicios profesionales"/>
    <s v="JULIO"/>
    <n v="5"/>
    <n v="0"/>
    <n v="36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1"/>
    <s v="25 - contrato de prestacion de servicios profesionales"/>
    <s v="JULIO"/>
    <n v="5"/>
    <n v="0"/>
    <n v="42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1"/>
    <s v="25 - contrato de prestacion de servicios profesionales"/>
    <s v="JULIO"/>
    <n v="5"/>
    <n v="0"/>
    <n v="485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1"/>
    <s v="26 - contrato de prestacion de servicios de apoyo a la gestion"/>
    <s v="JULIO"/>
    <n v="6"/>
    <n v="0"/>
    <n v="189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0"/>
    <s v="06 - contrato de compraventa"/>
    <s v="JULIO"/>
    <n v="6"/>
    <n v="0"/>
    <n v="245725876"/>
    <s v="NO"/>
    <x v="3"/>
    <s v="Yenire Yohansy Lozano Ascanio"/>
    <x v="2"/>
    <s v="Subdirector@ de Gestión Corporativa"/>
    <x v="1"/>
    <n v="53102710"/>
    <s v="No aplica"/>
    <s v="No a"/>
    <s v="l"/>
    <s v="NA"/>
    <s v="NA"/>
    <s v="NA"/>
    <s v="N/A"/>
    <s v="N/A"/>
    <s v="N/A-N/A"/>
    <s v="N/A"/>
    <s v="N/A"/>
    <s v="N/A_N/A"/>
    <s v="N/A-N/A N/A_N/A"/>
    <s v="NANANAN/AN/A"/>
    <s v="N/A"/>
    <s v="O2120201002082823609    Uniformes de trabajo"/>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1"/>
    <s v="25 - contrato de prestacion de servicios profesionales"/>
    <s v="JULIO"/>
    <n v="3"/>
    <n v="0"/>
    <n v="216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1"/>
    <s v="26 - contrato de prestacion de servicios de apoyo a la gestion"/>
    <s v="ENERO"/>
    <n v="10"/>
    <n v="0"/>
    <n v="375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1"/>
    <s v="25 - contrato de prestacion de servicios profesionales"/>
    <s v="ENERO"/>
    <n v="10"/>
    <n v="0"/>
    <n v="6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1"/>
    <s v="25 - contrato de prestacion de servicios profesionales"/>
    <s v="ENERO"/>
    <n v="8"/>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1"/>
    <s v="26 - contrato de prestacion de servicios de apoyo a la gestion"/>
    <s v="ENERO"/>
    <n v="8"/>
    <n v="0"/>
    <n v="32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1"/>
    <s v="25 - contrato de prestacion de servicios profesionales"/>
    <s v="ENERO"/>
    <n v="7"/>
    <n v="15"/>
    <n v="536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1"/>
    <s v="25 - contrato de prestacion de servicios profesionales"/>
    <s v="ENERO"/>
    <n v="10"/>
    <n v="0"/>
    <n v="7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1"/>
    <s v="25 - contrato de prestacion de servicios profesionales"/>
    <s v="ENERO"/>
    <n v="10"/>
    <n v="0"/>
    <n v="7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1"/>
    <s v="25 - contrato de prestacion de servicios profesionales"/>
    <s v="ENERO"/>
    <n v="8"/>
    <n v="0"/>
    <n v="728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1"/>
    <s v="25 - contrato de prestacion de servicios profesionales"/>
    <s v="ENERO"/>
    <n v="10"/>
    <n v="0"/>
    <n v="5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1"/>
    <s v="25 - contrato de prestacion de servicios profesionales"/>
    <s v="ENERO"/>
    <n v="9"/>
    <n v="0"/>
    <n v="454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1"/>
    <s v="25 - contrato de prestacion de servicios profesionales"/>
    <s v="ENERO"/>
    <n v="8"/>
    <n v="0"/>
    <n v="48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1"/>
    <s v="25 - contrato de prestacion de servicios profesionales"/>
    <s v="ENERO"/>
    <n v="8"/>
    <n v="0"/>
    <n v="48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1"/>
    <s v="25 - contrato de prestacion de servicios profesionales"/>
    <s v="ENERO"/>
    <n v="8"/>
    <n v="0"/>
    <n v="48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1"/>
    <s v="25 - contrato de prestacion de servicios profesionales"/>
    <s v="ENERO"/>
    <n v="10"/>
    <n v="0"/>
    <n v="7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1"/>
    <s v="25 - contrato de prestacion de servicios profesionales"/>
    <s v="ENERO"/>
    <n v="10"/>
    <n v="0"/>
    <n v="7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5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1"/>
    <s v="26 - contrato de prestacion de servicios de apoyo a la gestion"/>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1"/>
    <s v="25 - contrato de prestacion de servicios profesionales"/>
    <s v="ENERO"/>
    <n v="7"/>
    <n v="0"/>
    <n v="49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1"/>
    <s v="25 - contrato de prestacion de servicios profesionales"/>
    <s v="ENERO"/>
    <n v="10"/>
    <n v="0"/>
    <n v="55000000"/>
    <s v="NO"/>
    <x v="9"/>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1"/>
    <s v="25 - contrato de prestacion de servicios profesionales"/>
    <s v="ENERO"/>
    <n v="10"/>
    <n v="0"/>
    <n v="8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1"/>
    <s v="25 - contrato de prestacion de servicios profesionales"/>
    <s v="ENERO"/>
    <n v="10"/>
    <n v="0"/>
    <n v="6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1"/>
    <s v="25 - contrato de prestacion de servicios profesionales"/>
    <s v="ENERO"/>
    <n v="10"/>
    <n v="0"/>
    <n v="6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1"/>
    <s v="25 - contrato de prestacion de servicios profesionales"/>
    <s v="ENERO"/>
    <n v="10"/>
    <n v="0"/>
    <n v="4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1"/>
    <s v="25 - contrato de prestacion de servicios profesionales"/>
    <s v="ENERO"/>
    <n v="10"/>
    <n v="0"/>
    <n v="375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1"/>
    <s v="25 - contrato de prestacion de servicios profesionales"/>
    <s v="ENERO"/>
    <n v="10"/>
    <n v="0"/>
    <n v="38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1"/>
    <s v="25 - contrato de prestacion de servicios profesionales"/>
    <s v="ENERO"/>
    <n v="8"/>
    <n v="0"/>
    <n v="64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1"/>
    <s v="25 - contrato de prestacion de servicios profesionales"/>
    <s v="ENERO"/>
    <n v="10"/>
    <n v="0"/>
    <n v="7000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1"/>
    <s v="25 - contrato de prestacion de servicios profesionales"/>
    <s v="ENERO"/>
    <n v="10"/>
    <n v="0"/>
    <n v="70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1"/>
    <s v="25 - contrato de prestacion de servicios profesionales"/>
    <s v="ENERO"/>
    <n v="10"/>
    <n v="0"/>
    <n v="55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1"/>
    <s v="25 - contrato de prestacion de servicios profesionales"/>
    <s v="ENERO"/>
    <n v="10"/>
    <n v="0"/>
    <n v="55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1"/>
    <s v="25 - contrato de prestacion de servicios profesionales"/>
    <s v="ENERO"/>
    <n v="10"/>
    <n v="0"/>
    <n v="55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1"/>
    <s v="25 - contrato de prestacion de servicios profesionales"/>
    <s v="ENERO"/>
    <n v="8"/>
    <n v="0"/>
    <n v="72800000"/>
    <s v="NO"/>
    <x v="9"/>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1"/>
    <s v="25 - contrato de prestacion de servicios profesionales"/>
    <s v="ENERO"/>
    <n v="10"/>
    <n v="0"/>
    <n v="55000000"/>
    <s v="NO"/>
    <x v="9"/>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1"/>
    <s v="25 - contrato de prestacion de servicios profesionales"/>
    <s v="ENERO"/>
    <n v="10"/>
    <n v="0"/>
    <n v="60000000"/>
    <s v="NO"/>
    <x v="9"/>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1"/>
    <s v="26 - contrato de prestacion de servicios de apoyo a la gestion"/>
    <s v="ENERO"/>
    <n v="10"/>
    <n v="0"/>
    <n v="40000000"/>
    <s v="NO"/>
    <x v="9"/>
    <s v="William Tovar Segura"/>
    <x v="0"/>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1"/>
    <s v="25 - contrato de prestacion de servicios profesionales"/>
    <s v="ENERO"/>
    <n v="8"/>
    <n v="0"/>
    <n v="728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1"/>
    <s v="25 - contrato de prestacion de servicios profesionales"/>
    <s v="ENERO"/>
    <n v="10"/>
    <n v="0"/>
    <n v="80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1"/>
    <s v="25 - contrato de prestacion de servicios profesionales"/>
    <s v="ENERO"/>
    <n v="8"/>
    <n v="0"/>
    <n v="48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1"/>
    <s v="25 - contrato de prestacion de servicios profesionales"/>
    <s v="ENERO"/>
    <n v="6"/>
    <n v="0"/>
    <n v="54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x v="0"/>
    <s v="11 - orden de prestacion de servicios"/>
    <s v="JUNIO "/>
    <n v="8"/>
    <n v="0"/>
    <n v="817611040"/>
    <s v="NO"/>
    <x v="9"/>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2 - selec. abrev. menor cuantía"/>
    <x v="0"/>
    <s v="06 - contrato de compraventa"/>
    <s v="MARZO"/>
    <n v="3"/>
    <n v="0"/>
    <n v="80000000"/>
    <s v="NO"/>
    <x v="9"/>
    <s v="William Tovar Segura"/>
    <x v="0"/>
    <s v="Subdirector@ de Gestión del Riesgo"/>
    <x v="0"/>
    <s v="53101801,53101803,53101501,53101503"/>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4 - contratación mínima cuantía"/>
    <x v="0"/>
    <s v="06 - contrato de compraventa"/>
    <s v="MARZO"/>
    <n v="3"/>
    <n v="0"/>
    <n v="27000000"/>
    <s v="NO"/>
    <x v="9"/>
    <s v="William Tovar Segura"/>
    <x v="0"/>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2 - selec. abrev. menor cuantía"/>
    <x v="0"/>
    <s v="06 - contrato de compraventa"/>
    <s v="MARZO"/>
    <n v="3"/>
    <n v="0"/>
    <n v="50000000"/>
    <s v="NO"/>
    <x v="9"/>
    <s v="William Tovar Segura"/>
    <x v="0"/>
    <s v="Subdirector@ de Gestión del Riesgo"/>
    <x v="0"/>
    <s v="14111500,45101700, 45101800, 45101900, 45102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4 - contratación mínima cuantía"/>
    <x v="0"/>
    <s v="06 - contrato de compraventa"/>
    <s v="MARZO"/>
    <n v="3"/>
    <n v="0"/>
    <n v="30000000"/>
    <s v="NO"/>
    <x v="9"/>
    <s v="William Tovar Segura"/>
    <x v="0"/>
    <s v="Subdirector@ de Gestión del Riesgo"/>
    <x v="0"/>
    <s v="45125000,45121600,41111700,39111610. 4618155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0"/>
    <s v="03 - contrato de prestacion de servicios"/>
    <s v="ENERO"/>
    <n v="12"/>
    <n v="0"/>
    <n v="1447882000"/>
    <s v="SI"/>
    <x v="2"/>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0"/>
    <s v="05 - contrato de obra"/>
    <s v="ENERO"/>
    <n v="18"/>
    <n v="0"/>
    <n v="4336206000"/>
    <s v="SI"/>
    <x v="2"/>
    <s v="Fatima Veronica Quintero Nuñez"/>
    <x v="0"/>
    <s v="Subdirector@ de Gestión del Riesgo"/>
    <x v="4"/>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0"/>
    <s v="14 - contrato de interventoria"/>
    <s v="ENERO"/>
    <n v="18"/>
    <n v="0"/>
    <n v="831592000"/>
    <s v="SI"/>
    <x v="2"/>
    <s v="Fatima Veronica Quintero Nuñez"/>
    <x v="0"/>
    <s v="Subdirector@ de Gestión del Riesgo"/>
    <x v="4"/>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1"/>
    <s v="25 - contrato de prestacion de servicios profesionales"/>
    <s v="ENERO"/>
    <n v="11"/>
    <n v="0"/>
    <n v="81104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1"/>
    <s v="25 - contrato de prestacion de servicios profesionales"/>
    <s v="ENERO"/>
    <n v="11"/>
    <n v="0"/>
    <n v="99000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1"/>
    <s v="25 - contrato de prestacion de servicios profesionales"/>
    <s v="ENERO"/>
    <n v="11"/>
    <n v="0"/>
    <n v="56772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1"/>
    <s v="25 - contrato de prestacion de servicios profesionales"/>
    <s v="ENERO"/>
    <n v="10"/>
    <n v="0"/>
    <n v="7000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1"/>
    <s v="25 - contrato de prestacion de servicios profesionales"/>
    <s v="ENERO"/>
    <n v="11"/>
    <n v="0"/>
    <n v="1002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1"/>
    <s v="25 - contrato de prestacion de servicios profesionales"/>
    <s v="ENERO"/>
    <n v="11"/>
    <n v="0"/>
    <n v="8800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1"/>
    <s v="26 - contrato de prestacion de servicios de apoyo a la gestion"/>
    <s v="ENERO"/>
    <n v="11"/>
    <n v="0"/>
    <n v="4718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1"/>
    <s v="25 - contrato de prestacion de servicios profesionales"/>
    <s v="ENERO"/>
    <n v="4"/>
    <n v="0"/>
    <n v="29491924"/>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1"/>
    <s v="25 - contrato de prestacion de servicios profesionales"/>
    <s v="ENERO"/>
    <n v="11"/>
    <n v="0"/>
    <n v="10203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1"/>
    <s v="25 - contrato de prestacion de servicios profesionales"/>
    <s v="ENERO"/>
    <n v="11"/>
    <n v="0"/>
    <n v="8239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1"/>
    <s v="25 - contrato de prestacion de servicios profesionales"/>
    <s v="ENERO"/>
    <n v="11"/>
    <n v="0"/>
    <n v="7520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1"/>
    <s v="26 - contrato de prestacion de servicios de apoyo a la gestion"/>
    <s v="ENERO"/>
    <n v="11"/>
    <n v="0"/>
    <n v="40551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1"/>
    <s v="26 - contrato de prestacion de servicios de apoyo a la gestion"/>
    <s v="ENERO"/>
    <n v="11"/>
    <n v="0"/>
    <n v="3410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1"/>
    <s v="25 - contrato de prestacion de servicios profesionales"/>
    <s v="ENERO"/>
    <n v="11"/>
    <n v="0"/>
    <n v="7520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1"/>
    <s v="26 - contrato de prestacion de servicios de apoyo a la gestion"/>
    <s v="ENERO"/>
    <n v="11"/>
    <n v="0"/>
    <n v="3806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1"/>
    <s v="25 - contrato de prestacion de servicios profesionales"/>
    <s v="ENERO"/>
    <n v="11"/>
    <n v="0"/>
    <n v="7520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1"/>
    <s v="25 - contrato de prestacion de servicios profesionales"/>
    <s v="ENERO"/>
    <n v="11"/>
    <n v="0"/>
    <n v="99000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1"/>
    <s v="25 - contrato de prestacion de servicios profesionales"/>
    <s v="ENERO"/>
    <n v="11"/>
    <n v="0"/>
    <n v="81103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1"/>
    <s v="25 - contrato de prestacion de servicios profesionales"/>
    <s v="ENERO"/>
    <n v="11"/>
    <n v="0"/>
    <n v="8110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1"/>
    <s v="25 - contrato de prestacion de servicios profesionales"/>
    <s v="ENERO"/>
    <n v="11"/>
    <n v="0"/>
    <n v="99000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1"/>
    <s v="25 - contrato de prestacion de servicios profesionales"/>
    <s v="ENERO"/>
    <n v="11"/>
    <n v="0"/>
    <n v="102035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1"/>
    <s v="25 - contrato de prestacion de servicios profesionales"/>
    <s v="ENERO"/>
    <n v="11"/>
    <n v="0"/>
    <n v="75204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1"/>
    <s v="25 - contrato de prestacion de servicios profesionales"/>
    <s v="ENERO"/>
    <n v="11"/>
    <n v="0"/>
    <n v="75204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1"/>
    <s v="25 - contrato de prestacion de servicios profesionales"/>
    <s v="ENERO"/>
    <n v="11"/>
    <n v="0"/>
    <n v="102034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1"/>
    <s v="25 - contrato de prestacion de servicios profesionales"/>
    <s v="ENERO"/>
    <n v="11"/>
    <n v="0"/>
    <n v="8110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1"/>
    <s v="25 - contrato de prestacion de servicios profesionales"/>
    <s v="ENERO"/>
    <n v="10"/>
    <n v="0"/>
    <n v="51611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1"/>
    <s v="26 - contrato de prestacion de servicios de apoyo a la gestion"/>
    <s v="ENERO"/>
    <n v="11"/>
    <n v="0"/>
    <n v="38060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0"/>
    <n v="0"/>
    <n v="3284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0"/>
    <n v="0"/>
    <n v="3284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0"/>
    <n v="0"/>
    <n v="3284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1"/>
    <s v="25 - contrato de prestacion de servicios profesionales"/>
    <s v="ENERO"/>
    <n v="11"/>
    <n v="0"/>
    <n v="6635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1"/>
    <s v="25 - contrato de prestacion de servicios profesionales"/>
    <s v="ENERO"/>
    <n v="11"/>
    <n v="0"/>
    <n v="6635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1"/>
    <s v="26 - contrato de prestacion de servicios de apoyo a la gestion"/>
    <s v="ENERO"/>
    <n v="11"/>
    <n v="0"/>
    <n v="49399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1"/>
    <s v="25 - contrato de prestacion de servicios profesionales"/>
    <s v="ENERO"/>
    <n v="11"/>
    <n v="0"/>
    <n v="6635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1"/>
    <s v="25 - contrato de prestacion de servicios profesionales"/>
    <s v="ENERO"/>
    <n v="11"/>
    <n v="0"/>
    <n v="102034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1"/>
    <s v="25 - contrato de prestacion de servicios profesionales"/>
    <s v="ENERO"/>
    <n v="11"/>
    <n v="0"/>
    <n v="57200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1"/>
    <s v="25 - contrato de prestacion de servicios profesionales"/>
    <s v="ENERO"/>
    <n v="10"/>
    <n v="0"/>
    <n v="60324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1"/>
    <s v="25 - contrato de prestacion de servicios profesionales"/>
    <s v="ENERO"/>
    <n v="11"/>
    <n v="0"/>
    <n v="81103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1"/>
    <s v="25 - contrato de prestacion de servicios profesionales"/>
    <s v="ENERO"/>
    <n v="11"/>
    <n v="0"/>
    <n v="99000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0"/>
    <n v="0"/>
    <n v="32843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1"/>
    <s v="25 - contrato de prestacion de servicios profesionales"/>
    <s v="ENERO"/>
    <n v="11"/>
    <n v="0"/>
    <n v="10203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1"/>
    <s v="25 - contrato de prestacion de servicios profesionales"/>
    <s v="ENERO"/>
    <n v="10"/>
    <n v="0"/>
    <n v="7373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1"/>
    <s v="25 - contrato de prestacion de servicios profesionales"/>
    <s v="ENERO"/>
    <n v="11"/>
    <n v="0"/>
    <n v="10203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1"/>
    <s v="26 - contrato de prestacion de servicios de apoyo a la gestion"/>
    <s v="ENERO"/>
    <n v="10"/>
    <n v="0"/>
    <n v="4289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1"/>
    <s v="25 - contrato de prestacion de servicios profesionales"/>
    <s v="ENERO"/>
    <n v="11"/>
    <n v="0"/>
    <n v="100272000"/>
    <s v="NO"/>
    <x v="2"/>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1"/>
    <s v="25 - contrato de prestacion de servicios profesionales"/>
    <s v="ENERO"/>
    <n v="10"/>
    <n v="0"/>
    <n v="60324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1"/>
    <s v="26 - contrato de prestacion de servicios de apoyo a la gestion"/>
    <s v="ENERO"/>
    <n v="11"/>
    <n v="0"/>
    <n v="4718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1"/>
    <s v="25 - contrato de prestacion de servicios profesionales"/>
    <s v="ENERO"/>
    <n v="10"/>
    <n v="0"/>
    <n v="7373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1"/>
    <s v="25 - contrato de prestacion de servicios profesionales"/>
    <s v="ENERO"/>
    <n v="11"/>
    <n v="0"/>
    <n v="75204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1"/>
    <s v="25 - contrato de prestacion de servicios profesionales"/>
    <s v="ENERO"/>
    <n v="11"/>
    <n v="0"/>
    <n v="75204000"/>
    <s v="NO"/>
    <x v="2"/>
    <s v="Fatima Veronica Quintero Nuñez"/>
    <x v="0"/>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1"/>
    <s v="25 - contrato de prestacion de servicios profesionales"/>
    <s v="ENERO"/>
    <n v="11"/>
    <n v="0"/>
    <n v="75204000"/>
    <s v="NO"/>
    <x v="2"/>
    <s v="Fatima Veronica Quintero Nuñez"/>
    <x v="0"/>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1"/>
    <s v="25 - contrato de prestacion de servicios profesionales"/>
    <s v="ENERO"/>
    <n v="11"/>
    <n v="0"/>
    <n v="66357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1"/>
    <s v="25 - contrato de prestacion de servicios profesionales"/>
    <s v="ENERO"/>
    <n v="11"/>
    <n v="0"/>
    <n v="8250000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1"/>
    <s v="26 - contrato de prestacion de servicios de apoyo a la gestion"/>
    <s v="ENERO"/>
    <n v="10"/>
    <n v="0"/>
    <n v="28151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1"/>
    <s v="26 - contrato de prestacion de servicios de apoyo a la gestion"/>
    <s v="ENERO"/>
    <n v="11"/>
    <n v="0"/>
    <n v="3096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1"/>
    <s v="26 - contrato de prestacion de servicios de apoyo a la gestion"/>
    <s v="ENERO"/>
    <n v="11"/>
    <n v="0"/>
    <n v="42026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1"/>
    <s v="26 - contrato de prestacion de servicios de apoyo a la gestion"/>
    <s v="ENERO"/>
    <n v="11"/>
    <n v="0"/>
    <n v="3096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1"/>
    <s v="26 - contrato de prestacion de servicios de apoyo a la gestion"/>
    <s v="ENERO"/>
    <n v="11"/>
    <n v="0"/>
    <n v="47187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1"/>
    <s v="26 - contrato de prestacion de servicios de apoyo a la gestion"/>
    <s v="ENERO"/>
    <n v="11"/>
    <n v="0"/>
    <n v="36128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11"/>
    <n v="0"/>
    <n v="36128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1"/>
    <s v="25 - contrato de prestacion de servicios profesionales"/>
    <s v="ENERO"/>
    <n v="11"/>
    <n v="0"/>
    <n v="100273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1"/>
    <s v="26 - contrato de prestacion de servicios de apoyo a la gestion"/>
    <s v="ENERO"/>
    <n v="10"/>
    <n v="0"/>
    <n v="38205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1"/>
    <s v="25 - contrato de prestacion de servicios profesionales"/>
    <s v="ENERO"/>
    <n v="11"/>
    <n v="0"/>
    <n v="7700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1"/>
    <s v="25 - contrato de prestacion de servicios profesionales"/>
    <s v="ENERO"/>
    <n v="11"/>
    <n v="0"/>
    <n v="56772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1"/>
    <s v="25 - contrato de prestacion de servicios profesionales"/>
    <s v="ENERO"/>
    <n v="6"/>
    <n v="0"/>
    <n v="42000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1"/>
    <s v="25 - contrato de prestacion de servicios profesionales"/>
    <s v="ENERO"/>
    <n v="11"/>
    <n v="0"/>
    <n v="77000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1"/>
    <s v="25 - contrato de prestacion de servicios profesionales"/>
    <s v="ENERO"/>
    <n v="11"/>
    <n v="0"/>
    <n v="77000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1"/>
    <s v="25 - contrato de prestacion de servicios profesionales"/>
    <s v="ENERO"/>
    <n v="6"/>
    <n v="0"/>
    <n v="42000000"/>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0"/>
    <s v="03 - contrato de prestacion de servicios"/>
    <s v="FEBRERO"/>
    <n v="10"/>
    <n v="0"/>
    <n v="335521880"/>
    <s v="NO"/>
    <x v="2"/>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x v="0"/>
    <s v="08 - contrato de suministro"/>
    <s v="MAYO"/>
    <n v="8"/>
    <n v="0"/>
    <n v="16000000"/>
    <s v="NO"/>
    <x v="2"/>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4 - contratación mínima cuantía"/>
    <x v="0"/>
    <s v="17 - contrato de mantenimiento"/>
    <s v="MAYO"/>
    <n v="8"/>
    <n v="0"/>
    <n v="48000000"/>
    <s v="NO"/>
    <x v="2"/>
    <s v="Fatima Veronica Quintero Nuñez"/>
    <x v="1"/>
    <s v="Subdirector@ de Gestión Corporativa"/>
    <x v="0"/>
    <s v="40101806;_x000a_40101826;"/>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4 - contratación mínima cuantía"/>
    <x v="0"/>
    <s v="17 - contrato de mantenimiento"/>
    <s v="MAYO"/>
    <n v="8"/>
    <n v="0"/>
    <n v="48000000"/>
    <s v="NO"/>
    <x v="2"/>
    <s v="Fatima Veronica Quintero Nuñez"/>
    <x v="1"/>
    <s v="Subdirector@ de Gestión Corporativa"/>
    <x v="0"/>
    <n v="72151802"/>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0"/>
    <s v="17 - contrato de mantenimiento"/>
    <s v="MAYO"/>
    <n v="11"/>
    <n v="0"/>
    <n v="20000000"/>
    <s v="NO"/>
    <x v="2"/>
    <s v="Fatima Veronica Quintero Nuñez"/>
    <x v="1"/>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0"/>
    <s v="17 - contrato de mantenimiento"/>
    <s v="MARZO"/>
    <n v="11"/>
    <n v="0"/>
    <n v="120000000"/>
    <s v="NO"/>
    <x v="2"/>
    <s v="Fatima Veronica Quintero Nuñez"/>
    <x v="1"/>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0"/>
    <s v="17 - contrato de mantenimiento"/>
    <s v="ABRIL"/>
    <n v="10"/>
    <n v="0"/>
    <n v="180000000"/>
    <s v="NO"/>
    <x v="2"/>
    <s v="Fatima Veronica Quintero Nuñez"/>
    <x v="1"/>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a las instalaciones de la  Unidad Administrativa Especial Cuerpo Oficial de Bomberos Bogotá -SGC"/>
    <s v="02 - selec. abrev. menor cuantía"/>
    <x v="0"/>
    <s v="17 - contrato de mantenimiento"/>
    <s v="MARZO"/>
    <n v="10"/>
    <n v="0"/>
    <n v="180000000"/>
    <s v="NO"/>
    <x v="2"/>
    <s v="Fatima Veronica Quintero Nuñez"/>
    <x v="1"/>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a las instalacione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0"/>
    <s v="05 - contrato de obra"/>
    <s v="MAYO"/>
    <n v="10"/>
    <n v="0"/>
    <n v="800472500"/>
    <s v="NO"/>
    <x v="2"/>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0"/>
    <s v="14 - contrato de interventoria"/>
    <s v="MAYO"/>
    <n v="10"/>
    <n v="0"/>
    <n v="200000000"/>
    <s v="NO"/>
    <x v="2"/>
    <s v="Fatima Veronica Quintero Nuñez"/>
    <x v="1"/>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0"/>
    <s v="17 - contrato de mantenimiento"/>
    <s v="MAYO"/>
    <n v="10"/>
    <n v="0"/>
    <n v="127000000"/>
    <s v="NO"/>
    <x v="2"/>
    <s v="Fatima Veronica Quintero Nuñez"/>
    <x v="1"/>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0"/>
    <s v="12 - resolucion"/>
    <s v="MAYO"/>
    <n v="0"/>
    <n v="0"/>
    <n v="49611875"/>
    <s v="NO"/>
    <x v="2"/>
    <s v="Fatima Veronica Quintero Nuñez"/>
    <x v="1"/>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09-BS-8126-8-Proceso para amparar el Pago de Pasivos exigibles "/>
  </r>
  <r>
    <n v="20260519"/>
    <s v="Prestar el servicio de recolección y disposición final de los residuos sanitarios y aguas no tratadas de las instalaciones de la Unidad Administrativa Especial Cuerpo Oficial de Bomberos de Bogotá – SGC"/>
    <s v="04 - contratación mínima cuantía"/>
    <x v="0"/>
    <s v="03 - contrato de prestacion de servicios"/>
    <s v="MAYO"/>
    <n v="8"/>
    <n v="0"/>
    <n v="30000000"/>
    <s v="NO"/>
    <x v="2"/>
    <s v="Fatima Veronica Quintero Nuñez"/>
    <x v="2"/>
    <s v="Subdirector@ de Gestión Corporativa"/>
    <x v="1"/>
    <s v="81141807;_x000a_40151517;_x000a_76121701;_x000a_83101506;"/>
    <s v="No aplica"/>
    <s v="No a"/>
    <s v="l"/>
    <s v="NA"/>
    <s v="NA"/>
    <s v="NA"/>
    <s v="N/A"/>
    <s v="N/A"/>
    <s v="N/A-N/A"/>
    <s v="N/A"/>
    <s v="N/A"/>
    <s v="N/A_N/A"/>
    <s v="N/A-N/A N/A_N/A"/>
    <s v="NANANAN/AN/A"/>
    <s v="N/A"/>
    <s v="No Aplica"/>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0"/>
    <s v="27 - contrato de prestacion de servicios de mantenimiento"/>
    <s v="ABRIL"/>
    <n v="10"/>
    <n v="0"/>
    <n v="24000000"/>
    <s v="NO"/>
    <x v="2"/>
    <s v="Fatima Veronica Quintero Nuñez"/>
    <x v="2"/>
    <s v="Subdirector@ de Gestión Corporativa"/>
    <x v="1"/>
    <s v="91111602;_x000a_72154302;_x000a_47101568;_x000a_49241712;"/>
    <s v="No aplica"/>
    <s v="No a"/>
    <s v="l"/>
    <s v="NA"/>
    <s v="NA"/>
    <s v="NA"/>
    <s v="N/A"/>
    <s v="N/A"/>
    <s v="N/A-N/A"/>
    <s v="N/A"/>
    <s v="N/A"/>
    <s v="N/A_N/A"/>
    <s v="N/A-N/A N/A_N/A"/>
    <s v="NANANAN/AN/A"/>
    <s v="N/A"/>
    <s v="No Aplica"/>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0"/>
    <s v="03 - contrato de prestacion de servicios"/>
    <s v="ENERO"/>
    <n v="1"/>
    <n v="0"/>
    <n v="17698013"/>
    <s v="NO"/>
    <x v="2"/>
    <s v="Fatima Veronica Quintero Nuñez"/>
    <x v="2"/>
    <s v="Subdirector@ de Gestión Corporativa"/>
    <x v="1"/>
    <s v="78102206;"/>
    <s v="No aplica"/>
    <s v="No a"/>
    <s v="l"/>
    <s v="NA"/>
    <s v="NA"/>
    <s v="NA"/>
    <s v="N/A"/>
    <s v="N/A"/>
    <s v="N/A-N/A"/>
    <s v="N/A"/>
    <s v="N/A"/>
    <s v="N/A_N/A"/>
    <s v="N/A-N/A N/A_N/A"/>
    <s v="NANANAN/AN/A"/>
    <s v="N/A"/>
    <s v="No Aplica"/>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0"/>
    <s v="03 - contrato de prestacion de servicios"/>
    <s v="MARZO"/>
    <n v="8"/>
    <n v="0"/>
    <n v="88070951"/>
    <s v="NO"/>
    <x v="2"/>
    <s v="Fatima Veronica Quintero Nuñez"/>
    <x v="2"/>
    <s v="Subdirector@ de Gestión Corporativa"/>
    <x v="1"/>
    <s v="78102206;"/>
    <s v="No aplica"/>
    <s v="No a"/>
    <s v="l"/>
    <s v="NA"/>
    <s v="NA"/>
    <s v="NA"/>
    <s v="N/A"/>
    <s v="N/A"/>
    <s v="N/A-N/A"/>
    <s v="N/A"/>
    <s v="N/A"/>
    <s v="N/A_N/A"/>
    <s v="N/A-N/A N/A_N/A"/>
    <s v="NANANAN/AN/A"/>
    <s v="N/A"/>
    <s v="No Aplica"/>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0"/>
    <s v="03 - contrato de prestacion de servicios"/>
    <s v="FEBRERO"/>
    <n v="10"/>
    <n v="0"/>
    <n v="755000000"/>
    <s v="NO"/>
    <x v="2"/>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0"/>
    <s v="03 - contrato de prestacion de servicios"/>
    <s v="FEBRERO"/>
    <n v="10"/>
    <n v="0"/>
    <n v="388000000"/>
    <s v="NO"/>
    <x v="2"/>
    <s v="Fatima Veronica Quintero Nuñez"/>
    <x v="2"/>
    <s v="Subdirector@ de Gestión Corporativa"/>
    <x v="1"/>
    <s v="44121700;_x000a_44121800;_x000a_44121900;_x000a_44122000;"/>
    <s v="No aplica"/>
    <s v="No a"/>
    <s v="l"/>
    <s v="NA"/>
    <s v="NA"/>
    <s v="NA"/>
    <s v="N/A"/>
    <s v="N/A"/>
    <s v="N/A-N/A"/>
    <s v="N/A"/>
    <s v="N/A"/>
    <s v="N/A_N/A"/>
    <s v="N/A-N/A N/A_N/A"/>
    <s v="NANANAN/AN/A"/>
    <s v="N/A"/>
    <s v="No Aplica"/>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0"/>
    <s v="08 - contrato de suministro"/>
    <s v="ABRIL"/>
    <n v="8"/>
    <n v="0"/>
    <n v="85000000"/>
    <s v="NO"/>
    <x v="2"/>
    <s v="Fatima Veronica Quintero Nuñez"/>
    <x v="2"/>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s v="NANANAN/AN/A"/>
    <s v="N/A"/>
    <s v="No Aplica"/>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0"/>
    <s v="08 - contrato de suministro"/>
    <s v="ABRIL"/>
    <n v="8"/>
    <n v="0"/>
    <n v="205000000"/>
    <s v="NO"/>
    <x v="2"/>
    <s v="Fatima Veronica Quintero Nuñez"/>
    <x v="2"/>
    <s v="Subdirector@ de Gestión Corporativa"/>
    <x v="1"/>
    <s v="14111500; _x000a_24112400; _x000a_44111500; _x000a_44121800; _x000a_31201500; _x000a_27112300; _x000a_44121700; _x000a_44121600"/>
    <s v="No aplica"/>
    <s v="No a"/>
    <s v="l"/>
    <s v="NA"/>
    <s v="NA"/>
    <s v="NA"/>
    <s v="N/A"/>
    <s v="N/A"/>
    <s v="N/A-N/A"/>
    <s v="N/A"/>
    <s v="N/A"/>
    <s v="N/A_N/A"/>
    <s v="N/A-N/A N/A_N/A"/>
    <s v="NANANAN/AN/A"/>
    <s v="N/A"/>
    <s v="No Aplica"/>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0"/>
    <s v="03 - contrato de prestacion de servicios"/>
    <s v="ENERO"/>
    <n v="12"/>
    <n v="0"/>
    <n v="1000000000"/>
    <s v="NO"/>
    <x v="2"/>
    <s v="Fatima Veronica Quintero Nuñez"/>
    <x v="2"/>
    <s v="Subdirector@ de Gestión Corporativa"/>
    <x v="1"/>
    <s v="92121500;"/>
    <s v="No aplica"/>
    <s v="No a"/>
    <s v="l"/>
    <s v="NA"/>
    <s v="NA"/>
    <s v="NA"/>
    <s v="N/A"/>
    <s v="N/A"/>
    <s v="N/A-N/A"/>
    <s v="N/A"/>
    <s v="N/A"/>
    <s v="N/A_N/A"/>
    <s v="N/A-N/A N/A_N/A"/>
    <s v="NANANAN/AN/A"/>
    <s v="N/A"/>
    <s v="No Aplica"/>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0"/>
    <s v="08 - contrato de suministro"/>
    <s v="MARZO"/>
    <n v="7"/>
    <n v="0"/>
    <n v="48900000"/>
    <s v="NO"/>
    <x v="2"/>
    <s v="Fatima Veronica Quintero Nuñez"/>
    <x v="2"/>
    <s v="Subdirector@ de Gestión Corporativa"/>
    <x v="1"/>
    <s v="47131800;"/>
    <s v="No aplica"/>
    <s v="No a"/>
    <s v="l"/>
    <s v="NA"/>
    <s v="NA"/>
    <s v="NA"/>
    <s v="N/A"/>
    <s v="N/A"/>
    <s v="N/A-N/A"/>
    <s v="N/A"/>
    <s v="N/A"/>
    <s v="N/A_N/A"/>
    <s v="N/A-N/A N/A_N/A"/>
    <s v="NANANAN/AN/A"/>
    <s v="N/A"/>
    <s v="No Aplica"/>
    <s v="Si Secop "/>
    <s v="20260528-BS-No a-l-Suministro de insumos para lavandería-SGC"/>
  </r>
  <r>
    <n v="20260529"/>
    <s v="Arrendamiento de instalaciones estación Ferias-SGC"/>
    <s v="09 - contratación directa"/>
    <x v="0"/>
    <s v="07 - contrato de arrendamiento"/>
    <s v="ENERO"/>
    <n v="12"/>
    <n v="0"/>
    <n v="178000000"/>
    <s v="NO"/>
    <x v="2"/>
    <s v="Fatima Veronica Quintero Nuñez"/>
    <x v="2"/>
    <s v="Subdirector@ de Gestión Corporativa"/>
    <x v="1"/>
    <s v="80131502;"/>
    <s v="No aplica"/>
    <s v="No a"/>
    <s v="l"/>
    <s v="NA"/>
    <s v="NA"/>
    <s v="NA"/>
    <s v="N/A"/>
    <s v="N/A"/>
    <s v="N/A-N/A"/>
    <s v="N/A"/>
    <s v="N/A"/>
    <s v="N/A_N/A"/>
    <s v="N/A-N/A N/A_N/A"/>
    <s v="NANANAN/AN/A"/>
    <s v="N/A"/>
    <s v="No Aplica"/>
    <s v="Si Secop "/>
    <s v="20260529-BS-No a-l-Arrendamiento de instalaciones estación Ferias-SGC"/>
  </r>
  <r>
    <n v="20260530"/>
    <s v="Adición y prórroga No. 1 al contrato 491 de 2025 que tiene como objeto “Mantenimiento ascensor nueva Estación de Bomberos de Fontibón-SGC"/>
    <s v="09 - contratación directa"/>
    <x v="0"/>
    <s v="17 - contrato de mantenimiento"/>
    <s v="MAYO"/>
    <n v="2"/>
    <n v="0"/>
    <n v="5241332"/>
    <s v="NO"/>
    <x v="2"/>
    <s v="Fatima Veronica Quintero Nuñez"/>
    <x v="2"/>
    <s v="Subdirector@ de Gestión Corporativa"/>
    <x v="1"/>
    <s v="72101506;_x000a_72154010;"/>
    <s v="No aplica"/>
    <s v="No a"/>
    <s v="l"/>
    <s v="NA"/>
    <s v="NA"/>
    <s v="NA"/>
    <s v="N/A"/>
    <s v="N/A"/>
    <s v="N/A-N/A"/>
    <s v="N/A"/>
    <s v="N/A"/>
    <s v="N/A_N/A"/>
    <s v="N/A-N/A N/A_N/A"/>
    <s v="NANANAN/AN/A"/>
    <s v="N/A"/>
    <s v="No Aplica"/>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0"/>
    <s v="17 - contrato de mantenimiento"/>
    <s v="AGOSTO"/>
    <n v="6"/>
    <n v="0"/>
    <n v="8658668"/>
    <s v="NO"/>
    <x v="2"/>
    <s v="Fatima Veronica Quintero Nuñez"/>
    <x v="2"/>
    <s v="Subdirector@ de Gestión Corporativa"/>
    <x v="1"/>
    <s v="72101506;_x000a_72154010;"/>
    <s v="No aplica"/>
    <s v="No a"/>
    <s v="l"/>
    <s v="NA"/>
    <s v="NA"/>
    <s v="NA"/>
    <s v="N/A"/>
    <s v="N/A"/>
    <s v="N/A-N/A"/>
    <s v="N/A"/>
    <s v="N/A"/>
    <s v="N/A_N/A"/>
    <s v="N/A-N/A N/A_N/A"/>
    <s v="NANANAN/AN/A"/>
    <s v="N/A"/>
    <s v="No Aplica"/>
    <s v="Si Secop "/>
    <s v="20260531-BS-No a-l-Mantenimiento correctivo y preventivo con suministro de repuestos para el ascensor estación de bomberos Fontibón B6 -SGC"/>
  </r>
  <r>
    <n v="20260532"/>
    <s v="Adición No. 1 al contrato 586 de 2025 que tiene como objeto “Mantenimiento correctivo y preventivo con suministro de repuestos para los ascensores edificio comando-SGC"/>
    <s v="09 - contratación directa"/>
    <x v="0"/>
    <s v="17 - contrato de mantenimiento"/>
    <s v="ABRIL"/>
    <n v="2"/>
    <n v="0"/>
    <n v="10250000"/>
    <s v="NO"/>
    <x v="2"/>
    <s v="Fatima Veronica Quintero Nuñez"/>
    <x v="2"/>
    <s v="Subdirector@ de Gestión Corporativa"/>
    <x v="1"/>
    <s v="72101506;_x000a_72154010;"/>
    <s v="No aplica"/>
    <s v="No a"/>
    <s v="l"/>
    <s v="NA"/>
    <s v="NA"/>
    <s v="NA"/>
    <s v="N/A"/>
    <s v="N/A"/>
    <s v="N/A-N/A"/>
    <s v="N/A"/>
    <s v="N/A"/>
    <s v="N/A_N/A"/>
    <s v="N/A-N/A N/A_N/A"/>
    <s v="NANANAN/AN/A"/>
    <s v="N/A"/>
    <s v="No Aplica"/>
    <s v="No Secop"/>
    <s v="20260532-BS-No a-l-Adición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0"/>
    <s v="17 - contrato de mantenimiento"/>
    <s v="AGOSTO"/>
    <n v="7"/>
    <n v="0"/>
    <n v="22050000"/>
    <s v="NO"/>
    <x v="2"/>
    <s v="Fatima Veronica Quintero Nuñez"/>
    <x v="2"/>
    <s v="Subdirector@ de Gestión Corporativa"/>
    <x v="1"/>
    <s v="72101506;_x000a_72154010;"/>
    <s v="No aplica"/>
    <s v="No a"/>
    <s v="l"/>
    <s v="NA"/>
    <s v="NA"/>
    <s v="NA"/>
    <s v="N/A"/>
    <s v="N/A"/>
    <s v="N/A-N/A"/>
    <s v="N/A"/>
    <s v="N/A"/>
    <s v="N/A_N/A"/>
    <s v="N/A-N/A N/A_N/A"/>
    <s v="NANANAN/AN/A"/>
    <s v="N/A"/>
    <s v="No Aplica"/>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0"/>
    <s v="17 - contrato de mantenimiento"/>
    <s v="ABRIL"/>
    <n v="2"/>
    <n v="0"/>
    <n v="3798370"/>
    <s v="NO"/>
    <x v="2"/>
    <s v="Fatima Veronica Quintero Nuñez"/>
    <x v="2"/>
    <s v="Subdirector@ de Gestión Corporativa"/>
    <x v="1"/>
    <s v="72101506;_x000a_72154010;"/>
    <s v="No aplica"/>
    <s v="No a"/>
    <s v="l"/>
    <s v="NA"/>
    <s v="NA"/>
    <s v="NA"/>
    <s v="N/A"/>
    <s v="N/A"/>
    <s v="N/A-N/A"/>
    <s v="N/A"/>
    <s v="N/A"/>
    <s v="N/A_N/A"/>
    <s v="N/A-N/A N/A_N/A"/>
    <s v="NANANAN/AN/A"/>
    <s v="N/A"/>
    <s v="No Aplica"/>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0"/>
    <s v="17 - contrato de mantenimiento"/>
    <s v="AGOSTO"/>
    <n v="7"/>
    <n v="0"/>
    <n v="10001630"/>
    <s v="NO"/>
    <x v="2"/>
    <s v="Fatima Veronica Quintero Nuñez"/>
    <x v="2"/>
    <s v="Subdirector@ de Gestión Corporativa"/>
    <x v="1"/>
    <s v="72101506;_x000a_72154010;"/>
    <s v="No aplica"/>
    <s v="No a"/>
    <s v="l"/>
    <s v="NA"/>
    <s v="NA"/>
    <s v="NA"/>
    <s v="N/A"/>
    <s v="N/A"/>
    <s v="N/A-N/A"/>
    <s v="N/A"/>
    <s v="N/A"/>
    <s v="N/A_N/A"/>
    <s v="N/A-N/A N/A_N/A"/>
    <s v="NANANAN/AN/A"/>
    <s v="N/A"/>
    <s v="No Aplica"/>
    <s v="Si Secop "/>
    <s v="20260535-BS-No a-l-Mantenimiento correctivo y preventivo con suministro de repuestos ascensor estación de bomberos Bellavista B-9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0"/>
    <s v="15 - contrato de seguros"/>
    <s v="ABRIL"/>
    <n v="12"/>
    <n v="0"/>
    <n v="6415727800"/>
    <s v="NO"/>
    <x v="2"/>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1"/>
    <s v="25 - contrato de prestacion de servicios profesionales"/>
    <s v="ENERO"/>
    <n v="11"/>
    <n v="0"/>
    <n v="5677200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4 - contratación mínima cuantía"/>
    <x v="0"/>
    <s v="06 - contrato de compraventa"/>
    <s v="MARZO"/>
    <n v="3"/>
    <n v="0"/>
    <n v="40000000"/>
    <s v="NO"/>
    <x v="2"/>
    <s v="Fatima Veronica Quintero Nuñez"/>
    <x v="0"/>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1"/>
    <s v="25 - contrato de prestacion de servicios profesionales"/>
    <s v="FEBRERO"/>
    <n v="11"/>
    <n v="0"/>
    <n v="616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1"/>
    <s v="25 - contrato de prestacion de servicios profesionales"/>
    <s v="FEBRERO"/>
    <n v="11"/>
    <n v="0"/>
    <n v="880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1"/>
    <s v="25 - contrato de prestacion de servicios profesionales"/>
    <s v="FEBRERO"/>
    <n v="11"/>
    <n v="0"/>
    <n v="557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1"/>
    <s v="25 - contrato de prestacion de servicios profesionales"/>
    <s v="FEBRERO"/>
    <n v="11"/>
    <n v="0"/>
    <n v="1111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1"/>
    <s v="25 - contrato de prestacion de servicios profesionales"/>
    <s v="FEBRERO"/>
    <n v="11"/>
    <n v="0"/>
    <n v="616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1"/>
    <s v="25 - contrato de prestacion de servicios profesionales"/>
    <s v="FEBRERO"/>
    <n v="11"/>
    <n v="0"/>
    <n v="9075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1"/>
    <s v="26 - contrato de prestacion de servicios de apoyo a la gestion"/>
    <s v="FEBRERO"/>
    <n v="11"/>
    <n v="0"/>
    <n v="506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1"/>
    <s v="25 - contrato de prestacion de servicios profesionales"/>
    <s v="FEBRERO"/>
    <n v="11"/>
    <n v="0"/>
    <n v="9075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1"/>
    <s v="26 - contrato de prestacion de servicios de apoyo a la gestion"/>
    <s v="FEBRERO"/>
    <n v="11"/>
    <n v="0"/>
    <n v="4345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1"/>
    <s v="25 - contrato de prestacion de servicios profesionales"/>
    <s v="FEBRERO"/>
    <n v="10"/>
    <n v="0"/>
    <n v="360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1"/>
    <s v="25 - contrato de prestacion de servicios profesionales"/>
    <s v="FEBRERO"/>
    <n v="11"/>
    <n v="0"/>
    <n v="1012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1"/>
    <s v="25 - contrato de prestacion de servicios profesionales"/>
    <s v="FEBRERO"/>
    <n v="11"/>
    <n v="0"/>
    <n v="9075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1"/>
    <s v="25 - contrato de prestacion de servicios profesionales"/>
    <s v="FEBRERO"/>
    <n v="11"/>
    <n v="0"/>
    <n v="1100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1"/>
    <s v="25 - contrato de prestacion de servicios profesionales"/>
    <s v="FEBRERO"/>
    <n v="11"/>
    <n v="0"/>
    <n v="9075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1"/>
    <s v="25 - contrato de prestacion de servicios profesionales"/>
    <s v="FEBRERO"/>
    <n v="10"/>
    <n v="0"/>
    <n v="783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1"/>
    <s v="25 - contrato de prestacion de servicios profesionales"/>
    <s v="FEBRERO"/>
    <n v="10"/>
    <n v="0"/>
    <n v="107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7"/>
    <s v="Prestar servicios de apoyo para la gestión en asuntos de comunicaciones y prensa en la Dirección General, y demás acciones encaminadas al cumplimiento de las estrategias comunicacionales de la UAECOB"/>
    <s v="09 - contratación directa"/>
    <x v="1"/>
    <s v="26 - contrato de prestacion de servicios de apoyo a la gestion"/>
    <s v="FEBRERO"/>
    <n v="10"/>
    <n v="0"/>
    <n v="235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1"/>
    <s v="25 - contrato de prestacion de servicios profesionales"/>
    <s v="FEBRERO"/>
    <n v="10"/>
    <n v="0"/>
    <n v="70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1"/>
    <s v="25 - contrato de prestacion de servicios profesionales"/>
    <s v="FEBRERO"/>
    <n v="10"/>
    <n v="0"/>
    <n v="825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1"/>
    <s v="25 - contrato de prestacion de servicios profesionales"/>
    <s v="FEBRERO"/>
    <n v="10"/>
    <n v="0"/>
    <n v="65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1"/>
    <s v="25 - contrato de prestacion de servicios profesionales"/>
    <s v="FEBRERO"/>
    <n v="10"/>
    <n v="0"/>
    <n v="62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1"/>
    <s v="25 - contrato de prestacion de servicios profesionales"/>
    <s v="FEBRERO"/>
    <n v="10"/>
    <n v="0"/>
    <n v="65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1"/>
    <s v="26 - contrato de prestacion de servicios de apoyo a la gestion"/>
    <s v="FEBRERO"/>
    <n v="10"/>
    <n v="0"/>
    <n v="235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1"/>
    <s v="25 - contrato de prestacion de servicios profesionales"/>
    <s v="FEBRERO"/>
    <n v="10"/>
    <n v="0"/>
    <n v="100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1"/>
    <s v="25 - contrato de prestacion de servicios profesionales"/>
    <s v="FEBRERO"/>
    <n v="10"/>
    <n v="0"/>
    <n v="54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1"/>
    <s v="25 - contrato de prestacion de servicios profesionales"/>
    <s v="FEBRERO"/>
    <n v="10"/>
    <n v="0"/>
    <n v="54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1"/>
    <s v="26 - contrato de prestacion de servicios de apoyo a la gestion"/>
    <s v="FEBRERO"/>
    <n v="10"/>
    <n v="0"/>
    <n v="21775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1"/>
    <s v="25 - contrato de prestacion de servicios profesionales"/>
    <s v="FEBRERO"/>
    <n v="6"/>
    <n v="0"/>
    <n v="552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0"/>
    <s v="24 - contrato de servicio"/>
    <s v="ABRIL"/>
    <n v="10"/>
    <n v="0"/>
    <n v="400000000"/>
    <s v="NO"/>
    <x v="10"/>
    <s v="Paula Ximena Henao Escobar"/>
    <x v="1"/>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1"/>
    <s v="25 - contrato de prestacion de servicios profesionales"/>
    <s v="ENERO"/>
    <n v="6"/>
    <n v="0"/>
    <n v="30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1"/>
    <s v="25 - contrato de prestacion de servicios profesionales"/>
    <s v="ENERO"/>
    <n v="6"/>
    <n v="0"/>
    <n v="360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1"/>
    <s v="25 - contrato de prestacion de servicios profesionales"/>
    <s v="ENERO"/>
    <n v="6"/>
    <n v="0"/>
    <n v="54600000"/>
    <s v="NO"/>
    <x v="9"/>
    <s v="William Tovar Segura"/>
    <x v="0"/>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1"/>
    <s v="25 - contrato de prestacion de servicios profesionales"/>
    <s v="ENERO"/>
    <n v="8"/>
    <n v="0"/>
    <n v="56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1"/>
    <s v="25 - contrato de prestacion de servicios profesionales"/>
    <s v="FEBRERO"/>
    <n v="6"/>
    <n v="0"/>
    <n v="408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1"/>
    <s v="26 - contrato de prestacion de servicios de apoyo a la gestion"/>
    <s v="ENERO"/>
    <n v="6"/>
    <n v="0"/>
    <n v="216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1"/>
    <s v="26 - contrato de prestacion de servicios de apoyo a la gestion"/>
    <s v="ENERO"/>
    <n v="5"/>
    <n v="0"/>
    <n v="16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1"/>
    <s v="26 - contrato de prestacion de servicios de apoyo a la gestion"/>
    <s v="ENERO"/>
    <n v="5"/>
    <n v="0"/>
    <n v="21388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1"/>
    <s v="26 - contrato de prestacion de servicios de apoyo a la gestion"/>
    <s v="ENERO"/>
    <n v="6"/>
    <n v="0"/>
    <n v="1968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1"/>
    <s v="26 - contrato de prestacion de servicios de apoyo a la gestion"/>
    <s v="ENERO"/>
    <n v="6"/>
    <n v="0"/>
    <n v="1968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1"/>
    <s v="25 - contrato de prestacion de servicios profesionales"/>
    <s v="ENERO"/>
    <n v="6"/>
    <n v="0"/>
    <n v="33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1"/>
    <s v="26 - contrato de prestacion de servicios de apoyo a la gestion"/>
    <s v="ENERO"/>
    <n v="6"/>
    <n v="0"/>
    <n v="240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x v="1"/>
    <s v="26 - contrato de prestacion de servicios de apoyo a la gestion"/>
    <s v="ENERO"/>
    <n v="7"/>
    <n v="0"/>
    <n v="217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x v="1"/>
    <s v="25 - contrato de prestacion de servicios profesionales"/>
    <s v="ENERO"/>
    <n v="11"/>
    <n v="0"/>
    <n v="66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1"/>
    <s v="25 - contrato de prestacion de servicios profesionales"/>
    <s v="ENERO"/>
    <n v="6"/>
    <n v="0"/>
    <n v="36000000"/>
    <s v="NO"/>
    <x v="4"/>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1"/>
    <s v="25 - contrato de prestacion de servicios profesionales"/>
    <s v="ENERO"/>
    <n v="6"/>
    <n v="0"/>
    <n v="36000000"/>
    <s v="NO"/>
    <x v="4"/>
    <s v="Paula Ximena Henao Escobar"/>
    <x v="1"/>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0"/>
    <s v="08 - contrato de suministro"/>
    <s v="MARZO"/>
    <n v="1"/>
    <n v="12"/>
    <n v="2386600"/>
    <s v="NO"/>
    <x v="2"/>
    <s v="Fatima Veronica Quintero Nuñez"/>
    <x v="1"/>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1"/>
    <s v="25 - contrato de prestacion de servicios profesionales"/>
    <s v="ENERO"/>
    <n v="10"/>
    <n v="0"/>
    <n v="51610870"/>
    <s v="NO"/>
    <x v="2"/>
    <s v="Fatima Veronica Quintero Nuñez"/>
    <x v="0"/>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1"/>
    <s v="26 - contrato de prestacion de servicios de apoyo a la gestion"/>
    <s v="ENERO"/>
    <n v="6"/>
    <n v="0"/>
    <n v="19705968"/>
    <s v="NO"/>
    <x v="2"/>
    <s v="Fatima Veronica Quintero Nuñez"/>
    <x v="1"/>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1"/>
    <s v="26 - contrato de prestacion de servicios de apoyo a la gestion"/>
    <s v="ENERO"/>
    <n v="6"/>
    <n v="0"/>
    <n v="19705968"/>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1"/>
    <s v="25 - contrato de prestacion de servicios profesionales"/>
    <s v="ENERO"/>
    <n v="10"/>
    <n v="0"/>
    <n v="5161087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0"/>
    <s v="15 - contrato de seguros"/>
    <s v="ABRIL"/>
    <n v="3"/>
    <n v="12"/>
    <n v="2066812200"/>
    <s v="NO"/>
    <x v="2"/>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0"/>
    <s v="15 - contrato de seguros"/>
    <s v="JUNIO"/>
    <n v="12"/>
    <n v="0"/>
    <n v="60000000"/>
    <s v="NO"/>
    <x v="2"/>
    <s v="Fatima Veronica Quintero Nuñez"/>
    <x v="2"/>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0"/>
    <s v="03 - contrato de prestacion de servicios"/>
    <s v="ENERO"/>
    <n v="1"/>
    <n v="0"/>
    <n v="45000000"/>
    <s v="NO"/>
    <x v="2"/>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0"/>
    <s v="03 - contrato de prestacion de servicios"/>
    <s v="ENERO"/>
    <n v="1"/>
    <n v="0"/>
    <n v="45000000"/>
    <s v="NO"/>
    <x v="2"/>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0"/>
    <s v="03 - contrato de prestacion de servicios"/>
    <s v="ENERO"/>
    <n v="1"/>
    <n v="0"/>
    <n v="25000000"/>
    <s v="NO"/>
    <x v="2"/>
    <s v="Fatima Veronica Quintero Nuñez"/>
    <x v="2"/>
    <s v="Subdirector@ de Gestión Corporativa"/>
    <x v="1"/>
    <s v="44121700;_x000a_44121800;_x000a_44121900;_x000a_44122000;"/>
    <s v="No aplica"/>
    <s v="No a"/>
    <s v="l"/>
    <s v="NA"/>
    <s v="NA"/>
    <s v="NA"/>
    <s v="N/A"/>
    <s v="N/A"/>
    <s v="N/A-N/A"/>
    <s v="N/A"/>
    <s v="N/A"/>
    <s v="N/A_N/A"/>
    <s v="N/A-N/A N/A_N/A"/>
    <s v="NANANAN/AN/A"/>
    <s v="N/A"/>
    <s v="No Aplica"/>
    <s v="No Secop"/>
    <s v="20260600-BS-No a-l-Adición y prórroga No. 2 al contrato 597 de 2025  que tiene como objeto &quot; Contratar la prestación del servicio de aseo y cafetería incluido insumos para la UAE Cuerpo Oficial de Bomberos -SGC"/>
  </r>
  <r>
    <n v="20260601"/>
    <s v="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s v="04 - contratación mínima cuantía"/>
    <x v="0"/>
    <s v="03 - contrato de prestacion de servicios"/>
    <s v="ABRIL"/>
    <n v="0"/>
    <n v="0"/>
    <n v="23000000"/>
    <s v="NO"/>
    <x v="2"/>
    <s v="Fatima Veronica Quintero Nuñez"/>
    <x v="1"/>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601-BS-8126-8-Adición y prórroga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1"/>
    <s v="25 - contrato de prestacion de servicios profesionales"/>
    <s v="ENERO"/>
    <n v="4"/>
    <n v="0"/>
    <n v="22035670"/>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0"/>
    <s v="08 - contrato de suministro"/>
    <s v="MAYO"/>
    <n v="4"/>
    <n v="0"/>
    <n v="30000000"/>
    <s v="NO"/>
    <x v="2"/>
    <s v="Fatima Veronica Quintero Nuñez"/>
    <x v="0"/>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1"/>
    <s v="25 - contrato de prestacion de servicios profesionales"/>
    <s v="FEBRERO"/>
    <n v="10"/>
    <n v="0"/>
    <n v="50000000"/>
    <s v="NO"/>
    <x v="6"/>
    <s v="Yenire Yohansy Lozano Ascani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1"/>
    <s v="25 - contrato de prestacion de servicios profesionales"/>
    <s v="FEBRERO"/>
    <n v="5"/>
    <n v="15"/>
    <n v="539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1"/>
    <s v="25 - contrato de prestacion de servicios profesionales"/>
    <s v="FEBRERO"/>
    <n v="5"/>
    <n v="0"/>
    <n v="50000000"/>
    <s v="NO"/>
    <x v="10"/>
    <s v="Paula Ximena Henao Escobar"/>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1"/>
    <s v="25 - contrato de prestacion de servicios profesionales"/>
    <s v="FEBRERO"/>
    <n v="5"/>
    <n v="0"/>
    <n v="30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1"/>
    <s v="25 - contrato de prestacion de servicios profesionales"/>
    <s v="FEBRERO"/>
    <n v="5"/>
    <n v="0"/>
    <n v="22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1"/>
    <s v="25 - contrato de prestacion de servicios profesionales"/>
    <s v="FEBRERO"/>
    <n v="5"/>
    <n v="0"/>
    <n v="22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1"/>
    <s v="26 - contrato de prestacion de servicios de apoyo a la gestion"/>
    <s v="FEBRERO"/>
    <n v="5"/>
    <n v="0"/>
    <n v="175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1"/>
    <s v="25 - contrato de prestacion de servicios profesionales"/>
    <s v="FEBRERO"/>
    <n v="5"/>
    <n v="0"/>
    <n v="260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1"/>
    <s v="26 - contrato de prestacion de servicios de apoyo a la gestion"/>
    <s v="FEBRERO"/>
    <n v="11"/>
    <n v="0"/>
    <n v="4730000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0"/>
    <s v="11 - orden de prestacion de servicios"/>
    <s v="MARZO"/>
    <n v="3"/>
    <n v="0"/>
    <n v="182388960"/>
    <s v="NO"/>
    <x v="9"/>
    <s v="William Tovar Segura"/>
    <x v="0"/>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1"/>
    <s v="25 - contrato de prestacion de servicios profesionales"/>
    <s v="ENERO"/>
    <n v="10"/>
    <n v="0"/>
    <n v="65000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1"/>
    <s v="25 - contrato de prestacion de servicios profesionales"/>
    <s v="ENERO"/>
    <n v="10"/>
    <n v="0"/>
    <n v="77000000"/>
    <s v="NO"/>
    <x v="7"/>
    <s v="Carlos Andres Vargas Puert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1"/>
    <s v="26 - contrato de prestacion de servicios de apoyo a la gestion"/>
    <s v="ENERO"/>
    <n v="8"/>
    <n v="0"/>
    <n v="28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1"/>
    <s v="25 - contrato de prestacion de servicios profesionales"/>
    <s v="ENERO"/>
    <n v="6"/>
    <n v="0"/>
    <n v="48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0"/>
    <s v="01 - orden de compra"/>
    <s v="ENERO"/>
    <n v="2"/>
    <n v="0"/>
    <n v="509334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0"/>
    <s v="12 - resolucion"/>
    <s v="AGOSTO"/>
    <n v="11"/>
    <n v="0"/>
    <n v="180000000"/>
    <s v="NO"/>
    <x v="0"/>
    <s v="Jose Andres Ponce Caicedo"/>
    <x v="2"/>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1"/>
    <s v="25 - contrato de prestacion de servicios profesionales"/>
    <s v="ENERO"/>
    <n v="3"/>
    <n v="0"/>
    <n v="29400000"/>
    <s v="NO"/>
    <x v="0"/>
    <s v="Jose Andres Ponce Caicedo"/>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x v="0"/>
    <s v="08 - contrato de suministro"/>
    <s v="MARZO"/>
    <n v="10"/>
    <n v="0"/>
    <n v="800000000"/>
    <s v="NO"/>
    <x v="1"/>
    <s v="Omer Mauricio Rivera Ruiz"/>
    <x v="0"/>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1"/>
    <s v="26 - contrato de prestacion de servicios de apoyo a la gestion"/>
    <s v="ENERO"/>
    <n v="6"/>
    <n v="0"/>
    <n v="16890834"/>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1"/>
    <s v="26 - contrato de prestacion de servicios de apoyo a la gestion"/>
    <s v="ENERO"/>
    <n v="6"/>
    <n v="0"/>
    <n v="22118946"/>
    <s v="NO"/>
    <x v="2"/>
    <s v="Fatima Veronica Quintero Nuñez"/>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1"/>
    <s v="25 - contrato de prestacion de servicios profesionales"/>
    <s v="ENERO"/>
    <n v="7"/>
    <n v="0"/>
    <n v="546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1"/>
    <s v="26 - contrato de prestacion de servicios de apoyo a la gestion"/>
    <s v="ENERO"/>
    <n v="7"/>
    <n v="0"/>
    <n v="2583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1"/>
    <s v="26 - contrato de prestacion de servicios de apoyo a la gestion"/>
    <s v="ENERO"/>
    <n v="7"/>
    <n v="0"/>
    <n v="25802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1"/>
    <s v="26 - contrato de prestacion de servicios de apoyo a la gestion"/>
    <s v="FEBRERO"/>
    <n v="4"/>
    <n v="0"/>
    <n v="13136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1"/>
    <s v="25 - contrato de prestacion de servicios profesionales"/>
    <s v="ENERO"/>
    <n v="7"/>
    <n v="0"/>
    <n v="49000000"/>
    <s v="NO"/>
    <x v="3"/>
    <s v="Yenire Yohansy Lozano Ascanio"/>
    <x v="0"/>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1"/>
    <s v="26 - contrato de prestacion de servicios de apoyo a la gestion"/>
    <s v="ENERO"/>
    <n v="7"/>
    <n v="0"/>
    <n v="2625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1"/>
    <s v="25 - contrato de prestacion de servicios profesionales"/>
    <s v="ENERO"/>
    <n v="6"/>
    <n v="0"/>
    <n v="21750000"/>
    <s v="NO"/>
    <x v="9"/>
    <s v="William Tovar Segura"/>
    <x v="0"/>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0"/>
    <s v="23 - contrato de alquiler"/>
    <s v="FEBRERO"/>
    <n v="2"/>
    <n v="0"/>
    <n v="6664000"/>
    <s v="NO"/>
    <x v="4"/>
    <s v="Paula Ximena Henao Escobar"/>
    <x v="1"/>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0"/>
    <s v="03 - contrato de prestacion de servicios"/>
    <s v="FEBRERO"/>
    <n v="2"/>
    <n v="0"/>
    <n v="20246686"/>
    <s v="NO"/>
    <x v="4"/>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x v="1"/>
    <s v="26 - contrato de prestacion de servicios de apoyo a la gestion"/>
    <s v="ENERO"/>
    <n v="5"/>
    <n v="0"/>
    <n v="16400000"/>
    <s v="NO"/>
    <x v="1"/>
    <s v="Omer Mauricio Rivera Ruiz"/>
    <x v="0"/>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x v="0"/>
    <s v="03 - contrato de prestacion de servicios"/>
    <s v="MAYO"/>
    <n v="0"/>
    <n v="0"/>
    <n v="491900000"/>
    <s v="NO"/>
    <x v="2"/>
    <s v="Fatima Veronica Quintero Nuñez"/>
    <x v="1"/>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x v="1"/>
    <s v="25 - contrato de prestacion de servicios profesionales"/>
    <s v="NO APLICA"/>
    <n v="0"/>
    <n v="0"/>
    <n v="95000000"/>
    <s v="NO"/>
    <x v="4"/>
    <s v="Paula Ximena Henao Escobar"/>
    <x v="1"/>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36-TH-8126-5-Congelamiento recursos 5% proyecto 8126"/>
  </r>
  <r>
    <n v="20260637"/>
    <s v="Congelamiento recursos 5% proyecto 8126"/>
    <s v="17 - acuerdo marco de precios"/>
    <x v="0"/>
    <s v="03 - contrato de prestacion de servicios"/>
    <s v="NO APLICA"/>
    <n v="0"/>
    <n v="0"/>
    <n v="65650000"/>
    <s v="NO"/>
    <x v="4"/>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7-BS-8126-4-Congelamiento recursos 5% proyecto 8126"/>
  </r>
  <r>
    <n v="20260638"/>
    <s v="Congelamiento recursos 5% proyecto 8126"/>
    <s v="09 - contratación directa"/>
    <x v="1"/>
    <s v="25 - contrato de prestacion de servicios profesionales"/>
    <s v="NO APLICA"/>
    <n v="0"/>
    <n v="0"/>
    <n v="239005620"/>
    <s v="NO"/>
    <x v="2"/>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38-TH-8126-9-Congelamiento recursos 5% proyecto 8126"/>
  </r>
  <r>
    <n v="20260639"/>
    <s v="Congelamiento recursos 5% proyecto 8173"/>
    <s v="01 - licitación pública"/>
    <x v="0"/>
    <s v="05 - contrato de obra"/>
    <s v="NO APLICA"/>
    <n v="0"/>
    <n v="0"/>
    <n v="3760200"/>
    <s v="NO"/>
    <x v="2"/>
    <s v="Paula Ximena Henao Escobar"/>
    <x v="0"/>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No Secop"/>
    <s v="20260639-BS-8173-7-Congelamiento recursos 5% proyecto 8173"/>
  </r>
  <r>
    <n v="20260640"/>
    <s v="Congelamiento recursos 5% proyecto 8126"/>
    <s v="09 - contratación directa"/>
    <x v="1"/>
    <s v="25 - contrato de prestacion de servicios profesionales"/>
    <s v="NO APLICA"/>
    <n v="0"/>
    <n v="0"/>
    <n v="20296300"/>
    <s v="NO"/>
    <x v="5"/>
    <s v="Paula Ximena Henao Escobar"/>
    <x v="1"/>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640-TH-8126-2-Congelamiento recursos 5% proyecto 8126"/>
  </r>
  <r>
    <n v="20260641"/>
    <s v="Congelamiento recursos 5% proyecto 8126"/>
    <s v="09 - contratación directa"/>
    <x v="1"/>
    <s v="25 - contrato de prestacion de servicios profesionales"/>
    <s v="NO APLICA"/>
    <n v="0"/>
    <n v="0"/>
    <n v="55442250"/>
    <s v="NO"/>
    <x v="5"/>
    <s v="Paula Ximena Henao Escobar"/>
    <x v="1"/>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641-TH-8126-1-Congelamiento recursos 5% proyecto 8126"/>
  </r>
  <r>
    <n v="20260642"/>
    <s v="Congelamiento recursos 5% proyecto 8126"/>
    <s v="02 - selec. abrev. menor cuantía"/>
    <x v="0"/>
    <s v="03 - contrato de prestacion de servicios"/>
    <s v="NO APLICA"/>
    <n v="0"/>
    <n v="0"/>
    <n v="0"/>
    <s v="NO"/>
    <x v="4"/>
    <s v="Paula Ximena Henao Escobar"/>
    <x v="1"/>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42-BS-8126-5-Congelamiento recursos 5% proyecto 8126"/>
  </r>
  <r>
    <n v="20260643"/>
    <s v="Congelamiento recursos 5% proyecto 8126"/>
    <s v="09 - contratación directa"/>
    <x v="1"/>
    <s v="25 - contrato de prestacion de servicios profesionales"/>
    <s v="NO APLICA"/>
    <n v="0"/>
    <n v="0"/>
    <n v="0"/>
    <s v="NO"/>
    <x v="11"/>
    <s v="Paula Ximena Henao Escobar"/>
    <x v="1"/>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43-TH-8126-1-Congelamiento recursos 5% proyecto 8126"/>
  </r>
  <r>
    <n v="20260644"/>
    <s v="Congelamiento recursos 5% proyecto 8126"/>
    <s v="09 - contratación directa"/>
    <x v="1"/>
    <s v="25 - contrato de prestacion de servicios profesionales"/>
    <s v="NO APLICA"/>
    <n v="0"/>
    <n v="0"/>
    <n v="64171317"/>
    <s v="NO"/>
    <x v="10"/>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4-TH-8126-9-Congelamiento recursos 5% proyecto 8126"/>
  </r>
  <r>
    <n v="20260645"/>
    <s v="Congelamiento recursos 5% proyecto 8126"/>
    <s v="09 - contratación directa"/>
    <x v="1"/>
    <s v="25 - contrato de prestacion de servicios profesionales"/>
    <s v="NO APLICA"/>
    <n v="0"/>
    <n v="0"/>
    <n v="24231997"/>
    <s v="NO"/>
    <x v="6"/>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5-TH-8126-9-Congelamiento recursos 5% proyecto 8126"/>
  </r>
  <r>
    <n v="20260646"/>
    <s v="Congelamiento recursos 5% proyecto 8126"/>
    <s v="09 - contratación directa"/>
    <x v="1"/>
    <s v="25 - contrato de prestacion de servicios profesionales"/>
    <s v="NO APLICA"/>
    <n v="0"/>
    <n v="0"/>
    <n v="24969186"/>
    <s v="NO"/>
    <x v="7"/>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6-TH-8126-9-Congelamiento recursos 5% proyecto 8126"/>
  </r>
  <r>
    <n v="20260647"/>
    <s v="Congelamiento recursos 5% proyecto 8126"/>
    <s v="09 - contratación directa"/>
    <x v="1"/>
    <s v="25 - contrato de prestacion de servicios profesionales"/>
    <s v="NO APLICA"/>
    <n v="0"/>
    <n v="0"/>
    <n v="0"/>
    <s v="NO"/>
    <x v="8"/>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7-TH-8126-9-Congelamiento recursos 5% proyecto 8126"/>
  </r>
  <r>
    <n v="20260648"/>
    <s v="Congelamiento recursos 5% proyecto 8126"/>
    <s v="09 - contratación directa"/>
    <x v="1"/>
    <s v="25 - contrato de prestacion de servicios profesionales"/>
    <s v="NO APLICA"/>
    <n v="0"/>
    <n v="0"/>
    <m/>
    <s v="NO"/>
    <x v="0"/>
    <s v="Paula Ximena Henao Escobar"/>
    <x v="1"/>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8-TH-8126-9-Congelamiento recursos 5% proyecto 8126"/>
  </r>
  <r>
    <n v="20260649"/>
    <s v="Congelamiento recursos 5% proyecto 8126"/>
    <s v="02 - selec. abrev. menor cuantía"/>
    <x v="0"/>
    <s v="17 - contrato de mantenimiento"/>
    <s v="NO APLICA"/>
    <n v="0"/>
    <n v="0"/>
    <n v="71000000"/>
    <s v="NO"/>
    <x v="2"/>
    <s v="Fatima Veronica Quintero Nuñez"/>
    <x v="1"/>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49-BS-8126-8-Congelamiento recursos 5% proyecto 8126"/>
  </r>
  <r>
    <n v="20260650"/>
    <s v="Congelamiento recursos 5% proyecto 8126"/>
    <s v="01 - licitación pública"/>
    <x v="0"/>
    <s v="05 - contrato de obra"/>
    <s v="NO APLICA"/>
    <n v="0"/>
    <n v="0"/>
    <n v="93750000"/>
    <s v="NO"/>
    <x v="2"/>
    <s v="Fatima Veronica Quintero Nuñez"/>
    <x v="1"/>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50-BS-8126-8-Congelamiento recursos 5% proyecto 8126"/>
  </r>
  <r>
    <n v="20260651"/>
    <s v="Congelamiento recursos 5% proyecto 8126"/>
    <s v="17 - acuerdo marco de precios"/>
    <x v="0"/>
    <s v="03 - contrato de prestacion de servicios"/>
    <s v="NO APLICA"/>
    <n v="0"/>
    <n v="0"/>
    <n v="26250000"/>
    <s v="NO"/>
    <x v="2"/>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x v="1"/>
    <s v="25 - contrato de prestacion de servicios profesionales"/>
    <s v="ENERO"/>
    <n v="7"/>
    <n v="0"/>
    <n v="553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x v="1"/>
    <s v="26 - contrato de prestacion de servicios de apoyo a la gestion"/>
    <s v="ENERO"/>
    <n v="7"/>
    <n v="0"/>
    <n v="28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x v="1"/>
    <s v="25 - contrato de prestacion de servicios profesionales"/>
    <s v="ENERO"/>
    <n v="6"/>
    <n v="0"/>
    <n v="450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0"/>
    <s v="11 - orden de prestacion de servicios"/>
    <s v="MARZO"/>
    <n v="3"/>
    <n v="0"/>
    <n v="400000000"/>
    <s v="NO"/>
    <x v="9"/>
    <s v="William Tovar Segura"/>
    <x v="0"/>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5961 Servicios de organización y asistencia de convenciones"/>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0"/>
    <s v="03 - contrato de prestacion de servicios"/>
    <s v="FEBRERO"/>
    <n v="3"/>
    <n v="20"/>
    <n v="52231036"/>
    <s v="NO"/>
    <x v="2"/>
    <s v="Fatima Veronica Quintero Nuñez"/>
    <x v="2"/>
    <s v="Subdirector@ de Gestión Corporativa"/>
    <x v="1"/>
    <s v="78102206;"/>
    <s v="No aplica"/>
    <s v="No a"/>
    <s v="l"/>
    <s v="NA"/>
    <s v="NA"/>
    <s v="NA"/>
    <s v="N/A"/>
    <s v="N/A"/>
    <s v="N/A-N/A"/>
    <s v="N/A"/>
    <s v="N/A"/>
    <s v="N/A_N/A"/>
    <s v="N/A-N/A N/A_N/A"/>
    <s v="NANANAN/AN/A"/>
    <s v="N/A"/>
    <s v="No Aplica"/>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03 - selec. abrev. subasta inversa"/>
    <x v="0"/>
    <s v="08 - contrato de suministro"/>
    <s v="ABRIL"/>
    <n v="10"/>
    <n v="0"/>
    <n v="431001000"/>
    <s v="NO"/>
    <x v="2"/>
    <s v="Fatima Veronica Quintero Nuñez"/>
    <x v="0"/>
    <s v="Subdirector@ de Gestión del Riesgo"/>
    <x v="0"/>
    <s v="3131500;23271800;26111700; 26121500;26121600;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2 Máquinas herramientas y sus partes, piezas y accesorios"/>
    <s v="Si Secop "/>
    <s v="20260657-BS-8173-1-Suministro de materiales, equipos y herramientas para el mejoramiento integral de las instalaciones para la Unidad Administrativa Especial Cuerpo Oficial de Bomberos Bogotá -SGC"/>
  </r>
  <r>
    <n v="20260658"/>
    <s v="Adición y prórroga No. 1 al contrato que tiene como objeto &quot; Contratar la prestación del servicio de aseo y cafetería incluido insumos para la UAE Cuerpo Oficial de Bomberos -SGC"/>
    <s v="17 - acuerdo marco de precios"/>
    <x v="0"/>
    <s v="03 - contrato de prestacion de servicios"/>
    <s v="MAYO"/>
    <n v="2"/>
    <n v="0"/>
    <n v="200000000"/>
    <s v="NO"/>
    <x v="2"/>
    <s v="Fatima Veronica Quintero Nuñez"/>
    <x v="1"/>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8-BS-8126-8-Adición y prórroga No. 1 al contrato que tiene como objeto &quot; Contratar la prestación del servicio de aseo y cafetería incluido insumos para la UAE Cuerpo Oficial de Bomberos -SGC"/>
  </r>
  <r>
    <n v="20260659"/>
    <s v="SGH - Utilización lista de elegibles CNSC para provisión de vacantes"/>
    <s v="91 - n/a acto administrativo (resolución, decreto, acuerdo, etc.)"/>
    <x v="0"/>
    <s v="12 - resolucion"/>
    <s v="MARZO"/>
    <n v="6"/>
    <n v="0"/>
    <n v="51000000"/>
    <s v="NO"/>
    <x v="0"/>
    <s v="Jose Andres Ponce Caicedo"/>
    <x v="2"/>
    <s v="Subdirector@ de Gestión Corporativa"/>
    <x v="1"/>
    <s v="N/A"/>
    <s v="No aplica"/>
    <s v="No a"/>
    <s v="l"/>
    <s v="NA"/>
    <s v="NA"/>
    <s v="NA"/>
    <s v="N/A"/>
    <s v="N/A"/>
    <s v="N/A-N/A"/>
    <s v="N/A"/>
    <s v="N/A"/>
    <s v="N/A_N/A"/>
    <s v="N/A-N/A N/A_N/A"/>
    <s v="NANANAN/AN/A"/>
    <s v="N/A"/>
    <s v="No Aplica"/>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x v="1"/>
    <s v="25 - contrato de prestacion de servicios profesionales"/>
    <s v="ABRIL"/>
    <n v="1"/>
    <n v="15"/>
    <n v="10500000"/>
    <s v="NO"/>
    <x v="0"/>
    <s v="Jose Andres Ponce Caicedo"/>
    <x v="0"/>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x v="0"/>
    <s v="06 - contrato de compraventa"/>
    <s v="JULIO"/>
    <n v="3"/>
    <n v="0"/>
    <n v="54274124"/>
    <s v="NO"/>
    <x v="3"/>
    <s v="Yenire Yohansy Lozano Ascanio"/>
    <x v="2"/>
    <s v="Subdirector@ de Gestión Corporativa"/>
    <x v="1"/>
    <n v="53102710"/>
    <s v="No aplica"/>
    <s v="No a"/>
    <s v="l"/>
    <s v="NA"/>
    <s v="NA"/>
    <s v="NA"/>
    <s v="N/A"/>
    <s v="N/A"/>
    <s v="N/A-N/A"/>
    <s v="N/A"/>
    <s v="N/A"/>
    <s v="N/A_N/A"/>
    <s v="N/A-N/A N/A_N/A"/>
    <s v="NANANAN/AN/A"/>
    <s v="N/A"/>
    <s v="O2120201002082823609    Uniformes de trabajo"/>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x v="1"/>
    <s v="26 - contrato de prestacion de servicios de apoyo a la gestion"/>
    <s v="MARZO"/>
    <n v="1.5"/>
    <n v="0"/>
    <n v="51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x v="1"/>
    <s v="25 - contrato de prestacion de servicios profesionales"/>
    <s v="MARZO"/>
    <n v="1.5"/>
    <n v="0"/>
    <n v="165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x v="1"/>
    <s v="25 - contrato de prestacion de servicios profesionales"/>
    <s v="MAYO"/>
    <n v="2"/>
    <n v="0"/>
    <n v="68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5-TH-8126-9-Adición y prórroga al contrato 730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s v="09 - contratación directa"/>
    <x v="1"/>
    <s v="26 - contrato de prestacion de servicios de apoyo a la gestion"/>
    <s v="ABRIL"/>
    <n v="2"/>
    <n v="0"/>
    <n v="12400000"/>
    <s v="NO"/>
    <x v="8"/>
    <s v="Mónica María Pérez Barragán"/>
    <x v="1"/>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66-TH-8126-9-Adición y prórroga al contrato 689 de 2025 cuyo objeto es: &quot;Prestar los servicios profesionales para apoyar las actividades propias de la gestión contractual a cargo de la Oficina Jurídica, en función de las necesidades identificadas por la entidad y con el propósito de garantizar el cumplimiento de su misionalidad.&quot;"/>
  </r>
  <r>
    <n v="20260667"/>
    <s v="Adición y prórroga al Contrato No. 363-2025 cuyo objeto es: Contratar los servicios de canales de datos dedicados para la UAE Cuerpo Oficial de Bomberos de Bogotá – TIC"/>
    <s v="09 - contratación directa"/>
    <x v="0"/>
    <s v="24 - contrato de servicio"/>
    <s v="ABRIL"/>
    <n v="2"/>
    <n v="26"/>
    <n v="60000000"/>
    <s v="NO"/>
    <x v="4"/>
    <s v="Paula Ximena Henao Escobar"/>
    <x v="2"/>
    <s v="Subdirector@ de Gestión Corporativa"/>
    <x v="0"/>
    <n v="80111600"/>
    <s v="No aplica"/>
    <s v="No a"/>
    <s v="l"/>
    <s v="NA"/>
    <s v="NA"/>
    <s v="NA"/>
    <s v="N/A"/>
    <s v="N/A"/>
    <s v="N/A-N/A"/>
    <s v="N/A"/>
    <s v="N/A"/>
    <s v="N/A_N/A"/>
    <s v="N/A-N/A N/A_N/A"/>
    <s v="NANANAN/AN/A"/>
    <s v="N/A"/>
    <s v="No Aplica"/>
    <s v="No Secop"/>
    <s v="20260667-BS-No a-l-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x v="0"/>
    <s v="06 - contrato de compraventa"/>
    <s v="MARZO"/>
    <n v="12"/>
    <n v="0"/>
    <n v="1166406235"/>
    <s v="NO"/>
    <x v="4"/>
    <s v="Paula Ximena Henao Escobar"/>
    <x v="1"/>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x v="0"/>
    <s v="03 - contrato de prestacion de servicios"/>
    <s v="MARZO"/>
    <n v="1"/>
    <n v="0"/>
    <n v="3212500"/>
    <s v="NO"/>
    <x v="4"/>
    <s v="Paula Ximena Henao Escobar"/>
    <x v="1"/>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69-BS-8126-5-Pago pasivo contrato 815 de 2024 cuyo objeto es: &quot;Contratar el servicio de soporte y mantenimiento del sistema de control de acceso para los visitantes y los funcionarios de la U.A.E. Cuerpo Oficial Bomberos de Bogotá&quot;, Otro Si No. 01 de 2025."/>
  </r>
  <r>
    <n v="20260670"/>
    <s v="Adición No. 1 al contrato 709 de 2025 que tiene como objeto “Adquisicion de equipos electrodomésticos para las instalaciones de la UAE Cuerpo Oficial de Bomberos- SGC&quot;"/>
    <s v="03 - selec. abrev. subasta inversa"/>
    <x v="0"/>
    <s v="06 - contrato de compraventa"/>
    <s v="MARZO"/>
    <n v="0"/>
    <n v="0"/>
    <n v="1000000"/>
    <s v="NO"/>
    <x v="2"/>
    <s v="Fatima Veronica Quintero Nuñez"/>
    <x v="0"/>
    <s v="Subdirector@ de Gestión del Riesgo"/>
    <x v="0"/>
    <s v="24131500;_x000a_52141500;_x000a_52151600;_x000a_ 52152000;_x000a_52152300; _x000a_521615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No Secop"/>
    <s v="20260670-BS-8173-1-Adición No. 1 al contrato 709 de 2025 que tiene como objeto “Adquisicion de equipos electrodomésticos para las instalaciones de la UAE Cuerpo Oficial de Bomberos- SGC&quot;"/>
  </r>
  <r>
    <n v="20260671"/>
    <s v="Contratar la adquisición, renovación y  suscripciones de licencia Microsoft y modulos de seguridad y vulnerabilidad para la U.A.E. Cuerpo Oficial de Bomberos de Bogotá - TIC"/>
    <s v="17 - acuerdo marco de precios"/>
    <x v="0"/>
    <s v="03 - contrato de prestacion de servicios"/>
    <s v="MAYO"/>
    <n v="12"/>
    <n v="0"/>
    <n v="571162598"/>
    <s v="NO"/>
    <x v="4"/>
    <s v="Paula Ximena Henao Escobar"/>
    <x v="1"/>
    <s v="Subdirector@ de Gestión Corporativa"/>
    <x v="0"/>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671-BS-8126-4-Contratar la adquisición, renovación y  suscripciones de licencia Microsoft y modulos de seguridad y vulnerabilidad para la U.A.E. Cuerpo Oficial de Bomberos de Bogotá - TIC"/>
  </r>
  <r>
    <n v="20260673"/>
    <s v="Adquisición de elementos de apoyo didáctico y pedagógico para actividades, programas y campañas requeridas en la Subdirección de Gestión del Riesgo_SGR”"/>
    <s v="17 - acuerdo marco de precios"/>
    <x v="0"/>
    <s v="01 - orden de compra"/>
    <s v="MARZO"/>
    <n v="3"/>
    <n v="0"/>
    <n v="13000000"/>
    <s v="NO"/>
    <x v="9"/>
    <s v="William Tovar Segura"/>
    <x v="0"/>
    <s v="Subdirector@ de Gestión del Riesgo"/>
    <x v="0"/>
    <s v="60121206,60121000,60121500,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No Secop"/>
    <s v="20260673-BS-8173-1-Adquisición de elementos de apoyo didáctico y pedagógico para actividades, programas y campañas requeridas en la Subdirección de Gestión del Riesgo_SGR”"/>
  </r>
  <r>
    <n v="20260674"/>
    <s v="Adición y prórroga 2 al contrato No. 411 de 2025 cuyo objeto es: &quot;Contratar la prestación del servicio de monitoreo, control y seguimiento satelital a los vehículos de propiedad de la U.A.E. Cuerpo Oficial de Bomberos de Bogotá - TIC&quot;"/>
    <s v="03 - selec. abrev. subasta inversa"/>
    <x v="0"/>
    <s v="03 - contrato de prestacion de servicios"/>
    <s v="ABRIL"/>
    <n v="1"/>
    <n v="0"/>
    <n v="10570481"/>
    <s v="NO"/>
    <x v="4"/>
    <s v="Paula Ximena Henao Escobar"/>
    <x v="1"/>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74-BS-8126-4-Adición y prórroga 2 al contrato No. 411 de 2025 cuyo objeto es: &quot;Contratar la prestación del servicio de monitoreo, control y seguimiento satelital a los vehículos de propiedad de la U.A.E. Cuerpo Oficial de Bomberos de Bogotá - TIC&quot;"/>
  </r>
  <r>
    <n v="20260679"/>
    <s v="Adición No. 1 al contrato 766 de 2024 que tiene como objeto “Elaboración de estudios y diseños técnicos para la construcción de la estación de bomberos de Ferias B-7 de la UAE Cuerpo Oficial de Bomberos de Bogotá – SGC&quot;"/>
    <s v="06 - concurso de méritos abierto"/>
    <x v="0"/>
    <s v="04 - contrato de consultoria"/>
    <s v="MAYO"/>
    <n v="1"/>
    <n v="0"/>
    <n v="6000000"/>
    <s v="NO"/>
    <x v="2"/>
    <s v="Fatima Veronica Quintero Nuñez"/>
    <x v="0"/>
    <s v="Subdirector@ de Gestión del Riesgo"/>
    <x v="0"/>
    <s v="81101500;_x000a_8010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79-BS-8173-1-Adición No. 1 al contrato 766 de 2024 que tiene como objeto “Elaboración de estudios y diseños técnicos para la construcción de la estación de bomberos de Ferias B-7 de la UAE Cuerpo Oficial de Bomberos de Bogotá – SGC&quot;"/>
  </r>
  <r>
    <n v="20260680"/>
    <s v="Construcción de la estación  Ferias  B-7  UAE Cuerpo Oficial de Bomberos de Bogotá – SGC"/>
    <s v="01 - licitación pública"/>
    <x v="0"/>
    <s v="05 - contrato de obra"/>
    <s v="JULIO"/>
    <n v="15"/>
    <n v="0"/>
    <n v="1860000000"/>
    <s v="SI"/>
    <x v="2"/>
    <s v="Fatima Veronica Quintero Nuñez"/>
    <x v="0"/>
    <s v="Subdirector@ de Gestión del Riesgo"/>
    <x v="4"/>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680-BS-8173-8-Construcción de la estación  Ferias  B-7  UAE Cuerpo Oficial de Bomberos de Bogotá – SGC"/>
  </r>
  <r>
    <n v="20260681"/>
    <s v="Interventoría técnica, administrativa, financiera, contable, jurídica, ambiental  y de Seguridad y Salud en el Trabajo para la construcción de la estación de bomberos Ferias B7 UAE Cuerpo Oficial de Bomberos de Bogotá – SGC"/>
    <s v="06 - concurso de méritos abierto"/>
    <x v="0"/>
    <s v="14 - contrato de interventoria"/>
    <s v="JULIO"/>
    <n v="15"/>
    <n v="0"/>
    <n v="240000000"/>
    <s v="SI"/>
    <x v="2"/>
    <s v="Fatima Veronica Quintero Nuñez"/>
    <x v="0"/>
    <s v="Subdirector@ de Gestión del Riesgo"/>
    <x v="4"/>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681-BS-8173-8-Interventoría técnica, administrativa, financiera, contable, jurídica, ambiental  y de Seguridad y Salud en el Trabajo para la construcción de la estación de bomberos Ferias B7 UAE Cuerpo Oficial de Bomberos de Bogotá – SGC"/>
  </r>
  <r>
    <n v="20260682"/>
    <s v="Adecuación de la nueva estación de bomberos de la UAE Cuerpo Oficial de Bomberos de Bogotá – SGC"/>
    <s v="01 - licitación pública"/>
    <x v="0"/>
    <s v="05 - contrato de obra"/>
    <s v="JULIO"/>
    <n v="10"/>
    <n v="0"/>
    <n v="1320000000"/>
    <s v="SI"/>
    <x v="2"/>
    <s v="Fatima Veronica Quintero Nuñez"/>
    <x v="0"/>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2-BS-8173-7-Adecuación de la nueva estación de bomberos de la UAE Cuerpo Oficial de Bomberos de Bogotá – SGC"/>
  </r>
  <r>
    <n v="20260683"/>
    <s v="Interventoría técnica, administrativa, financiera, contable, jurídica, ambiental  y de Seguridad y Salud en el Trabajo para la Adecuación de la Nueva Estación de bomberos de la UAE Cuerpo Oficial de Bomberos de Bogotá – SGC"/>
    <s v="06 - concurso de méritos abierto"/>
    <x v="0"/>
    <s v="14 - contrato de interventoria"/>
    <s v="JULIO"/>
    <n v="10"/>
    <n v="0"/>
    <n v="180000000"/>
    <s v="SI"/>
    <x v="2"/>
    <s v="Fatima Veronica Quintero Nuñez"/>
    <x v="0"/>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3-BS-8173-7-Interventoría técnica, administrativa, financiera, contable, jurídica, ambiental  y de Seguridad y Salud en el Trabajo para la Adecuación de la Nueva Estación de bomberos de la UAE Cuerpo Oficial de Bomberos de Bogotá – SGC"/>
  </r>
  <r>
    <n v="20260685"/>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0"/>
    <s v="14 - contrato de interventoria"/>
    <s v="JULIO"/>
    <n v="10"/>
    <n v="0"/>
    <n v="117798000"/>
    <s v="NO"/>
    <x v="2"/>
    <s v="Fatima Veronica Quintero Nuñez"/>
    <x v="0"/>
    <s v="Subdirector@ de Gestión del Riesgo"/>
    <x v="0"/>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6"/>
    <s v="Realizar la adecuación y mejoramiento de las instalaciones de La Unidad Administrativa Especial Cuerpo Oficial de Bomberos de Bogotá D.C. – SGC.C"/>
    <s v="01 - licitación pública"/>
    <x v="0"/>
    <s v="05 - contrato de obra"/>
    <s v="JULIO"/>
    <n v="10"/>
    <n v="0"/>
    <n v="500000000"/>
    <s v="NO"/>
    <x v="2"/>
    <s v="Fatima Veronica Quintero Nuñez"/>
    <x v="0"/>
    <s v="Subdirector@ de Gestión del Riesgo"/>
    <x v="4"/>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6-BS-8173-7-Realizar la adecuación y mejoramiento de las instalaciones de La Unidad Administrativa Especial Cuerpo Oficial de Bomberos de Bogotá D.C. – SGC.C"/>
  </r>
  <r>
    <n v="20260687"/>
    <s v="Interventoría técnica, administrativa, financiera, contable, jurídica, ambiental y de Seguridad y Salud en el Trabajo para realizar la adecuación y mejoramiento de las instalaciones de La Unidad Administrativa Especial Cuerpo Oficial de Bomberos de Bogotá D.C. – SGC."/>
    <s v="06 - concurso de méritos abierto"/>
    <x v="0"/>
    <s v="14 - contrato de interventoria"/>
    <s v="JULIO"/>
    <n v="10"/>
    <n v="0"/>
    <n v="232202000"/>
    <s v="NO"/>
    <x v="2"/>
    <s v="Fatima Veronica Quintero Nuñez"/>
    <x v="0"/>
    <s v="Subdirector@ de Gestión del Riesgo"/>
    <x v="4"/>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
  </r>
  <r>
    <n v="20260688"/>
    <s v="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s v="91 - n/a acto administrativo (resolución, decreto, acuerdo, etc.)"/>
    <x v="0"/>
    <s v="12 - resolucion"/>
    <s v="MAYO"/>
    <n v="0"/>
    <n v="0"/>
    <n v="40032337"/>
    <s v="NO"/>
    <x v="2"/>
    <s v="Fatima Veronica Quintero Nuñez"/>
    <x v="0"/>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
  </r>
  <r>
    <n v="20260689"/>
    <s v="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s v="91 - n/a acto administrativo (resolución, decreto, acuerdo, etc.)"/>
    <x v="0"/>
    <s v="12 - resolucion"/>
    <s v="MAYO"/>
    <n v="0"/>
    <n v="0"/>
    <n v="135000000"/>
    <s v="NO"/>
    <x v="2"/>
    <s v="Fatima Veronica Quintero Nuñez"/>
    <x v="0"/>
    <s v="Subdirector@ de Gestión del Riesgo"/>
    <x v="5"/>
    <s v="N/A"/>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No Secop"/>
    <s v="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
  </r>
  <r>
    <n v="20260690"/>
    <s v="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s v="91 - n/a acto administrativo (resolución, decreto, acuerdo, etc.)"/>
    <x v="0"/>
    <s v="12 - resolucion"/>
    <s v="MAYO"/>
    <n v="0"/>
    <n v="0"/>
    <n v="10802121"/>
    <s v="NO"/>
    <x v="2"/>
    <s v="Fatima Veronica Quintero Nuñez"/>
    <x v="0"/>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No Secop"/>
    <s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
  </r>
  <r>
    <n v="20260691"/>
    <s v="Reconocimiento y pago Pasivo Exigible FERIAS "/>
    <s v="91 - n/a acto administrativo (resolución, decreto, acuerdo, etc.)"/>
    <x v="0"/>
    <s v="12 - resolucion"/>
    <s v="OCTUBRE"/>
    <n v="0"/>
    <n v="0"/>
    <n v="161794472"/>
    <s v="NO"/>
    <x v="2"/>
    <s v="Fatima Veronica Quintero Nuñez"/>
    <x v="0"/>
    <s v="Subdirector@ de Gestión del Riesgo"/>
    <x v="5"/>
    <s v="N/A"/>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No Secop"/>
    <s v="20260691-BS-8173-7-Reconocimiento y pago Pasivo Exigible FERIAS "/>
  </r>
  <r>
    <n v="20260692"/>
    <s v="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s v="91 - n/a acto administrativo (resolución, decreto, acuerdo, etc.)"/>
    <x v="0"/>
    <s v="12 - resolucion"/>
    <s v="MAYO"/>
    <n v="0"/>
    <n v="0"/>
    <n v="11378345"/>
    <s v="NO"/>
    <x v="2"/>
    <s v="Fatima Veronica Quintero Nuñez"/>
    <x v="1"/>
    <s v="Subdirector@ de Gestión Corporativa"/>
    <x v="5"/>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No Secop"/>
    <s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8560AE-4EB5-405A-AF94-C4889FA82CB1}" name="TablaDinámica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D18" firstHeaderRow="1" firstDataRow="2" firstDataCol="1" rowPageCount="1" colPageCount="1"/>
  <pivotFields count="34">
    <pivotField showAll="0"/>
    <pivotField showAll="0"/>
    <pivotField showAll="0"/>
    <pivotField axis="axisPage" showAll="0">
      <items count="3">
        <item x="0"/>
        <item x="1"/>
        <item t="default"/>
      </items>
    </pivotField>
    <pivotField showAll="0"/>
    <pivotField showAll="0"/>
    <pivotField showAll="0"/>
    <pivotField showAll="0"/>
    <pivotField dataField="1" showAll="0"/>
    <pivotField showAll="0"/>
    <pivotField axis="axisRow" showAll="0">
      <items count="13">
        <item x="10"/>
        <item x="11"/>
        <item x="4"/>
        <item x="5"/>
        <item x="6"/>
        <item x="7"/>
        <item x="8"/>
        <item x="2"/>
        <item x="0"/>
        <item x="9"/>
        <item x="1"/>
        <item x="3"/>
        <item t="default"/>
      </items>
    </pivotField>
    <pivotField showAll="0"/>
    <pivotField axis="axisCol" showAll="0">
      <items count="5">
        <item h="1" x="2"/>
        <item x="1"/>
        <item x="0"/>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3">
    <i>
      <x/>
    </i>
    <i>
      <x v="1"/>
    </i>
    <i>
      <x v="2"/>
    </i>
    <i>
      <x v="3"/>
    </i>
    <i>
      <x v="4"/>
    </i>
    <i>
      <x v="5"/>
    </i>
    <i>
      <x v="6"/>
    </i>
    <i>
      <x v="7"/>
    </i>
    <i>
      <x v="8"/>
    </i>
    <i>
      <x v="9"/>
    </i>
    <i>
      <x v="10"/>
    </i>
    <i>
      <x v="11"/>
    </i>
    <i t="grand">
      <x/>
    </i>
  </rowItems>
  <colFields count="1">
    <field x="12"/>
  </colFields>
  <colItems count="3">
    <i>
      <x v="1"/>
    </i>
    <i>
      <x v="2"/>
    </i>
    <i t="grand">
      <x/>
    </i>
  </colItems>
  <pageFields count="1">
    <pageField fld="3" hier="-1"/>
  </pageFields>
  <dataFields count="1">
    <dataField name="Suma de Valor apropiacion vigencia actual" fld="8" baseField="0" baseItem="0" numFmtId="164"/>
  </dataFields>
  <formats count="6">
    <format dxfId="6">
      <pivotArea outline="0" collapsedLevelsAreSubtotals="1" fieldPosition="0"/>
    </format>
    <format dxfId="5">
      <pivotArea dataOnly="0" labelOnly="1" outline="0" fieldPosition="0">
        <references count="1">
          <reference field="3" count="0"/>
        </references>
      </pivotArea>
    </format>
    <format dxfId="4">
      <pivotArea field="12" type="button" dataOnly="0" labelOnly="1" outline="0" axis="axisCol" fieldPosition="0"/>
    </format>
    <format dxfId="3">
      <pivotArea type="topRight" dataOnly="0" labelOnly="1" outline="0" fieldPosition="0"/>
    </format>
    <format dxfId="2">
      <pivotArea dataOnly="0" labelOnly="1" fieldPosition="0">
        <references count="1">
          <reference field="12" count="0"/>
        </references>
      </pivotArea>
    </format>
    <format dxfId="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D098F72-9DB2-4593-9C4E-2CCEEE68307F}"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F3:G9" firstHeaderRow="1" firstDataRow="1" firstDataCol="1" rowPageCount="1" colPageCount="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axis="axisPage" multipleItemSelectionAllowed="1" showAll="0">
      <items count="5">
        <item h="1" x="2"/>
        <item x="1"/>
        <item x="0"/>
        <item h="1" x="3"/>
        <item t="default"/>
      </items>
    </pivotField>
    <pivotField showAll="0"/>
    <pivotField axis="axisRow" showAll="0">
      <items count="7">
        <item x="1"/>
        <item x="4"/>
        <item x="0"/>
        <item x="5"/>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6">
    <i>
      <x/>
    </i>
    <i>
      <x v="1"/>
    </i>
    <i>
      <x v="2"/>
    </i>
    <i>
      <x v="3"/>
    </i>
    <i>
      <x v="4"/>
    </i>
    <i t="grand">
      <x/>
    </i>
  </rowItems>
  <colItems count="1">
    <i/>
  </colItems>
  <pageFields count="1">
    <pageField fld="12" hier="-1"/>
  </pageFields>
  <dataFields count="1">
    <dataField name="Suma de Valor apropiacion vigencia actual" fld="8" baseField="0" baseItem="0" numFmtId="164"/>
  </dataFields>
  <formats count="3">
    <format dxfId="9">
      <pivotArea outline="0" collapsedLevelsAreSubtotals="1" fieldPosition="0"/>
    </format>
    <format dxfId="8">
      <pivotArea dataOnly="0" labelOnly="1" outline="0" fieldPosition="0">
        <references count="1">
          <reference field="12" count="0"/>
        </references>
      </pivotArea>
    </format>
    <format dxfId="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83" totalsRowShown="0" headerRowDxfId="49" dataDxfId="47" headerRowBorderDxfId="48" tableBorderDxfId="46" totalsRowBorderDxfId="45">
  <autoFilter ref="B11:AI683" xr:uid="{00000000-000C-0000-FFFF-FFFF00000000}"/>
  <sortState xmlns:xlrd2="http://schemas.microsoft.com/office/spreadsheetml/2017/richdata2" ref="B12:AI683">
    <sortCondition sortBy="cellColor" ref="B11:B683" dxfId="44"/>
  </sortState>
  <tableColumns count="34">
    <tableColumn id="1" xr3:uid="{00000000-0010-0000-0000-000001000000}" name="Id Interno" dataDxfId="43" dataCellStyle="Millares"/>
    <tableColumn id="29" xr3:uid="{6E0C2575-6F82-4393-8478-8ABA1BB95D8D}" name="Objeto de la contratación" dataDxfId="42" dataCellStyle="Millares"/>
    <tableColumn id="30" xr3:uid="{2E28827C-CB39-46C1-AE1A-A273E80C18AA}" name="Modalidad de Selección" dataDxfId="41" dataCellStyle="Millares"/>
    <tableColumn id="31" xr3:uid="{FA1C55F6-D46D-422B-8D87-02AF4EF50FB5}" name="tipo de Contrato (TH talento humano - B/S bienes y/o servicios)" dataDxfId="40" dataCellStyle="Millares"/>
    <tableColumn id="32" xr3:uid="{0496A17B-836C-488C-83FC-7B97E621862C}" name="Tipo de Contratación" dataDxfId="39" dataCellStyle="Millares"/>
    <tableColumn id="34" xr3:uid="{5030F4BB-20B2-4AA9-BB7F-6FE8E982496F}" name="Mes estimado de inicio de ejecución" dataDxfId="38"/>
    <tableColumn id="35" xr3:uid="{55022259-E0E1-40DB-9906-2780E56ADBD6}" name="plazo ejec Meses" dataDxfId="37"/>
    <tableColumn id="36" xr3:uid="{640C848D-F55E-4544-9D2E-B70ECD132648}" name="mas plazo ejec Días (si aplica)" dataDxfId="36"/>
    <tableColumn id="5" xr3:uid="{05DF518B-CA49-46BE-8AA0-2C47633D4CCA}" name="Valor apropiacion vigencia actual" dataDxfId="35" dataCellStyle="Millares"/>
    <tableColumn id="37" xr3:uid="{777DB4FA-284B-4B1C-83F5-FEBFB0A46D55}" name="¿vigencia futuras?" dataDxfId="34" dataCellStyle="Millares"/>
    <tableColumn id="3" xr3:uid="{00000000-0010-0000-0000-000003000000}" name="Dependencia Solicitante" dataDxfId="33"/>
    <tableColumn id="4" xr3:uid="{00000000-0010-0000-0000-000004000000}" name="Responsable del Proceso" dataDxfId="32" dataCellStyle="Normal 2"/>
    <tableColumn id="40" xr3:uid="{36691A9F-1FC4-4BDD-BF10-A3870A450F77}" name="Proyecto y nombre Asociado" dataDxfId="31" dataCellStyle="Millares"/>
    <tableColumn id="38" xr3:uid="{BBFE6D21-66F0-43E1-A3BB-14789CB36D19}" name="Gerente del Proyecto Asociado" dataDxfId="30" dataCellStyle="Normal 2"/>
    <tableColumn id="39" xr3:uid="{586F9A4B-5355-4D5E-9ACF-9D0D92CFF1E2}" name="Fuente de Recursos" dataDxfId="29" dataCellStyle="Normal 2"/>
    <tableColumn id="7" xr3:uid="{00000000-0010-0000-0000-000007000000}" name="Código UNSPSC (cada código separado por ;)" dataDxfId="28" dataCellStyle="Moneda"/>
    <tableColumn id="14" xr3:uid="{00000000-0010-0000-0000-00000E000000}" name="Meta Proyecto de Inversión" dataDxfId="27" dataCellStyle="Normal 2"/>
    <tableColumn id="42" xr3:uid="{42825D5A-D18E-49D3-BB8F-EA1165D885F7}" name="meta objeto" dataDxfId="26" dataCellStyle="Normal 2">
      <calculatedColumnFormula>MID(PAA[[#This Row],[Meta Proyecto de Inversión]],1,4)</calculatedColumnFormula>
    </tableColumn>
    <tableColumn id="43" xr3:uid="{84B78E2C-6E64-4CCD-9B0C-3F6A1F27A8AF}" name="meta objeto2" dataDxfId="25" dataCellStyle="Normal 2">
      <calculatedColumnFormula>MID(PAA[[#This Row],[Meta Proyecto de Inversión]],6,1)</calculatedColumnFormula>
    </tableColumn>
    <tableColumn id="15" xr3:uid="{00000000-0010-0000-0000-00000F000000}" name="Bogotá camina segura" dataDxfId="24" dataCellStyle="Normal 2">
      <calculatedColumnFormula>IFERROR(VLOOKUP(N12,TD!$B$50:$F$54,2,0)," ")</calculatedColumnFormula>
    </tableColumn>
    <tableColumn id="16" xr3:uid="{00000000-0010-0000-0000-000010000000}" name="Sector_Programa MGA" dataDxfId="23" dataCellStyle="Normal 2">
      <calculatedColumnFormula>IFERROR(VLOOKUP(N12,TD!$B$50:$F$54,3,0)," ")</calculatedColumnFormula>
    </tableColumn>
    <tableColumn id="17" xr3:uid="{00000000-0010-0000-0000-000011000000}" name="BPIN (AÑO+COD_PROYECTO)" dataDxfId="22" dataCellStyle="Normal 2">
      <calculatedColumnFormula>IFERROR(VLOOKUP(N12,TD!$B$50:$F$54,4,0)," ")</calculatedColumnFormula>
    </tableColumn>
    <tableColumn id="18" xr3:uid="{00000000-0010-0000-0000-000012000000}" name="Producto PMR" dataDxfId="21" dataCellStyle="Normal 2"/>
    <tableColumn id="19" xr3:uid="{00000000-0010-0000-0000-000013000000}" name="Descripción Producto PMR" dataDxfId="20" dataCellStyle="Normal 2"/>
    <tableColumn id="20" xr3:uid="{00000000-0010-0000-0000-000014000000}" name="PMR conca" dataDxfId="19" dataCellStyle="Normal 2">
      <calculatedColumnFormula>CONCATENATE(X12,"-",Y12)</calculatedColumnFormula>
    </tableColumn>
    <tableColumn id="21" xr3:uid="{00000000-0010-0000-0000-000015000000}" name="Producto MGA" dataDxfId="18" dataCellStyle="Normal 2"/>
    <tableColumn id="22" xr3:uid="{00000000-0010-0000-0000-000016000000}" name="Descripción Producto MGA" dataDxfId="17" dataCellStyle="Normal 2"/>
    <tableColumn id="23" xr3:uid="{00000000-0010-0000-0000-000017000000}" name="concatenarMGA" dataDxfId="16" dataCellStyle="Normal 2">
      <calculatedColumnFormula>CONCATENATE(AA12,"_",AB12)</calculatedColumnFormula>
    </tableColumn>
    <tableColumn id="24" xr3:uid="{00000000-0010-0000-0000-000018000000}" name="PM MGA conca" dataDxfId="15" dataCellStyle="Normal 2">
      <calculatedColumnFormula>CONCATENATE(Z12," ",AC12)</calculatedColumnFormula>
    </tableColumn>
    <tableColumn id="25" xr3:uid="{00000000-0010-0000-0000-000019000000}" name="Código de proyecto de inversión, asociado a productos PMR y MGA" dataDxfId="14" dataCellStyle="Normal 2">
      <calculatedColumnFormula>CONCATENATE(U12,V12,W12,X12,AA12)</calculatedColumnFormula>
    </tableColumn>
    <tableColumn id="26" xr3:uid="{00000000-0010-0000-0000-00001A000000}" name="codigo PEP" dataDxfId="13" dataCellStyle="Normal 2"/>
    <tableColumn id="27" xr3:uid="{00000000-0010-0000-0000-00001B000000}" name="POSPRE" dataDxfId="12" dataCellStyle="Millares"/>
    <tableColumn id="28" xr3:uid="{00000000-0010-0000-0000-00001C000000}" name="Si Secop / No Secop" dataDxfId="11" dataCellStyle="Normal 2"/>
    <tableColumn id="41" xr3:uid="{9A77615E-E441-4C5E-9871-62C3FAF4DAF0}" name="Objeto de contratacion CDP" dataDxfId="10">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mailto:Subdirector@%20de%20Gesti&#243;n%20del%20Riesgo" TargetMode="External"/><Relationship Id="rId13"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hyperlink" Target="mailto:Subdirector@%20de%20Gesti&#243;n%20Corporativa" TargetMode="External"/><Relationship Id="rId12"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11" Type="http://schemas.openxmlformats.org/officeDocument/2006/relationships/hyperlink" Target="mailto:Subdirector@%20de%20Gesti&#243;n%20del%20Riesgo" TargetMode="External"/><Relationship Id="rId5" Type="http://schemas.openxmlformats.org/officeDocument/2006/relationships/hyperlink" Target="mailto:Subdirector@%20de%20Gesti&#243;n%20del%20Riesgo" TargetMode="External"/><Relationship Id="rId15" Type="http://schemas.openxmlformats.org/officeDocument/2006/relationships/table" Target="../tables/table1.xml"/><Relationship Id="rId10" Type="http://schemas.openxmlformats.org/officeDocument/2006/relationships/hyperlink" Target="mailto:Subdirector@%20de%20Gesti&#243;n%20del%20Riesgo" TargetMode="External"/><Relationship Id="rId4" Type="http://schemas.openxmlformats.org/officeDocument/2006/relationships/hyperlink" Target="mailto:Subdirector@%20de%20Gesti&#243;n%20del%20Riesgo" TargetMode="External"/><Relationship Id="rId9" Type="http://schemas.openxmlformats.org/officeDocument/2006/relationships/hyperlink" Target="mailto:Subdirector@%20de%20Gesti&#243;n%20del%20Riesg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18E8-27BC-49E5-B675-604BFDDC98DE}">
  <dimension ref="A1:G19"/>
  <sheetViews>
    <sheetView topLeftCell="B1" zoomScale="85" zoomScaleNormal="85" workbookViewId="0">
      <selection activeCell="F14" sqref="F14"/>
    </sheetView>
  </sheetViews>
  <sheetFormatPr baseColWidth="10" defaultColWidth="38.90625" defaultRowHeight="14.5" x14ac:dyDescent="0.35"/>
  <cols>
    <col min="1" max="1" width="37.90625" customWidth="1"/>
    <col min="2" max="5" width="19.08984375" style="124" customWidth="1"/>
    <col min="6" max="6" width="30.1796875" style="124" bestFit="1" customWidth="1"/>
    <col min="7" max="7" width="38.08984375" style="124" bestFit="1" customWidth="1"/>
  </cols>
  <sheetData>
    <row r="1" spans="1:7" x14ac:dyDescent="0.35">
      <c r="F1" s="57" t="s">
        <v>368</v>
      </c>
      <c r="G1" s="58" t="s">
        <v>1013</v>
      </c>
    </row>
    <row r="2" spans="1:7" x14ac:dyDescent="0.35">
      <c r="A2" s="57" t="s">
        <v>364</v>
      </c>
      <c r="B2" s="58" t="s">
        <v>977</v>
      </c>
      <c r="F2"/>
    </row>
    <row r="3" spans="1:7" x14ac:dyDescent="0.35">
      <c r="F3" s="57" t="s">
        <v>346</v>
      </c>
      <c r="G3" s="58" t="s">
        <v>563</v>
      </c>
    </row>
    <row r="4" spans="1:7" x14ac:dyDescent="0.35">
      <c r="A4" s="57" t="s">
        <v>563</v>
      </c>
      <c r="B4" s="125" t="s">
        <v>1040</v>
      </c>
      <c r="C4" s="58"/>
      <c r="D4" s="58"/>
      <c r="E4"/>
      <c r="F4" s="219" t="s">
        <v>161</v>
      </c>
      <c r="G4" s="58">
        <v>213419000</v>
      </c>
    </row>
    <row r="5" spans="1:7" x14ac:dyDescent="0.35">
      <c r="A5" s="57" t="s">
        <v>346</v>
      </c>
      <c r="B5" s="58" t="s">
        <v>197</v>
      </c>
      <c r="C5" s="58" t="s">
        <v>198</v>
      </c>
      <c r="D5" s="58" t="s">
        <v>347</v>
      </c>
      <c r="E5"/>
      <c r="F5" s="219" t="s">
        <v>551</v>
      </c>
      <c r="G5" s="58">
        <v>8000000000</v>
      </c>
    </row>
    <row r="6" spans="1:7" x14ac:dyDescent="0.35">
      <c r="A6" s="219" t="s">
        <v>45</v>
      </c>
      <c r="B6" s="58">
        <v>1728621317</v>
      </c>
      <c r="C6" s="58"/>
      <c r="D6" s="58">
        <v>1728621317</v>
      </c>
      <c r="E6"/>
      <c r="F6" s="219" t="s">
        <v>348</v>
      </c>
      <c r="G6" s="58">
        <v>52444763225</v>
      </c>
    </row>
    <row r="7" spans="1:7" x14ac:dyDescent="0.35">
      <c r="A7" s="219" t="s">
        <v>150</v>
      </c>
      <c r="B7" s="58">
        <v>969477500</v>
      </c>
      <c r="C7" s="58"/>
      <c r="D7" s="58">
        <v>969477500</v>
      </c>
      <c r="E7"/>
      <c r="F7" s="219" t="s">
        <v>162</v>
      </c>
      <c r="G7" s="58">
        <v>362219775</v>
      </c>
    </row>
    <row r="8" spans="1:7" x14ac:dyDescent="0.35">
      <c r="A8" s="219" t="s">
        <v>151</v>
      </c>
      <c r="B8" s="58">
        <v>5355873914</v>
      </c>
      <c r="C8" s="58"/>
      <c r="D8" s="58">
        <v>5355873914</v>
      </c>
      <c r="E8"/>
      <c r="F8" s="219" t="s">
        <v>566</v>
      </c>
      <c r="G8" s="58">
        <v>6914369000</v>
      </c>
    </row>
    <row r="9" spans="1:7" x14ac:dyDescent="0.35">
      <c r="A9" s="219" t="s">
        <v>36</v>
      </c>
      <c r="B9" s="58">
        <v>1611597086</v>
      </c>
      <c r="C9" s="58"/>
      <c r="D9" s="58">
        <v>1611597086</v>
      </c>
      <c r="E9"/>
      <c r="F9" s="219" t="s">
        <v>347</v>
      </c>
      <c r="G9" s="58">
        <v>67934771000</v>
      </c>
    </row>
    <row r="10" spans="1:7" x14ac:dyDescent="0.35">
      <c r="A10" s="219" t="s">
        <v>46</v>
      </c>
      <c r="B10" s="58">
        <v>844231997</v>
      </c>
      <c r="C10" s="58"/>
      <c r="D10" s="58">
        <v>844231997</v>
      </c>
      <c r="E10"/>
      <c r="F10"/>
      <c r="G10"/>
    </row>
    <row r="11" spans="1:7" x14ac:dyDescent="0.35">
      <c r="A11" s="219" t="s">
        <v>152</v>
      </c>
      <c r="B11" s="58">
        <v>516969186</v>
      </c>
      <c r="C11" s="58"/>
      <c r="D11" s="58">
        <v>516969186</v>
      </c>
      <c r="E11"/>
      <c r="F11"/>
    </row>
    <row r="12" spans="1:7" x14ac:dyDescent="0.35">
      <c r="A12" s="219" t="s">
        <v>153</v>
      </c>
      <c r="B12" s="58">
        <v>2105100000</v>
      </c>
      <c r="C12" s="58"/>
      <c r="D12" s="58">
        <v>2105100000</v>
      </c>
      <c r="E12"/>
      <c r="F12"/>
    </row>
    <row r="13" spans="1:7" x14ac:dyDescent="0.35">
      <c r="A13" s="219" t="s">
        <v>155</v>
      </c>
      <c r="B13" s="58">
        <v>9735594000</v>
      </c>
      <c r="C13" s="58">
        <v>12667306000</v>
      </c>
      <c r="D13" s="58">
        <v>22402900000</v>
      </c>
      <c r="E13"/>
      <c r="F13"/>
    </row>
    <row r="14" spans="1:7" x14ac:dyDescent="0.35">
      <c r="A14" s="219" t="s">
        <v>154</v>
      </c>
      <c r="B14" s="58">
        <v>2300000000</v>
      </c>
      <c r="C14" s="58">
        <v>3175930000</v>
      </c>
      <c r="D14" s="58">
        <v>5475930000</v>
      </c>
      <c r="E14"/>
      <c r="F14"/>
    </row>
    <row r="15" spans="1:7" x14ac:dyDescent="0.35">
      <c r="A15" s="219" t="s">
        <v>156</v>
      </c>
      <c r="B15" s="58"/>
      <c r="C15" s="58">
        <v>4500000000</v>
      </c>
      <c r="D15" s="58">
        <v>4500000000</v>
      </c>
      <c r="E15"/>
      <c r="F15"/>
    </row>
    <row r="16" spans="1:7" x14ac:dyDescent="0.35">
      <c r="A16" s="219" t="s">
        <v>157</v>
      </c>
      <c r="B16" s="58"/>
      <c r="C16" s="58">
        <v>11184070000</v>
      </c>
      <c r="D16" s="58">
        <v>11184070000</v>
      </c>
      <c r="E16"/>
      <c r="F16"/>
    </row>
    <row r="17" spans="1:6" x14ac:dyDescent="0.35">
      <c r="A17" s="219" t="s">
        <v>158</v>
      </c>
      <c r="B17" s="58"/>
      <c r="C17" s="58">
        <v>11240000000</v>
      </c>
      <c r="D17" s="58">
        <v>11240000000</v>
      </c>
      <c r="E17"/>
      <c r="F17"/>
    </row>
    <row r="18" spans="1:6" x14ac:dyDescent="0.35">
      <c r="A18" s="219" t="s">
        <v>347</v>
      </c>
      <c r="B18" s="58">
        <v>25167465000</v>
      </c>
      <c r="C18" s="58">
        <v>42767306000</v>
      </c>
      <c r="D18" s="58">
        <v>67934771000</v>
      </c>
      <c r="E18"/>
      <c r="F18"/>
    </row>
    <row r="19" spans="1:6" x14ac:dyDescent="0.35">
      <c r="F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83"/>
  <sheetViews>
    <sheetView showGridLines="0" tabSelected="1" topLeftCell="B11" zoomScale="70" zoomScaleNormal="70" zoomScaleSheetLayoutView="55" workbookViewId="0">
      <selection activeCell="C14" sqref="C14"/>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4.179687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23"/>
      <c r="C2" s="223"/>
      <c r="D2" s="223"/>
      <c r="E2" s="223"/>
      <c r="F2" s="223"/>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22" t="s">
        <v>66</v>
      </c>
      <c r="G3" s="222"/>
      <c r="H3" s="222"/>
      <c r="I3" s="222"/>
      <c r="J3" s="222"/>
      <c r="K3" s="222"/>
      <c r="L3" s="222"/>
      <c r="M3" s="222"/>
      <c r="N3" s="146" t="s">
        <v>67</v>
      </c>
      <c r="O3" s="147">
        <v>2026</v>
      </c>
      <c r="P3" s="62"/>
      <c r="Q3" s="63"/>
      <c r="R3" s="64"/>
      <c r="S3" s="64"/>
      <c r="T3" s="64"/>
      <c r="Y3" s="75"/>
      <c r="Z3" s="76"/>
      <c r="AA3" s="74"/>
      <c r="AC3" s="62"/>
      <c r="AD3" s="74"/>
      <c r="AE3" s="74"/>
      <c r="AF3" s="62"/>
      <c r="AG3" s="116"/>
    </row>
    <row r="4" spans="1:35" s="65" customFormat="1" ht="15.5" x14ac:dyDescent="0.35">
      <c r="C4" s="84"/>
      <c r="F4" s="222" t="s">
        <v>359</v>
      </c>
      <c r="G4" s="222"/>
      <c r="H4" s="222"/>
      <c r="I4" s="222"/>
      <c r="J4" s="222"/>
      <c r="K4" s="222"/>
      <c r="L4" s="222"/>
      <c r="M4" s="222"/>
      <c r="N4" s="60"/>
      <c r="O4" s="61"/>
      <c r="P4" s="62"/>
      <c r="Q4" s="63"/>
      <c r="R4" s="64"/>
      <c r="S4" s="64"/>
      <c r="T4" s="64"/>
      <c r="Y4" s="75"/>
      <c r="Z4" s="76"/>
      <c r="AA4" s="74"/>
      <c r="AC4" s="62"/>
      <c r="AD4" s="74"/>
      <c r="AE4" s="74"/>
      <c r="AF4" s="62"/>
      <c r="AG4" s="116"/>
    </row>
    <row r="5" spans="1:35" s="65" customFormat="1" ht="15.5" x14ac:dyDescent="0.35">
      <c r="C5" s="84"/>
      <c r="F5" s="222" t="s">
        <v>358</v>
      </c>
      <c r="G5" s="222"/>
      <c r="H5" s="222"/>
      <c r="I5" s="222"/>
      <c r="J5" s="222"/>
      <c r="K5" s="222"/>
      <c r="L5" s="222"/>
      <c r="M5" s="222"/>
      <c r="N5" s="224" t="s">
        <v>553</v>
      </c>
      <c r="O5" s="224"/>
      <c r="P5" s="224"/>
      <c r="Q5" s="98">
        <f ca="1">IFERROR(SUMIF($N$12:$N$1972,"8126-Fortalecimiento institucional de la UAECOB para un gobierno confiable Bogotá D.C.",PAA[Valor apropiacion vigencia actual]),0)</f>
        <v>25167465000</v>
      </c>
      <c r="R5" s="123" t="s">
        <v>286</v>
      </c>
      <c r="S5" s="67"/>
      <c r="T5" s="67"/>
      <c r="U5" s="97">
        <f>IFERROR(SUMIF($N$12:$N$683,"131- Funcionamiento",PAA[Valor apropiacion vigencia actual]),0)</f>
        <v>15291910000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22" t="s">
        <v>1033</v>
      </c>
      <c r="G6" s="222"/>
      <c r="H6" s="222"/>
      <c r="I6" s="222"/>
      <c r="J6" s="222"/>
      <c r="K6" s="222"/>
      <c r="L6" s="222"/>
      <c r="M6" s="222"/>
      <c r="N6" s="224" t="s">
        <v>554</v>
      </c>
      <c r="O6" s="224"/>
      <c r="P6" s="224"/>
      <c r="Q6" s="98">
        <f ca="1">IFERROR(SUMIF($N$12:$N$1972,"8173-Modernización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22" t="s">
        <v>1041</v>
      </c>
      <c r="G7" s="222"/>
      <c r="H7" s="222"/>
      <c r="I7" s="222"/>
      <c r="J7" s="222"/>
      <c r="K7" s="222"/>
      <c r="L7" s="222"/>
      <c r="M7" s="222"/>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555</v>
      </c>
      <c r="O8" s="70">
        <f ca="1">+Q5+Q6</f>
        <v>67934771000</v>
      </c>
      <c r="P8" s="62"/>
      <c r="Q8" s="66" t="s">
        <v>287</v>
      </c>
      <c r="R8" s="71">
        <f ca="1">+U5+O8</f>
        <v>83226681000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52" customFormat="1" ht="28" x14ac:dyDescent="0.35">
      <c r="B12" s="196">
        <v>20260053</v>
      </c>
      <c r="C12" s="188" t="s">
        <v>595</v>
      </c>
      <c r="D12" s="196" t="s">
        <v>105</v>
      </c>
      <c r="E12" s="196" t="s">
        <v>402</v>
      </c>
      <c r="F12" s="202" t="s">
        <v>143</v>
      </c>
      <c r="G12" s="189" t="s">
        <v>376</v>
      </c>
      <c r="H12" s="199">
        <v>12</v>
      </c>
      <c r="I12" s="199">
        <v>0</v>
      </c>
      <c r="J12" s="200">
        <v>448870000</v>
      </c>
      <c r="K12" s="201" t="s">
        <v>398</v>
      </c>
      <c r="L12" s="202" t="s">
        <v>151</v>
      </c>
      <c r="M12" s="203" t="s">
        <v>401</v>
      </c>
      <c r="N12" s="196" t="s">
        <v>330</v>
      </c>
      <c r="O12" s="194" t="s">
        <v>925</v>
      </c>
      <c r="P12" s="202" t="s">
        <v>161</v>
      </c>
      <c r="Q12" s="204">
        <v>81112100</v>
      </c>
      <c r="R12" s="203" t="s">
        <v>331</v>
      </c>
      <c r="S12" s="162" t="str">
        <f>MID(PAA[[#This Row],[Meta Proyecto de Inversión]],1,4)</f>
        <v>No a</v>
      </c>
      <c r="T12" s="162" t="str">
        <f>MID(PAA[[#This Row],[Meta Proyecto de Inversión]],6,1)</f>
        <v>l</v>
      </c>
      <c r="U12" s="187" t="str">
        <f>IFERROR(VLOOKUP(N12,TD!$B$50:$F$54,2,0)," ")</f>
        <v>NA</v>
      </c>
      <c r="V12" s="187" t="str">
        <f>IFERROR(VLOOKUP(N12,TD!$B$50:$F$54,3,0)," ")</f>
        <v>NA</v>
      </c>
      <c r="W12" s="187" t="str">
        <f>IFERROR(VLOOKUP(N12,TD!$B$50:$F$54,4,0)," ")</f>
        <v>NA</v>
      </c>
      <c r="X12" s="203" t="s">
        <v>335</v>
      </c>
      <c r="Y12" s="187" t="str">
        <f>IFERROR(VLOOKUP(X12,TD!$J$51:$K$64,2,0)," ")</f>
        <v>N/A</v>
      </c>
      <c r="Z12" s="164" t="str">
        <f t="shared" ref="Z12:Z75" si="0">CONCATENATE(X12,"-",Y12)</f>
        <v>N/A-N/A</v>
      </c>
      <c r="AA12" s="203" t="s">
        <v>335</v>
      </c>
      <c r="AB12" s="187" t="str">
        <f>IFERROR(VLOOKUP(AA12,TD!$N$51:$O$66,2,0)," ")</f>
        <v>N/A</v>
      </c>
      <c r="AC12" s="164" t="str">
        <f t="shared" ref="AC12:AC75" si="1">CONCATENATE(AA12,"_",AB12)</f>
        <v>N/A_N/A</v>
      </c>
      <c r="AD12" s="164" t="str">
        <f t="shared" ref="AD12:AD75" si="2">CONCATENATE(Z12," ",AC12)</f>
        <v>N/A-N/A N/A_N/A</v>
      </c>
      <c r="AE12" s="187" t="str">
        <f t="shared" ref="AE12:AE75" si="3">CONCATENATE(U12,V12,W12,X12,AA12)</f>
        <v>NANANAN/AN/A</v>
      </c>
      <c r="AF12" s="187" t="str">
        <f>IFERROR(VLOOKUP(AD12,TD!$J$66:$K$89,2,0)," ")</f>
        <v>N/A</v>
      </c>
      <c r="AG12" s="191" t="s">
        <v>344</v>
      </c>
      <c r="AH12" s="203" t="s">
        <v>193</v>
      </c>
      <c r="AI12" s="207" t="str">
        <f>CONCATENATE(PAA[[#This Row],[Id Interno]],"-",PAA[[#This Row],[tipo de Contrato (TH talento humano - B/S bienes y/o servicios)]],"-",S12,"-",T12,"-",PAA[[#This Row],[Objeto de la contratación]])</f>
        <v>20260053-BS-No a-l-Contratar los servicios de canales de datos dedicados para la UAE Cuerpo Oficial de Bomberos de Bogotá-TIC</v>
      </c>
    </row>
    <row r="13" spans="1:35" s="152" customFormat="1" ht="70" x14ac:dyDescent="0.35">
      <c r="B13" s="196">
        <v>20260187</v>
      </c>
      <c r="C13" s="188" t="s">
        <v>474</v>
      </c>
      <c r="D13" s="196" t="s">
        <v>119</v>
      </c>
      <c r="E13" s="196" t="s">
        <v>402</v>
      </c>
      <c r="F13" s="202" t="s">
        <v>89</v>
      </c>
      <c r="G13" s="189" t="s">
        <v>374</v>
      </c>
      <c r="H13" s="199">
        <v>11</v>
      </c>
      <c r="I13" s="199">
        <v>0</v>
      </c>
      <c r="J13" s="200">
        <v>280000000</v>
      </c>
      <c r="K13" s="201" t="s">
        <v>398</v>
      </c>
      <c r="L13" s="202" t="s">
        <v>154</v>
      </c>
      <c r="M13" s="203" t="s">
        <v>448</v>
      </c>
      <c r="N13" s="196" t="s">
        <v>198</v>
      </c>
      <c r="O13" s="194" t="s">
        <v>926</v>
      </c>
      <c r="P13" s="202" t="s">
        <v>348</v>
      </c>
      <c r="Q13" s="204">
        <v>90121800</v>
      </c>
      <c r="R13" s="203" t="s">
        <v>218</v>
      </c>
      <c r="S13" s="162" t="str">
        <f>MID(PAA[[#This Row],[Meta Proyecto de Inversión]],1,4)</f>
        <v>8173</v>
      </c>
      <c r="T13" s="162" t="str">
        <f>MID(PAA[[#This Row],[Meta Proyecto de Inversión]],6,1)</f>
        <v>9</v>
      </c>
      <c r="U13" s="187" t="str">
        <f>IFERROR(VLOOKUP(N13,TD!$B$50:$F$54,2,0)," ")</f>
        <v>O230117</v>
      </c>
      <c r="V13" s="187" t="str">
        <f>IFERROR(VLOOKUP(N13,TD!$B$50:$F$54,3,0)," ")</f>
        <v>4503</v>
      </c>
      <c r="W13" s="187">
        <f>IFERROR(VLOOKUP(N13,TD!$B$50:$F$54,4,0)," ")</f>
        <v>20240255</v>
      </c>
      <c r="X13" s="203" t="s">
        <v>172</v>
      </c>
      <c r="Y13" s="187" t="str">
        <f>IFERROR(VLOOKUP(X13,TD!$J$51:$K$64,2,0)," ")</f>
        <v>Servicio de formación en gestión del riesgo de incendios para el personal UAECOB</v>
      </c>
      <c r="Z13" s="164" t="str">
        <f t="shared" si="0"/>
        <v>07-Servicio de formación en gestión del riesgo de incendios para el personal UAECOB</v>
      </c>
      <c r="AA13" s="193" t="s">
        <v>222</v>
      </c>
      <c r="AB13" s="187" t="str">
        <f>IFERROR(VLOOKUP(AA13,TD!$N$51:$O$66,2,0)," ")</f>
        <v>Servicio de educación informal</v>
      </c>
      <c r="AC13" s="164" t="str">
        <f t="shared" si="1"/>
        <v>002_Servicio de educación informal</v>
      </c>
      <c r="AD13" s="164" t="str">
        <f t="shared" si="2"/>
        <v>07-Servicio de formación en gestión del riesgo de incendios para el personal UAECOB 002_Servicio de educación informal</v>
      </c>
      <c r="AE13" s="187" t="str">
        <f t="shared" si="3"/>
        <v>O23011745032024025507002</v>
      </c>
      <c r="AF13" s="187" t="str">
        <f>IFERROR(VLOOKUP(AD13,TD!$J$66:$K$89,2,0)," ")</f>
        <v>PM/0131/0107/45030020255</v>
      </c>
      <c r="AG13" s="191" t="s">
        <v>562</v>
      </c>
      <c r="AH13" s="203" t="s">
        <v>193</v>
      </c>
      <c r="AI13" s="207" t="str">
        <f>CONCATENATE(PAA[[#This Row],[Id Interno]],"-",PAA[[#This Row],[tipo de Contrato (TH talento humano - B/S bienes y/o servicios)]],"-",S13,"-",T13,"-",PAA[[#This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14" spans="1:35" s="152" customFormat="1" ht="98" x14ac:dyDescent="0.35">
      <c r="B14" s="196">
        <v>20260188</v>
      </c>
      <c r="C14" s="188" t="s">
        <v>636</v>
      </c>
      <c r="D14" s="196" t="s">
        <v>83</v>
      </c>
      <c r="E14" s="196" t="s">
        <v>402</v>
      </c>
      <c r="F14" s="202" t="s">
        <v>101</v>
      </c>
      <c r="G14" s="189" t="s">
        <v>375</v>
      </c>
      <c r="H14" s="199">
        <v>4</v>
      </c>
      <c r="I14" s="199">
        <v>0</v>
      </c>
      <c r="J14" s="200">
        <v>200000000</v>
      </c>
      <c r="K14" s="201" t="s">
        <v>398</v>
      </c>
      <c r="L14" s="202" t="s">
        <v>154</v>
      </c>
      <c r="M14" s="203" t="s">
        <v>448</v>
      </c>
      <c r="N14" s="196" t="s">
        <v>198</v>
      </c>
      <c r="O14" s="194" t="s">
        <v>926</v>
      </c>
      <c r="P14" s="202" t="s">
        <v>348</v>
      </c>
      <c r="Q14" s="204" t="s">
        <v>477</v>
      </c>
      <c r="R14" s="203" t="s">
        <v>218</v>
      </c>
      <c r="S14" s="162" t="str">
        <f>MID(PAA[[#This Row],[Meta Proyecto de Inversión]],1,4)</f>
        <v>8173</v>
      </c>
      <c r="T14" s="162" t="str">
        <f>MID(PAA[[#This Row],[Meta Proyecto de Inversión]],6,1)</f>
        <v>9</v>
      </c>
      <c r="U14" s="187" t="str">
        <f>IFERROR(VLOOKUP(N14,TD!$B$50:$F$54,2,0)," ")</f>
        <v>O230117</v>
      </c>
      <c r="V14" s="187" t="str">
        <f>IFERROR(VLOOKUP(N14,TD!$B$50:$F$54,3,0)," ")</f>
        <v>4503</v>
      </c>
      <c r="W14" s="187">
        <f>IFERROR(VLOOKUP(N14,TD!$B$50:$F$54,4,0)," ")</f>
        <v>20240255</v>
      </c>
      <c r="X14" s="203" t="s">
        <v>172</v>
      </c>
      <c r="Y14" s="187" t="str">
        <f>IFERROR(VLOOKUP(X14,TD!$J$51:$K$64,2,0)," ")</f>
        <v>Servicio de formación en gestión del riesgo de incendios para el personal UAECOB</v>
      </c>
      <c r="Z14" s="164" t="str">
        <f t="shared" si="0"/>
        <v>07-Servicio de formación en gestión del riesgo de incendios para el personal UAECOB</v>
      </c>
      <c r="AA14" s="193" t="s">
        <v>222</v>
      </c>
      <c r="AB14" s="187" t="str">
        <f>IFERROR(VLOOKUP(AA14,TD!$N$51:$O$66,2,0)," ")</f>
        <v>Servicio de educación informal</v>
      </c>
      <c r="AC14" s="164" t="str">
        <f t="shared" si="1"/>
        <v>002_Servicio de educación informal</v>
      </c>
      <c r="AD14" s="164" t="str">
        <f t="shared" si="2"/>
        <v>07-Servicio de formación en gestión del riesgo de incendios para el personal UAECOB 002_Servicio de educación informal</v>
      </c>
      <c r="AE14" s="187" t="str">
        <f t="shared" si="3"/>
        <v>O23011745032024025507002</v>
      </c>
      <c r="AF14" s="187" t="str">
        <f>IFERROR(VLOOKUP(AD14,TD!$J$66:$K$89,2,0)," ")</f>
        <v>PM/0131/0107/45030020255</v>
      </c>
      <c r="AG14" s="191" t="s">
        <v>94</v>
      </c>
      <c r="AH14" s="203" t="s">
        <v>193</v>
      </c>
      <c r="AI14" s="207" t="str">
        <f>CONCATENATE(PAA[[#This Row],[Id Interno]],"-",PAA[[#This Row],[tipo de Contrato (TH talento humano - B/S bienes y/o servicios)]],"-",S14,"-",T14,"-",PAA[[#This Row],[Objeto de la contratación]])</f>
        <v>20260188-BS-8173-9-SGH - Adecuación de escenarios necesarios para el desarrollo de procesos de formación, capacitación y entrenamiento del personal operativo de la UAE Cuerpo Oficial de Bomberos de Bogotá.</v>
      </c>
    </row>
    <row r="15" spans="1:35" s="152" customFormat="1" ht="168" x14ac:dyDescent="0.35">
      <c r="B15" s="196">
        <v>20260189</v>
      </c>
      <c r="C15" s="188" t="s">
        <v>637</v>
      </c>
      <c r="D15" s="196" t="s">
        <v>88</v>
      </c>
      <c r="E15" s="196" t="s">
        <v>402</v>
      </c>
      <c r="F15" s="202" t="s">
        <v>101</v>
      </c>
      <c r="G15" s="189" t="s">
        <v>375</v>
      </c>
      <c r="H15" s="199">
        <v>6</v>
      </c>
      <c r="I15" s="199">
        <v>0</v>
      </c>
      <c r="J15" s="200">
        <v>200000000</v>
      </c>
      <c r="K15" s="201" t="s">
        <v>398</v>
      </c>
      <c r="L15" s="202" t="s">
        <v>154</v>
      </c>
      <c r="M15" s="203" t="s">
        <v>448</v>
      </c>
      <c r="N15" s="196" t="s">
        <v>198</v>
      </c>
      <c r="O15" s="194" t="s">
        <v>926</v>
      </c>
      <c r="P15" s="202" t="s">
        <v>348</v>
      </c>
      <c r="Q15" s="204" t="s">
        <v>478</v>
      </c>
      <c r="R15" s="203" t="s">
        <v>218</v>
      </c>
      <c r="S15" s="162" t="str">
        <f>MID(PAA[[#This Row],[Meta Proyecto de Inversión]],1,4)</f>
        <v>8173</v>
      </c>
      <c r="T15" s="162" t="str">
        <f>MID(PAA[[#This Row],[Meta Proyecto de Inversión]],6,1)</f>
        <v>9</v>
      </c>
      <c r="U15" s="187" t="str">
        <f>IFERROR(VLOOKUP(N15,TD!$B$50:$F$54,2,0)," ")</f>
        <v>O230117</v>
      </c>
      <c r="V15" s="187" t="str">
        <f>IFERROR(VLOOKUP(N15,TD!$B$50:$F$54,3,0)," ")</f>
        <v>4503</v>
      </c>
      <c r="W15" s="187">
        <f>IFERROR(VLOOKUP(N15,TD!$B$50:$F$54,4,0)," ")</f>
        <v>20240255</v>
      </c>
      <c r="X15" s="203" t="s">
        <v>172</v>
      </c>
      <c r="Y15" s="187" t="str">
        <f>IFERROR(VLOOKUP(X15,TD!$J$51:$K$64,2,0)," ")</f>
        <v>Servicio de formación en gestión del riesgo de incendios para el personal UAECOB</v>
      </c>
      <c r="Z15" s="164" t="str">
        <f t="shared" si="0"/>
        <v>07-Servicio de formación en gestión del riesgo de incendios para el personal UAECOB</v>
      </c>
      <c r="AA15" s="193" t="s">
        <v>222</v>
      </c>
      <c r="AB15" s="187" t="str">
        <f>IFERROR(VLOOKUP(AA15,TD!$N$51:$O$66,2,0)," ")</f>
        <v>Servicio de educación informal</v>
      </c>
      <c r="AC15" s="164" t="str">
        <f t="shared" si="1"/>
        <v>002_Servicio de educación informal</v>
      </c>
      <c r="AD15" s="164" t="str">
        <f t="shared" si="2"/>
        <v>07-Servicio de formación en gestión del riesgo de incendios para el personal UAECOB 002_Servicio de educación informal</v>
      </c>
      <c r="AE15" s="187" t="str">
        <f t="shared" si="3"/>
        <v>O23011745032024025507002</v>
      </c>
      <c r="AF15" s="187" t="str">
        <f>IFERROR(VLOOKUP(AD15,TD!$J$66:$K$89,2,0)," ")</f>
        <v>PM/0131/0107/45030020255</v>
      </c>
      <c r="AG15" s="191" t="s">
        <v>904</v>
      </c>
      <c r="AH15" s="203" t="s">
        <v>193</v>
      </c>
      <c r="AI15" s="207" t="str">
        <f>CONCATENATE(PAA[[#This Row],[Id Interno]],"-",PAA[[#This Row],[tipo de Contrato (TH talento humano - B/S bienes y/o servicios)]],"-",S15,"-",T15,"-",PAA[[#This Row],[Objeto de la contratación]])</f>
        <v>20260189-BS-8173-9-SGH - Adquisición de Equipos y Herramientas para los procesos de Capacitación a cargo de la Academia de la UAE Cuerpo Oficial de Bomberos de Bogotá</v>
      </c>
    </row>
    <row r="16" spans="1:35" s="152" customFormat="1" ht="84" x14ac:dyDescent="0.35">
      <c r="B16" s="188">
        <v>20260197</v>
      </c>
      <c r="C16" s="188" t="s">
        <v>1039</v>
      </c>
      <c r="D16" s="188" t="s">
        <v>88</v>
      </c>
      <c r="E16" s="188" t="s">
        <v>402</v>
      </c>
      <c r="F16" s="189" t="s">
        <v>111</v>
      </c>
      <c r="G16" s="189" t="s">
        <v>378</v>
      </c>
      <c r="H16" s="190">
        <v>12</v>
      </c>
      <c r="I16" s="190">
        <v>0</v>
      </c>
      <c r="J16" s="191">
        <v>102400000</v>
      </c>
      <c r="K16" s="192" t="s">
        <v>398</v>
      </c>
      <c r="L16" s="189" t="s">
        <v>157</v>
      </c>
      <c r="M16" s="193" t="s">
        <v>495</v>
      </c>
      <c r="N16" s="188" t="s">
        <v>198</v>
      </c>
      <c r="O16" s="194" t="s">
        <v>926</v>
      </c>
      <c r="P16" s="189" t="s">
        <v>348</v>
      </c>
      <c r="Q16" s="195">
        <v>25172500</v>
      </c>
      <c r="R16" s="193" t="s">
        <v>213</v>
      </c>
      <c r="S16" s="162" t="str">
        <f>MID(PAA[[#This Row],[Meta Proyecto de Inversión]],1,4)</f>
        <v>8173</v>
      </c>
      <c r="T16" s="162" t="str">
        <f>MID(PAA[[#This Row],[Meta Proyecto de Inversión]],6,1)</f>
        <v>4</v>
      </c>
      <c r="U16" s="205" t="str">
        <f>IFERROR(VLOOKUP(N16,TD!$B$50:$F$54,2,0)," ")</f>
        <v>O230117</v>
      </c>
      <c r="V16" s="205" t="str">
        <f>IFERROR(VLOOKUP(N16,TD!$B$50:$F$54,3,0)," ")</f>
        <v>4503</v>
      </c>
      <c r="W16" s="205">
        <f>IFERROR(VLOOKUP(N16,TD!$B$50:$F$54,4,0)," ")</f>
        <v>20240255</v>
      </c>
      <c r="X16" s="193" t="s">
        <v>176</v>
      </c>
      <c r="Y16" s="205" t="str">
        <f>IFERROR(VLOOKUP(X16,TD!$J$51:$K$64,2,0)," ")</f>
        <v>Servicio de mantenimiento, dotación (HEA´s y equipo menor) y adquisición de vehiculos   especializados para la atención de emergencias.</v>
      </c>
      <c r="Z16" s="164" t="str">
        <f t="shared" si="0"/>
        <v>09-Servicio de mantenimiento, dotación (HEA´s y equipo menor) y adquisición de vehiculos   especializados para la atención de emergencias.</v>
      </c>
      <c r="AA16" s="193" t="s">
        <v>221</v>
      </c>
      <c r="AB16" s="205" t="str">
        <f>IFERROR(VLOOKUP(AA16,TD!$N$51:$O$66,2,0)," ")</f>
        <v>Servicio de atención a emergencias y desastres</v>
      </c>
      <c r="AC16" s="164" t="str">
        <f t="shared" si="1"/>
        <v>004_Servicio de atención a emergencias y desastres</v>
      </c>
      <c r="AD16" s="164" t="str">
        <f t="shared" si="2"/>
        <v>09-Servicio de mantenimiento, dotación (HEA´s y equipo menor) y adquisición de vehiculos   especializados para la atención de emergencias. 004_Servicio de atención a emergencias y desastres</v>
      </c>
      <c r="AE16" s="205" t="str">
        <f t="shared" si="3"/>
        <v>O23011745032024025509004</v>
      </c>
      <c r="AF16" s="205" t="str">
        <f>IFERROR(VLOOKUP(AD16,TD!$J$66:$K$89,2,0)," ")</f>
        <v>PM/0131/0109/45030040255</v>
      </c>
      <c r="AG16" s="191" t="s">
        <v>564</v>
      </c>
      <c r="AH16" s="193" t="s">
        <v>193</v>
      </c>
      <c r="AI16" s="206" t="str">
        <f>CONCATENATE(PAA[[#This Row],[Id Interno]],"-",PAA[[#This Row],[tipo de Contrato (TH talento humano - B/S bienes y/o servicios)]],"-",S16,"-",T16,"-",PAA[[#This Row],[Objeto de la contratación]])</f>
        <v>20260197-BS-8173-4-Suministro e instalación de llantas para los vehículos incluye (alineación, balanceo y servicios conexos).</v>
      </c>
    </row>
    <row r="17" spans="2:35" s="152" customFormat="1" ht="140" x14ac:dyDescent="0.35">
      <c r="B17" s="188">
        <v>20260245</v>
      </c>
      <c r="C17" s="188" t="s">
        <v>497</v>
      </c>
      <c r="D17" s="188" t="s">
        <v>88</v>
      </c>
      <c r="E17" s="188" t="s">
        <v>402</v>
      </c>
      <c r="F17" s="189" t="s">
        <v>89</v>
      </c>
      <c r="G17" s="189" t="s">
        <v>379</v>
      </c>
      <c r="H17" s="190">
        <v>10</v>
      </c>
      <c r="I17" s="190">
        <v>0</v>
      </c>
      <c r="J17" s="191">
        <v>125000000</v>
      </c>
      <c r="K17" s="192" t="s">
        <v>398</v>
      </c>
      <c r="L17" s="189" t="s">
        <v>157</v>
      </c>
      <c r="M17" s="193" t="s">
        <v>495</v>
      </c>
      <c r="N17" s="188" t="s">
        <v>198</v>
      </c>
      <c r="O17" s="194" t="s">
        <v>926</v>
      </c>
      <c r="P17" s="189" t="s">
        <v>348</v>
      </c>
      <c r="Q17" s="195" t="s">
        <v>498</v>
      </c>
      <c r="R17" s="193" t="s">
        <v>213</v>
      </c>
      <c r="S17" s="162" t="str">
        <f>MID(PAA[[#This Row],[Meta Proyecto de Inversión]],1,4)</f>
        <v>8173</v>
      </c>
      <c r="T17" s="162" t="str">
        <f>MID(PAA[[#This Row],[Meta Proyecto de Inversión]],6,1)</f>
        <v>4</v>
      </c>
      <c r="U17" s="205" t="str">
        <f>IFERROR(VLOOKUP(N17,TD!$B$50:$F$54,2,0)," ")</f>
        <v>O230117</v>
      </c>
      <c r="V17" s="205" t="str">
        <f>IFERROR(VLOOKUP(N17,TD!$B$50:$F$54,3,0)," ")</f>
        <v>4503</v>
      </c>
      <c r="W17" s="205">
        <f>IFERROR(VLOOKUP(N17,TD!$B$50:$F$54,4,0)," ")</f>
        <v>20240255</v>
      </c>
      <c r="X17" s="193" t="s">
        <v>176</v>
      </c>
      <c r="Y17" s="205" t="str">
        <f>IFERROR(VLOOKUP(X17,TD!$J$51:$K$64,2,0)," ")</f>
        <v>Servicio de mantenimiento, dotación (HEA´s y equipo menor) y adquisición de vehiculos   especializados para la atención de emergencias.</v>
      </c>
      <c r="Z17" s="164" t="str">
        <f t="shared" si="0"/>
        <v>09-Servicio de mantenimiento, dotación (HEA´s y equipo menor) y adquisición de vehiculos   especializados para la atención de emergencias.</v>
      </c>
      <c r="AA17" s="193" t="s">
        <v>221</v>
      </c>
      <c r="AB17" s="205" t="str">
        <f>IFERROR(VLOOKUP(AA17,TD!$N$51:$O$66,2,0)," ")</f>
        <v>Servicio de atención a emergencias y desastres</v>
      </c>
      <c r="AC17" s="164" t="str">
        <f t="shared" si="1"/>
        <v>004_Servicio de atención a emergencias y desastres</v>
      </c>
      <c r="AD17" s="164" t="str">
        <f t="shared" si="2"/>
        <v>09-Servicio de mantenimiento, dotación (HEA´s y equipo menor) y adquisición de vehiculos   especializados para la atención de emergencias. 004_Servicio de atención a emergencias y desastres</v>
      </c>
      <c r="AE17" s="205" t="str">
        <f t="shared" si="3"/>
        <v>O23011745032024025509004</v>
      </c>
      <c r="AF17" s="205" t="str">
        <f>IFERROR(VLOOKUP(AD17,TD!$J$66:$K$89,2,0)," ")</f>
        <v>PM/0131/0109/45030040255</v>
      </c>
      <c r="AG17" s="191" t="s">
        <v>80</v>
      </c>
      <c r="AH17" s="193" t="s">
        <v>193</v>
      </c>
      <c r="AI17" s="206" t="str">
        <f>CONCATENATE(PAA[[#This Row],[Id Interno]],"-",PAA[[#This Row],[tipo de Contrato (TH talento humano - B/S bienes y/o servicios)]],"-",S17,"-",T17,"-",PAA[[#This Row],[Objeto de la contratación]])</f>
        <v>20260245-BS-8173-4-Mantenimiento correctivo y preventivo de los equipos menores con suministro, repuestos, accesorios e insumos de propiedad de la UAECOB. – SBLG </v>
      </c>
    </row>
    <row r="18" spans="2:35" s="152" customFormat="1" ht="56" x14ac:dyDescent="0.35">
      <c r="B18" s="188">
        <v>20260246</v>
      </c>
      <c r="C18" s="188" t="s">
        <v>505</v>
      </c>
      <c r="D18" s="188" t="s">
        <v>92</v>
      </c>
      <c r="E18" s="188" t="s">
        <v>402</v>
      </c>
      <c r="F18" s="189" t="s">
        <v>111</v>
      </c>
      <c r="G18" s="189" t="s">
        <v>378</v>
      </c>
      <c r="H18" s="190">
        <v>8</v>
      </c>
      <c r="I18" s="190">
        <v>0</v>
      </c>
      <c r="J18" s="191">
        <v>62689000</v>
      </c>
      <c r="K18" s="192" t="s">
        <v>398</v>
      </c>
      <c r="L18" s="189" t="s">
        <v>157</v>
      </c>
      <c r="M18" s="193" t="s">
        <v>495</v>
      </c>
      <c r="N18" s="188" t="s">
        <v>198</v>
      </c>
      <c r="O18" s="194" t="s">
        <v>926</v>
      </c>
      <c r="P18" s="189" t="s">
        <v>348</v>
      </c>
      <c r="Q18" s="195" t="s">
        <v>506</v>
      </c>
      <c r="R18" s="193" t="s">
        <v>213</v>
      </c>
      <c r="S18" s="162" t="str">
        <f>MID(PAA[[#This Row],[Meta Proyecto de Inversión]],1,4)</f>
        <v>8173</v>
      </c>
      <c r="T18" s="162" t="str">
        <f>MID(PAA[[#This Row],[Meta Proyecto de Inversión]],6,1)</f>
        <v>4</v>
      </c>
      <c r="U18" s="205" t="str">
        <f>IFERROR(VLOOKUP(N18,TD!$B$50:$F$54,2,0)," ")</f>
        <v>O230117</v>
      </c>
      <c r="V18" s="205" t="str">
        <f>IFERROR(VLOOKUP(N18,TD!$B$50:$F$54,3,0)," ")</f>
        <v>4503</v>
      </c>
      <c r="W18" s="205">
        <f>IFERROR(VLOOKUP(N18,TD!$B$50:$F$54,4,0)," ")</f>
        <v>20240255</v>
      </c>
      <c r="X18" s="193" t="s">
        <v>180</v>
      </c>
      <c r="Y18" s="205" t="str">
        <f>IFERROR(VLOOKUP(X18,TD!$J$51:$K$64,2,0)," ")</f>
        <v>Servicio de apoyo   logístico  en eventos operativos y/o emergencias.</v>
      </c>
      <c r="Z18" s="164" t="str">
        <f t="shared" si="0"/>
        <v>12-Servicio de apoyo   logístico  en eventos operativos y/o emergencias.</v>
      </c>
      <c r="AA18" s="193" t="s">
        <v>221</v>
      </c>
      <c r="AB18" s="205" t="str">
        <f>IFERROR(VLOOKUP(AA18,TD!$N$51:$O$66,2,0)," ")</f>
        <v>Servicio de atención a emergencias y desastres</v>
      </c>
      <c r="AC18" s="164" t="str">
        <f t="shared" si="1"/>
        <v>004_Servicio de atención a emergencias y desastres</v>
      </c>
      <c r="AD18" s="164" t="str">
        <f t="shared" si="2"/>
        <v>12-Servicio de apoyo   logístico  en eventos operativos y/o emergencias. 004_Servicio de atención a emergencias y desastres</v>
      </c>
      <c r="AE18" s="205" t="str">
        <f t="shared" si="3"/>
        <v>O23011745032024025512004</v>
      </c>
      <c r="AF18" s="205" t="str">
        <f>IFERROR(VLOOKUP(AD18,TD!$J$66:$K$89,2,0)," ")</f>
        <v>PM/0131/0112/45030040255</v>
      </c>
      <c r="AG18" s="191" t="s">
        <v>125</v>
      </c>
      <c r="AH18" s="193" t="s">
        <v>193</v>
      </c>
      <c r="AI18" s="206" t="str">
        <f>CONCATENATE(PAA[[#This Row],[Id Interno]],"-",PAA[[#This Row],[tipo de Contrato (TH talento humano - B/S bienes y/o servicios)]],"-",S18,"-",T18,"-",PAA[[#This Row],[Objeto de la contratación]])</f>
        <v>20260246-BS-8173-4-Contratar el suministro de alimentación para los caninos del cuerpo oficial y animales rescatados por la U.A.E. del Cuerpo Oficial de Bomberos de Bogotá –  SBLG</v>
      </c>
    </row>
    <row r="19" spans="2:35" s="152" customFormat="1" ht="84" x14ac:dyDescent="0.35">
      <c r="B19" s="188">
        <v>20260247</v>
      </c>
      <c r="C19" s="188" t="s">
        <v>501</v>
      </c>
      <c r="D19" s="188" t="s">
        <v>92</v>
      </c>
      <c r="E19" s="188" t="s">
        <v>402</v>
      </c>
      <c r="F19" s="189" t="s">
        <v>111</v>
      </c>
      <c r="G19" s="189" t="s">
        <v>377</v>
      </c>
      <c r="H19" s="190">
        <v>8</v>
      </c>
      <c r="I19" s="190">
        <v>0</v>
      </c>
      <c r="J19" s="191">
        <v>48000000</v>
      </c>
      <c r="K19" s="192" t="s">
        <v>398</v>
      </c>
      <c r="L19" s="189" t="s">
        <v>157</v>
      </c>
      <c r="M19" s="193" t="s">
        <v>495</v>
      </c>
      <c r="N19" s="188" t="s">
        <v>198</v>
      </c>
      <c r="O19" s="194" t="s">
        <v>926</v>
      </c>
      <c r="P19" s="189" t="s">
        <v>348</v>
      </c>
      <c r="Q19" s="195" t="s">
        <v>502</v>
      </c>
      <c r="R19" s="193" t="s">
        <v>213</v>
      </c>
      <c r="S19" s="162" t="str">
        <f>MID(PAA[[#This Row],[Meta Proyecto de Inversión]],1,4)</f>
        <v>8173</v>
      </c>
      <c r="T19" s="162" t="str">
        <f>MID(PAA[[#This Row],[Meta Proyecto de Inversión]],6,1)</f>
        <v>4</v>
      </c>
      <c r="U19" s="205" t="str">
        <f>IFERROR(VLOOKUP(N19,TD!$B$50:$F$54,2,0)," ")</f>
        <v>O230117</v>
      </c>
      <c r="V19" s="205" t="str">
        <f>IFERROR(VLOOKUP(N19,TD!$B$50:$F$54,3,0)," ")</f>
        <v>4503</v>
      </c>
      <c r="W19" s="205">
        <f>IFERROR(VLOOKUP(N19,TD!$B$50:$F$54,4,0)," ")</f>
        <v>20240255</v>
      </c>
      <c r="X19" s="193" t="s">
        <v>180</v>
      </c>
      <c r="Y19" s="205" t="str">
        <f>IFERROR(VLOOKUP(X19,TD!$J$51:$K$64,2,0)," ")</f>
        <v>Servicio de apoyo   logístico  en eventos operativos y/o emergencias.</v>
      </c>
      <c r="Z19" s="164" t="str">
        <f t="shared" si="0"/>
        <v>12-Servicio de apoyo   logístico  en eventos operativos y/o emergencias.</v>
      </c>
      <c r="AA19" s="193" t="s">
        <v>221</v>
      </c>
      <c r="AB19" s="205" t="str">
        <f>IFERROR(VLOOKUP(AA19,TD!$N$51:$O$66,2,0)," ")</f>
        <v>Servicio de atención a emergencias y desastres</v>
      </c>
      <c r="AC19" s="164" t="str">
        <f t="shared" si="1"/>
        <v>004_Servicio de atención a emergencias y desastres</v>
      </c>
      <c r="AD19" s="164" t="str">
        <f t="shared" si="2"/>
        <v>12-Servicio de apoyo   logístico  en eventos operativos y/o emergencias. 004_Servicio de atención a emergencias y desastres</v>
      </c>
      <c r="AE19" s="205" t="str">
        <f t="shared" si="3"/>
        <v>O23011745032024025512004</v>
      </c>
      <c r="AF19" s="205" t="str">
        <f>IFERROR(VLOOKUP(AD19,TD!$J$66:$K$89,2,0)," ")</f>
        <v>PM/0131/0112/45030040255</v>
      </c>
      <c r="AG19" s="191" t="s">
        <v>902</v>
      </c>
      <c r="AH19" s="193" t="s">
        <v>193</v>
      </c>
      <c r="AI19" s="206" t="str">
        <f>CONCATENATE(PAA[[#This Row],[Id Interno]],"-",PAA[[#This Row],[tipo de Contrato (TH talento humano - B/S bienes y/o servicios)]],"-",S19,"-",T19,"-",PAA[[#This Row],[Objeto de la contratación]])</f>
        <v>20260247-BS-8173-4-Proveer el suministro de elementos de bioseguridad e insumos médicos básicos y otros para la atención de emergencias. - SBLG</v>
      </c>
    </row>
    <row r="20" spans="2:35" s="152" customFormat="1" ht="70" x14ac:dyDescent="0.35">
      <c r="B20" s="188">
        <v>20260249</v>
      </c>
      <c r="C20" s="188" t="s">
        <v>511</v>
      </c>
      <c r="D20" s="188" t="s">
        <v>92</v>
      </c>
      <c r="E20" s="188" t="s">
        <v>402</v>
      </c>
      <c r="F20" s="189" t="s">
        <v>89</v>
      </c>
      <c r="G20" s="189" t="s">
        <v>379</v>
      </c>
      <c r="H20" s="190">
        <v>8</v>
      </c>
      <c r="I20" s="190">
        <v>0</v>
      </c>
      <c r="J20" s="191">
        <v>48000000</v>
      </c>
      <c r="K20" s="192" t="s">
        <v>398</v>
      </c>
      <c r="L20" s="189" t="s">
        <v>157</v>
      </c>
      <c r="M20" s="193" t="s">
        <v>495</v>
      </c>
      <c r="N20" s="188" t="s">
        <v>198</v>
      </c>
      <c r="O20" s="194" t="s">
        <v>926</v>
      </c>
      <c r="P20" s="189" t="s">
        <v>348</v>
      </c>
      <c r="Q20" s="195" t="s">
        <v>512</v>
      </c>
      <c r="R20" s="193" t="s">
        <v>213</v>
      </c>
      <c r="S20" s="162" t="str">
        <f>MID(PAA[[#This Row],[Meta Proyecto de Inversión]],1,4)</f>
        <v>8173</v>
      </c>
      <c r="T20" s="162" t="str">
        <f>MID(PAA[[#This Row],[Meta Proyecto de Inversión]],6,1)</f>
        <v>4</v>
      </c>
      <c r="U20" s="205" t="str">
        <f>IFERROR(VLOOKUP(N20,TD!$B$50:$F$54,2,0)," ")</f>
        <v>O230117</v>
      </c>
      <c r="V20" s="205" t="str">
        <f>IFERROR(VLOOKUP(N20,TD!$B$50:$F$54,3,0)," ")</f>
        <v>4503</v>
      </c>
      <c r="W20" s="205">
        <f>IFERROR(VLOOKUP(N20,TD!$B$50:$F$54,4,0)," ")</f>
        <v>20240255</v>
      </c>
      <c r="X20" s="193" t="s">
        <v>180</v>
      </c>
      <c r="Y20" s="205" t="str">
        <f>IFERROR(VLOOKUP(X20,TD!$J$51:$K$64,2,0)," ")</f>
        <v>Servicio de apoyo   logístico  en eventos operativos y/o emergencias.</v>
      </c>
      <c r="Z20" s="164" t="str">
        <f t="shared" si="0"/>
        <v>12-Servicio de apoyo   logístico  en eventos operativos y/o emergencias.</v>
      </c>
      <c r="AA20" s="193" t="s">
        <v>221</v>
      </c>
      <c r="AB20" s="205" t="str">
        <f>IFERROR(VLOOKUP(AA20,TD!$N$51:$O$66,2,0)," ")</f>
        <v>Servicio de atención a emergencias y desastres</v>
      </c>
      <c r="AC20" s="164" t="str">
        <f t="shared" si="1"/>
        <v>004_Servicio de atención a emergencias y desastres</v>
      </c>
      <c r="AD20" s="164" t="str">
        <f t="shared" si="2"/>
        <v>12-Servicio de apoyo   logístico  en eventos operativos y/o emergencias. 004_Servicio de atención a emergencias y desastres</v>
      </c>
      <c r="AE20" s="205" t="str">
        <f t="shared" si="3"/>
        <v>O23011745032024025512004</v>
      </c>
      <c r="AF20" s="205" t="str">
        <f>IFERROR(VLOOKUP(AD20,TD!$J$66:$K$89,2,0)," ")</f>
        <v>PM/0131/0112/45030040255</v>
      </c>
      <c r="AG20" s="191" t="s">
        <v>125</v>
      </c>
      <c r="AH20" s="193" t="s">
        <v>193</v>
      </c>
      <c r="AI20" s="206" t="str">
        <f>CONCATENATE(PAA[[#This Row],[Id Interno]],"-",PAA[[#This Row],[tipo de Contrato (TH talento humano - B/S bienes y/o servicios)]],"-",S20,"-",T20,"-",PAA[[#This Row],[Objeto de la contratación]])</f>
        <v>20260249-BS-8173-4-Prestación de servicios médicos veterinarios, con suministro de medicamentos e insumos veterinarios y otros, para los caninos de la U.A.E. Cuerpo Oficial de Bomberos de Bogotá -  SBLG</v>
      </c>
    </row>
    <row r="21" spans="2:35" s="152" customFormat="1" ht="84" x14ac:dyDescent="0.35">
      <c r="B21" s="188">
        <v>20260250</v>
      </c>
      <c r="C21" s="188" t="s">
        <v>515</v>
      </c>
      <c r="D21" s="188" t="s">
        <v>105</v>
      </c>
      <c r="E21" s="188" t="s">
        <v>402</v>
      </c>
      <c r="F21" s="189" t="s">
        <v>111</v>
      </c>
      <c r="G21" s="189" t="s">
        <v>378</v>
      </c>
      <c r="H21" s="190">
        <v>8</v>
      </c>
      <c r="I21" s="190">
        <v>0</v>
      </c>
      <c r="J21" s="191">
        <v>80000000</v>
      </c>
      <c r="K21" s="192" t="s">
        <v>398</v>
      </c>
      <c r="L21" s="189" t="s">
        <v>157</v>
      </c>
      <c r="M21" s="193" t="s">
        <v>495</v>
      </c>
      <c r="N21" s="188" t="s">
        <v>198</v>
      </c>
      <c r="O21" s="194" t="s">
        <v>926</v>
      </c>
      <c r="P21" s="189" t="s">
        <v>348</v>
      </c>
      <c r="Q21" s="195" t="s">
        <v>516</v>
      </c>
      <c r="R21" s="193" t="s">
        <v>213</v>
      </c>
      <c r="S21" s="162" t="str">
        <f>MID(PAA[[#This Row],[Meta Proyecto de Inversión]],1,4)</f>
        <v>8173</v>
      </c>
      <c r="T21" s="162" t="str">
        <f>MID(PAA[[#This Row],[Meta Proyecto de Inversión]],6,1)</f>
        <v>4</v>
      </c>
      <c r="U21" s="205" t="str">
        <f>IFERROR(VLOOKUP(N21,TD!$B$50:$F$54,2,0)," ")</f>
        <v>O230117</v>
      </c>
      <c r="V21" s="205" t="str">
        <f>IFERROR(VLOOKUP(N21,TD!$B$50:$F$54,3,0)," ")</f>
        <v>4503</v>
      </c>
      <c r="W21" s="205">
        <f>IFERROR(VLOOKUP(N21,TD!$B$50:$F$54,4,0)," ")</f>
        <v>20240255</v>
      </c>
      <c r="X21" s="193" t="s">
        <v>176</v>
      </c>
      <c r="Y21" s="205" t="str">
        <f>IFERROR(VLOOKUP(X21,TD!$J$51:$K$64,2,0)," ")</f>
        <v>Servicio de mantenimiento, dotación (HEA´s y equipo menor) y adquisición de vehiculos   especializados para la atención de emergencias.</v>
      </c>
      <c r="Z21" s="164" t="str">
        <f t="shared" si="0"/>
        <v>09-Servicio de mantenimiento, dotación (HEA´s y equipo menor) y adquisición de vehiculos   especializados para la atención de emergencias.</v>
      </c>
      <c r="AA21" s="193" t="s">
        <v>221</v>
      </c>
      <c r="AB21" s="205" t="str">
        <f>IFERROR(VLOOKUP(AA21,TD!$N$51:$O$66,2,0)," ")</f>
        <v>Servicio de atención a emergencias y desastres</v>
      </c>
      <c r="AC21" s="164" t="str">
        <f t="shared" si="1"/>
        <v>004_Servicio de atención a emergencias y desastres</v>
      </c>
      <c r="AD21" s="164" t="str">
        <f t="shared" si="2"/>
        <v>09-Servicio de mantenimiento, dotación (HEA´s y equipo menor) y adquisición de vehiculos   especializados para la atención de emergencias. 004_Servicio de atención a emergencias y desastres</v>
      </c>
      <c r="AE21" s="205" t="str">
        <f t="shared" si="3"/>
        <v>O23011745032024025509004</v>
      </c>
      <c r="AF21" s="205" t="str">
        <f>IFERROR(VLOOKUP(AD21,TD!$J$66:$K$89,2,0)," ")</f>
        <v>PM/0131/0109/45030040255</v>
      </c>
      <c r="AG21" s="191" t="s">
        <v>565</v>
      </c>
      <c r="AH21" s="193" t="s">
        <v>193</v>
      </c>
      <c r="AI21" s="206" t="str">
        <f>CONCATENATE(PAA[[#This Row],[Id Interno]],"-",PAA[[#This Row],[tipo de Contrato (TH talento humano - B/S bienes y/o servicios)]],"-",S21,"-",T21,"-",PAA[[#This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2" spans="2:35" s="152" customFormat="1" ht="84" x14ac:dyDescent="0.35">
      <c r="B22" s="188">
        <v>20260251</v>
      </c>
      <c r="C22" s="188" t="s">
        <v>650</v>
      </c>
      <c r="D22" s="188" t="s">
        <v>88</v>
      </c>
      <c r="E22" s="188" t="s">
        <v>402</v>
      </c>
      <c r="F22" s="189" t="s">
        <v>89</v>
      </c>
      <c r="G22" s="189" t="s">
        <v>377</v>
      </c>
      <c r="H22" s="190">
        <v>8</v>
      </c>
      <c r="I22" s="190">
        <v>0</v>
      </c>
      <c r="J22" s="191">
        <v>3419000</v>
      </c>
      <c r="K22" s="192" t="s">
        <v>398</v>
      </c>
      <c r="L22" s="189" t="s">
        <v>157</v>
      </c>
      <c r="M22" s="193" t="s">
        <v>495</v>
      </c>
      <c r="N22" s="188" t="s">
        <v>198</v>
      </c>
      <c r="O22" s="194" t="s">
        <v>926</v>
      </c>
      <c r="P22" s="189" t="s">
        <v>161</v>
      </c>
      <c r="Q22" s="195" t="s">
        <v>517</v>
      </c>
      <c r="R22" s="193" t="s">
        <v>213</v>
      </c>
      <c r="S22" s="162" t="str">
        <f>MID(PAA[[#This Row],[Meta Proyecto de Inversión]],1,4)</f>
        <v>8173</v>
      </c>
      <c r="T22" s="162" t="str">
        <f>MID(PAA[[#This Row],[Meta Proyecto de Inversión]],6,1)</f>
        <v>4</v>
      </c>
      <c r="U22" s="205" t="str">
        <f>IFERROR(VLOOKUP(N22,TD!$B$50:$F$54,2,0)," ")</f>
        <v>O230117</v>
      </c>
      <c r="V22" s="205" t="str">
        <f>IFERROR(VLOOKUP(N22,TD!$B$50:$F$54,3,0)," ")</f>
        <v>4503</v>
      </c>
      <c r="W22" s="205">
        <f>IFERROR(VLOOKUP(N22,TD!$B$50:$F$54,4,0)," ")</f>
        <v>20240255</v>
      </c>
      <c r="X22" s="193" t="s">
        <v>176</v>
      </c>
      <c r="Y22" s="205" t="str">
        <f>IFERROR(VLOOKUP(X22,TD!$J$51:$K$64,2,0)," ")</f>
        <v>Servicio de mantenimiento, dotación (HEA´s y equipo menor) y adquisición de vehiculos   especializados para la atención de emergencias.</v>
      </c>
      <c r="Z22" s="164" t="str">
        <f t="shared" si="0"/>
        <v>09-Servicio de mantenimiento, dotación (HEA´s y equipo menor) y adquisición de vehiculos   especializados para la atención de emergencias.</v>
      </c>
      <c r="AA22" s="193" t="s">
        <v>221</v>
      </c>
      <c r="AB22" s="205" t="str">
        <f>IFERROR(VLOOKUP(AA22,TD!$N$51:$O$66,2,0)," ")</f>
        <v>Servicio de atención a emergencias y desastres</v>
      </c>
      <c r="AC22" s="164" t="str">
        <f t="shared" si="1"/>
        <v>004_Servicio de atención a emergencias y desastres</v>
      </c>
      <c r="AD22" s="164" t="str">
        <f t="shared" si="2"/>
        <v>09-Servicio de mantenimiento, dotación (HEA´s y equipo menor) y adquisición de vehiculos   especializados para la atención de emergencias. 004_Servicio de atención a emergencias y desastres</v>
      </c>
      <c r="AE22" s="205" t="str">
        <f t="shared" si="3"/>
        <v>O23011745032024025509004</v>
      </c>
      <c r="AF22" s="205" t="str">
        <f>IFERROR(VLOOKUP(AD22,TD!$J$66:$K$89,2,0)," ")</f>
        <v>PM/0131/0109/45030040255</v>
      </c>
      <c r="AG22" s="191" t="s">
        <v>80</v>
      </c>
      <c r="AH22" s="193" t="s">
        <v>193</v>
      </c>
      <c r="AI22" s="206" t="str">
        <f>CONCATENATE(PAA[[#This Row],[Id Interno]],"-",PAA[[#This Row],[tipo de Contrato (TH talento humano - B/S bienes y/o servicios)]],"-",S22,"-",T22,"-",PAA[[#This Row],[Objeto de la contratación]])</f>
        <v>20260251-BS-8173-4-Prestar el servicio de  mantenimiento y recarga de extintores, cilindros y tanques de las maquinas extintoras de la UAECOB.  - SBLG</v>
      </c>
    </row>
    <row r="23" spans="2:35" s="152" customFormat="1" ht="84" x14ac:dyDescent="0.35">
      <c r="B23" s="196">
        <v>20260252</v>
      </c>
      <c r="C23" s="188" t="s">
        <v>499</v>
      </c>
      <c r="D23" s="196" t="s">
        <v>105</v>
      </c>
      <c r="E23" s="196" t="s">
        <v>402</v>
      </c>
      <c r="F23" s="202" t="s">
        <v>89</v>
      </c>
      <c r="G23" s="189" t="s">
        <v>381</v>
      </c>
      <c r="H23" s="199">
        <v>8</v>
      </c>
      <c r="I23" s="199">
        <v>0</v>
      </c>
      <c r="J23" s="200">
        <v>26000000</v>
      </c>
      <c r="K23" s="201" t="s">
        <v>398</v>
      </c>
      <c r="L23" s="202" t="s">
        <v>157</v>
      </c>
      <c r="M23" s="203" t="s">
        <v>495</v>
      </c>
      <c r="N23" s="196" t="s">
        <v>198</v>
      </c>
      <c r="O23" s="194" t="s">
        <v>926</v>
      </c>
      <c r="P23" s="202" t="s">
        <v>348</v>
      </c>
      <c r="Q23" s="204" t="s">
        <v>500</v>
      </c>
      <c r="R23" s="203" t="s">
        <v>213</v>
      </c>
      <c r="S23" s="162" t="str">
        <f>MID(PAA[[#This Row],[Meta Proyecto de Inversión]],1,4)</f>
        <v>8173</v>
      </c>
      <c r="T23" s="162" t="str">
        <f>MID(PAA[[#This Row],[Meta Proyecto de Inversión]],6,1)</f>
        <v>4</v>
      </c>
      <c r="U23" s="187" t="str">
        <f>IFERROR(VLOOKUP(N23,TD!$B$50:$F$54,2,0)," ")</f>
        <v>O230117</v>
      </c>
      <c r="V23" s="187" t="str">
        <f>IFERROR(VLOOKUP(N23,TD!$B$50:$F$54,3,0)," ")</f>
        <v>4503</v>
      </c>
      <c r="W23" s="187">
        <f>IFERROR(VLOOKUP(N23,TD!$B$50:$F$54,4,0)," ")</f>
        <v>20240255</v>
      </c>
      <c r="X23" s="203" t="s">
        <v>176</v>
      </c>
      <c r="Y23" s="187" t="str">
        <f>IFERROR(VLOOKUP(X23,TD!$J$51:$K$64,2,0)," ")</f>
        <v>Servicio de mantenimiento, dotación (HEA´s y equipo menor) y adquisición de vehiculos   especializados para la atención de emergencias.</v>
      </c>
      <c r="Z23" s="164" t="str">
        <f t="shared" si="0"/>
        <v>09-Servicio de mantenimiento, dotación (HEA´s y equipo menor) y adquisición de vehiculos   especializados para la atención de emergencias.</v>
      </c>
      <c r="AA23" s="193" t="s">
        <v>221</v>
      </c>
      <c r="AB23" s="187" t="str">
        <f>IFERROR(VLOOKUP(AA23,TD!$N$51:$O$66,2,0)," ")</f>
        <v>Servicio de atención a emergencias y desastres</v>
      </c>
      <c r="AC23" s="164" t="str">
        <f t="shared" si="1"/>
        <v>004_Servicio de atención a emergencias y desastres</v>
      </c>
      <c r="AD23" s="164" t="str">
        <f t="shared" si="2"/>
        <v>09-Servicio de mantenimiento, dotación (HEA´s y equipo menor) y adquisición de vehiculos   especializados para la atención de emergencias. 004_Servicio de atención a emergencias y desastres</v>
      </c>
      <c r="AE23" s="187" t="str">
        <f t="shared" si="3"/>
        <v>O23011745032024025509004</v>
      </c>
      <c r="AF23" s="187" t="str">
        <f>IFERROR(VLOOKUP(AD23,TD!$J$66:$K$89,2,0)," ")</f>
        <v>PM/0131/0109/45030040255</v>
      </c>
      <c r="AG23" s="191" t="s">
        <v>565</v>
      </c>
      <c r="AH23" s="203" t="s">
        <v>193</v>
      </c>
      <c r="AI23" s="207" t="str">
        <f>CONCATENATE(PAA[[#This Row],[Id Interno]],"-",PAA[[#This Row],[tipo de Contrato (TH talento humano - B/S bienes y/o servicios)]],"-",S23,"-",T23,"-",PAA[[#This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4" spans="2:35" s="152" customFormat="1" ht="84" x14ac:dyDescent="0.35">
      <c r="B24" s="188">
        <v>20260254</v>
      </c>
      <c r="C24" s="188" t="s">
        <v>509</v>
      </c>
      <c r="D24" s="188" t="s">
        <v>105</v>
      </c>
      <c r="E24" s="188" t="s">
        <v>402</v>
      </c>
      <c r="F24" s="189" t="s">
        <v>146</v>
      </c>
      <c r="G24" s="189" t="s">
        <v>381</v>
      </c>
      <c r="H24" s="190">
        <v>6</v>
      </c>
      <c r="I24" s="190">
        <v>0</v>
      </c>
      <c r="J24" s="191">
        <v>45000000</v>
      </c>
      <c r="K24" s="192" t="s">
        <v>398</v>
      </c>
      <c r="L24" s="189" t="s">
        <v>157</v>
      </c>
      <c r="M24" s="193" t="s">
        <v>495</v>
      </c>
      <c r="N24" s="188" t="s">
        <v>198</v>
      </c>
      <c r="O24" s="194" t="s">
        <v>926</v>
      </c>
      <c r="P24" s="189" t="s">
        <v>348</v>
      </c>
      <c r="Q24" s="195" t="s">
        <v>510</v>
      </c>
      <c r="R24" s="193" t="s">
        <v>213</v>
      </c>
      <c r="S24" s="162" t="str">
        <f>MID(PAA[[#This Row],[Meta Proyecto de Inversión]],1,4)</f>
        <v>8173</v>
      </c>
      <c r="T24" s="162" t="str">
        <f>MID(PAA[[#This Row],[Meta Proyecto de Inversión]],6,1)</f>
        <v>4</v>
      </c>
      <c r="U24" s="205" t="str">
        <f>IFERROR(VLOOKUP(N24,TD!$B$50:$F$54,2,0)," ")</f>
        <v>O230117</v>
      </c>
      <c r="V24" s="205" t="str">
        <f>IFERROR(VLOOKUP(N24,TD!$B$50:$F$54,3,0)," ")</f>
        <v>4503</v>
      </c>
      <c r="W24" s="205">
        <f>IFERROR(VLOOKUP(N24,TD!$B$50:$F$54,4,0)," ")</f>
        <v>20240255</v>
      </c>
      <c r="X24" s="193" t="s">
        <v>176</v>
      </c>
      <c r="Y24" s="205" t="str">
        <f>IFERROR(VLOOKUP(X24,TD!$J$51:$K$64,2,0)," ")</f>
        <v>Servicio de mantenimiento, dotación (HEA´s y equipo menor) y adquisición de vehiculos   especializados para la atención de emergencias.</v>
      </c>
      <c r="Z24" s="164" t="str">
        <f t="shared" si="0"/>
        <v>09-Servicio de mantenimiento, dotación (HEA´s y equipo menor) y adquisición de vehiculos   especializados para la atención de emergencias.</v>
      </c>
      <c r="AA24" s="193" t="s">
        <v>221</v>
      </c>
      <c r="AB24" s="205" t="str">
        <f>IFERROR(VLOOKUP(AA24,TD!$N$51:$O$66,2,0)," ")</f>
        <v>Servicio de atención a emergencias y desastres</v>
      </c>
      <c r="AC24" s="164" t="str">
        <f t="shared" si="1"/>
        <v>004_Servicio de atención a emergencias y desastres</v>
      </c>
      <c r="AD24" s="164" t="str">
        <f t="shared" si="2"/>
        <v>09-Servicio de mantenimiento, dotación (HEA´s y equipo menor) y adquisición de vehiculos   especializados para la atención de emergencias. 004_Servicio de atención a emergencias y desastres</v>
      </c>
      <c r="AE24" s="205" t="str">
        <f t="shared" si="3"/>
        <v>O23011745032024025509004</v>
      </c>
      <c r="AF24" s="205" t="str">
        <f>IFERROR(VLOOKUP(AD24,TD!$J$66:$K$89,2,0)," ")</f>
        <v>PM/0131/0109/45030040255</v>
      </c>
      <c r="AG24" s="191" t="s">
        <v>80</v>
      </c>
      <c r="AH24" s="193" t="s">
        <v>193</v>
      </c>
      <c r="AI24" s="206" t="str">
        <f>CONCATENATE(PAA[[#This Row],[Id Interno]],"-",PAA[[#This Row],[tipo de Contrato (TH talento humano - B/S bienes y/o servicios)]],"-",S24,"-",T24,"-",PAA[[#This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5" spans="2:35" s="152" customFormat="1" ht="84" x14ac:dyDescent="0.35">
      <c r="B25" s="188">
        <v>20260256</v>
      </c>
      <c r="C25" s="188" t="s">
        <v>513</v>
      </c>
      <c r="D25" s="188" t="s">
        <v>105</v>
      </c>
      <c r="E25" s="188" t="s">
        <v>402</v>
      </c>
      <c r="F25" s="189" t="s">
        <v>111</v>
      </c>
      <c r="G25" s="189" t="s">
        <v>382</v>
      </c>
      <c r="H25" s="190">
        <v>5</v>
      </c>
      <c r="I25" s="190">
        <v>0</v>
      </c>
      <c r="J25" s="191">
        <v>50000000</v>
      </c>
      <c r="K25" s="192" t="s">
        <v>398</v>
      </c>
      <c r="L25" s="189" t="s">
        <v>157</v>
      </c>
      <c r="M25" s="193" t="s">
        <v>495</v>
      </c>
      <c r="N25" s="188" t="s">
        <v>198</v>
      </c>
      <c r="O25" s="194" t="s">
        <v>926</v>
      </c>
      <c r="P25" s="189" t="s">
        <v>348</v>
      </c>
      <c r="Q25" s="195" t="s">
        <v>514</v>
      </c>
      <c r="R25" s="193" t="s">
        <v>213</v>
      </c>
      <c r="S25" s="162" t="str">
        <f>MID(PAA[[#This Row],[Meta Proyecto de Inversión]],1,4)</f>
        <v>8173</v>
      </c>
      <c r="T25" s="162" t="str">
        <f>MID(PAA[[#This Row],[Meta Proyecto de Inversión]],6,1)</f>
        <v>4</v>
      </c>
      <c r="U25" s="205" t="str">
        <f>IFERROR(VLOOKUP(N25,TD!$B$50:$F$54,2,0)," ")</f>
        <v>O230117</v>
      </c>
      <c r="V25" s="205" t="str">
        <f>IFERROR(VLOOKUP(N25,TD!$B$50:$F$54,3,0)," ")</f>
        <v>4503</v>
      </c>
      <c r="W25" s="205">
        <f>IFERROR(VLOOKUP(N25,TD!$B$50:$F$54,4,0)," ")</f>
        <v>20240255</v>
      </c>
      <c r="X25" s="193" t="s">
        <v>176</v>
      </c>
      <c r="Y25" s="205" t="str">
        <f>IFERROR(VLOOKUP(X25,TD!$J$51:$K$64,2,0)," ")</f>
        <v>Servicio de mantenimiento, dotación (HEA´s y equipo menor) y adquisición de vehiculos   especializados para la atención de emergencias.</v>
      </c>
      <c r="Z25" s="164" t="str">
        <f t="shared" si="0"/>
        <v>09-Servicio de mantenimiento, dotación (HEA´s y equipo menor) y adquisición de vehiculos   especializados para la atención de emergencias.</v>
      </c>
      <c r="AA25" s="193" t="s">
        <v>221</v>
      </c>
      <c r="AB25" s="205" t="str">
        <f>IFERROR(VLOOKUP(AA25,TD!$N$51:$O$66,2,0)," ")</f>
        <v>Servicio de atención a emergencias y desastres</v>
      </c>
      <c r="AC25" s="164" t="str">
        <f t="shared" si="1"/>
        <v>004_Servicio de atención a emergencias y desastres</v>
      </c>
      <c r="AD25" s="164" t="str">
        <f t="shared" si="2"/>
        <v>09-Servicio de mantenimiento, dotación (HEA´s y equipo menor) y adquisición de vehiculos   especializados para la atención de emergencias. 004_Servicio de atención a emergencias y desastres</v>
      </c>
      <c r="AE25" s="205" t="str">
        <f t="shared" si="3"/>
        <v>O23011745032024025509004</v>
      </c>
      <c r="AF25" s="205" t="str">
        <f>IFERROR(VLOOKUP(AD25,TD!$J$66:$K$89,2,0)," ")</f>
        <v>PM/0131/0109/45030040255</v>
      </c>
      <c r="AG25" s="191" t="s">
        <v>80</v>
      </c>
      <c r="AH25" s="193" t="s">
        <v>193</v>
      </c>
      <c r="AI25" s="206" t="str">
        <f>CONCATENATE(PAA[[#This Row],[Id Interno]],"-",PAA[[#This Row],[tipo de Contrato (TH talento humano - B/S bienes y/o servicios)]],"-",S25,"-",T25,"-",PAA[[#This Row],[Objeto de la contratación]])</f>
        <v>20260256-BS-8173-4-Prestar el servicio de mantenimiento preventivo y correctivo de los Equipos de Rescate Vehicular HOLMATRO propiedad de la UAECOB, incluido el suministro de repuestos, insumos y mano de obra especializada -  SBLG</v>
      </c>
    </row>
    <row r="26" spans="2:35" s="152" customFormat="1" ht="112" x14ac:dyDescent="0.35">
      <c r="B26" s="188">
        <v>20260499</v>
      </c>
      <c r="C26" s="188" t="s">
        <v>724</v>
      </c>
      <c r="D26" s="188" t="s">
        <v>88</v>
      </c>
      <c r="E26" s="188" t="s">
        <v>402</v>
      </c>
      <c r="F26" s="189" t="s">
        <v>141</v>
      </c>
      <c r="G26" s="189" t="s">
        <v>377</v>
      </c>
      <c r="H26" s="190">
        <v>4</v>
      </c>
      <c r="I26" s="190">
        <v>0</v>
      </c>
      <c r="J26" s="191">
        <v>400000000</v>
      </c>
      <c r="K26" s="192" t="s">
        <v>398</v>
      </c>
      <c r="L26" s="189" t="s">
        <v>155</v>
      </c>
      <c r="M26" s="193" t="s">
        <v>422</v>
      </c>
      <c r="N26" s="188" t="s">
        <v>198</v>
      </c>
      <c r="O26" s="194" t="s">
        <v>926</v>
      </c>
      <c r="P26" s="189" t="s">
        <v>348</v>
      </c>
      <c r="Q26" s="195" t="s">
        <v>756</v>
      </c>
      <c r="R26" s="193" t="s">
        <v>351</v>
      </c>
      <c r="S26" s="162" t="str">
        <f>MID(PAA[[#This Row],[Meta Proyecto de Inversión]],1,4)</f>
        <v>8173</v>
      </c>
      <c r="T26" s="162" t="str">
        <f>MID(PAA[[#This Row],[Meta Proyecto de Inversión]],6,1)</f>
        <v>1</v>
      </c>
      <c r="U26" s="205" t="str">
        <f>IFERROR(VLOOKUP(N26,TD!$B$50:$F$54,2,0)," ")</f>
        <v>O230117</v>
      </c>
      <c r="V26" s="205" t="str">
        <f>IFERROR(VLOOKUP(N26,TD!$B$50:$F$54,3,0)," ")</f>
        <v>4503</v>
      </c>
      <c r="W26" s="205">
        <f>IFERROR(VLOOKUP(N26,TD!$B$50:$F$54,4,0)," ")</f>
        <v>20240255</v>
      </c>
      <c r="X26" s="193">
        <v>14</v>
      </c>
      <c r="Y26" s="205" t="str">
        <f>IFERROR(VLOOKUP(X26,TD!$J$51:$K$64,2,0)," ")</f>
        <v xml:space="preserve">Infraestructura física misional construida mantenida y dotada </v>
      </c>
      <c r="Z26" s="164" t="str">
        <f t="shared" si="0"/>
        <v xml:space="preserve">14-Infraestructura física misional construida mantenida y dotada </v>
      </c>
      <c r="AA26" s="193" t="s">
        <v>225</v>
      </c>
      <c r="AB26" s="205" t="str">
        <f>IFERROR(VLOOKUP(AA26,TD!$N$51:$O$66,2,0)," ")</f>
        <v>Estaciones de bomberos adecuadas</v>
      </c>
      <c r="AC26" s="164" t="str">
        <f t="shared" si="1"/>
        <v>014_Estaciones de bomberos adecuadas</v>
      </c>
      <c r="AD26" s="164" t="str">
        <f t="shared" si="2"/>
        <v>14-Infraestructura física misional construida mantenida y dotada  014_Estaciones de bomberos adecuadas</v>
      </c>
      <c r="AE26" s="205" t="str">
        <f t="shared" si="3"/>
        <v>O23011745032024025514014</v>
      </c>
      <c r="AF26" s="205" t="str">
        <f>IFERROR(VLOOKUP(AD26,TD!$J$66:$K$89,2,0)," ")</f>
        <v>PM/0131/0114/45030140255</v>
      </c>
      <c r="AG26" s="191" t="s">
        <v>355</v>
      </c>
      <c r="AH26" s="193" t="s">
        <v>193</v>
      </c>
      <c r="AI26" s="206" t="str">
        <f>CONCATENATE(PAA[[#This Row],[Id Interno]],"-",PAA[[#This Row],[tipo de Contrato (TH talento humano - B/S bienes y/o servicios)]],"-",S26,"-",T26,"-",PAA[[#This Row],[Objeto de la contratación]])</f>
        <v>20260499-BS-8173-1-Suministro  de muebles, enseres y demàs elementos requeridos para la Unidad Administrativa Especial Cuerpo Oficial de Bomberos Bogotá -SGC</v>
      </c>
    </row>
    <row r="27" spans="2:35" s="152" customFormat="1" ht="56" x14ac:dyDescent="0.35">
      <c r="B27" s="196">
        <v>20260510</v>
      </c>
      <c r="C27" s="188" t="s">
        <v>732</v>
      </c>
      <c r="D27" s="196" t="s">
        <v>83</v>
      </c>
      <c r="E27" s="196" t="s">
        <v>402</v>
      </c>
      <c r="F27" s="196" t="s">
        <v>136</v>
      </c>
      <c r="G27" s="197" t="s">
        <v>378</v>
      </c>
      <c r="H27" s="198">
        <v>9</v>
      </c>
      <c r="I27" s="199">
        <v>0</v>
      </c>
      <c r="J27" s="200">
        <v>230000000</v>
      </c>
      <c r="K27" s="201" t="s">
        <v>398</v>
      </c>
      <c r="L27" s="202" t="s">
        <v>155</v>
      </c>
      <c r="M27" s="203" t="s">
        <v>422</v>
      </c>
      <c r="N27" s="196" t="s">
        <v>197</v>
      </c>
      <c r="O27" s="194" t="s">
        <v>925</v>
      </c>
      <c r="P27" s="203" t="s">
        <v>348</v>
      </c>
      <c r="Q27" s="204" t="s">
        <v>764</v>
      </c>
      <c r="R27" s="203" t="s">
        <v>207</v>
      </c>
      <c r="S27" s="162" t="str">
        <f>MID(PAA[[#This Row],[Meta Proyecto de Inversión]],1,4)</f>
        <v>8126</v>
      </c>
      <c r="T27" s="162" t="str">
        <f>MID(PAA[[#This Row],[Meta Proyecto de Inversión]],6,1)</f>
        <v>8</v>
      </c>
      <c r="U27" s="187" t="str">
        <f>IFERROR(VLOOKUP(N27,TD!$B$50:$F$54,2,0)," ")</f>
        <v>O230117</v>
      </c>
      <c r="V27" s="187" t="str">
        <f>IFERROR(VLOOKUP(N27,TD!$B$50:$F$54,3,0)," ")</f>
        <v>4599</v>
      </c>
      <c r="W27" s="187">
        <f>IFERROR(VLOOKUP(N27,TD!$B$50:$F$54,4,0)," ")</f>
        <v>20240207</v>
      </c>
      <c r="X27" s="203" t="s">
        <v>174</v>
      </c>
      <c r="Y27" s="187" t="str">
        <f>IFERROR(VLOOKUP(X27,TD!$J$51:$K$64,2,0)," ")</f>
        <v>Infraestructura física, mantenimiento y dotación (Sedes construidas, mantenidas reforzadas)</v>
      </c>
      <c r="Z27" s="164" t="str">
        <f t="shared" si="0"/>
        <v>08-Infraestructura física, mantenimiento y dotación (Sedes construidas, mantenidas reforzadas)</v>
      </c>
      <c r="AA27" s="203" t="s">
        <v>227</v>
      </c>
      <c r="AB27" s="187" t="str">
        <f>IFERROR(VLOOKUP(AA27,TD!$N$51:$O$66,2,0)," ")</f>
        <v>Sedes mantenidas</v>
      </c>
      <c r="AC27" s="164" t="str">
        <f t="shared" si="1"/>
        <v>016_Sedes mantenidas</v>
      </c>
      <c r="AD27" s="164" t="str">
        <f t="shared" si="2"/>
        <v>08-Infraestructura física, mantenimiento y dotación (Sedes construidas, mantenidas reforzadas) 016_Sedes mantenidas</v>
      </c>
      <c r="AE27" s="187" t="str">
        <f t="shared" si="3"/>
        <v>O23011745992024020708016</v>
      </c>
      <c r="AF27" s="187" t="str">
        <f>IFERROR(VLOOKUP(AD27,TD!$J$66:$K$89,2,0)," ")</f>
        <v>PM/0131/0108/45990160207</v>
      </c>
      <c r="AG27" s="191" t="s">
        <v>80</v>
      </c>
      <c r="AH27" s="203" t="s">
        <v>193</v>
      </c>
      <c r="AI27" s="207" t="str">
        <f>CONCATENATE(PAA[[#This Row],[Id Interno]],"-",PAA[[#This Row],[tipo de Contrato (TH talento humano - B/S bienes y/o servicios)]],"-",S27,"-",T27,"-",PAA[[#This Row],[Objeto de la contratación]])</f>
        <v>20260510-BS-8126-8-Realizar el mantenimiento preventivo, correctivo de puertas automatizadas para las salas de máquinas de las estaciones de la UAE Cuerpo Oficial de Bomberos-SGC</v>
      </c>
    </row>
    <row r="28" spans="2:35" s="152" customFormat="1" ht="126" x14ac:dyDescent="0.35">
      <c r="B28" s="196">
        <v>20260518</v>
      </c>
      <c r="C28" s="188" t="s">
        <v>734</v>
      </c>
      <c r="D28" s="196" t="s">
        <v>83</v>
      </c>
      <c r="E28" s="196" t="s">
        <v>402</v>
      </c>
      <c r="F28" s="196" t="s">
        <v>89</v>
      </c>
      <c r="G28" s="197" t="s">
        <v>376</v>
      </c>
      <c r="H28" s="198">
        <v>11</v>
      </c>
      <c r="I28" s="199">
        <v>0</v>
      </c>
      <c r="J28" s="200">
        <v>250000000</v>
      </c>
      <c r="K28" s="201" t="s">
        <v>398</v>
      </c>
      <c r="L28" s="202" t="s">
        <v>155</v>
      </c>
      <c r="M28" s="203" t="s">
        <v>422</v>
      </c>
      <c r="N28" s="196" t="s">
        <v>330</v>
      </c>
      <c r="O28" s="194" t="s">
        <v>925</v>
      </c>
      <c r="P28" s="203" t="s">
        <v>161</v>
      </c>
      <c r="Q28" s="204" t="s">
        <v>765</v>
      </c>
      <c r="R28" s="203" t="s">
        <v>331</v>
      </c>
      <c r="S28" s="162" t="str">
        <f>MID(PAA[[#This Row],[Meta Proyecto de Inversión]],1,4)</f>
        <v>No a</v>
      </c>
      <c r="T28" s="162" t="str">
        <f>MID(PAA[[#This Row],[Meta Proyecto de Inversión]],6,1)</f>
        <v>l</v>
      </c>
      <c r="U28" s="187" t="str">
        <f>IFERROR(VLOOKUP(N28,TD!$B$50:$F$54,2,0)," ")</f>
        <v>NA</v>
      </c>
      <c r="V28" s="187" t="str">
        <f>IFERROR(VLOOKUP(N28,TD!$B$50:$F$54,3,0)," ")</f>
        <v>NA</v>
      </c>
      <c r="W28" s="187" t="str">
        <f>IFERROR(VLOOKUP(N28,TD!$B$50:$F$54,4,0)," ")</f>
        <v>NA</v>
      </c>
      <c r="X28" s="203" t="s">
        <v>335</v>
      </c>
      <c r="Y28" s="187" t="str">
        <f>IFERROR(VLOOKUP(X28,TD!$J$51:$K$64,2,0)," ")</f>
        <v>N/A</v>
      </c>
      <c r="Z28" s="164" t="str">
        <f t="shared" si="0"/>
        <v>N/A-N/A</v>
      </c>
      <c r="AA28" s="203" t="s">
        <v>335</v>
      </c>
      <c r="AB28" s="187" t="str">
        <f>IFERROR(VLOOKUP(AA28,TD!$N$51:$O$66,2,0)," ")</f>
        <v>N/A</v>
      </c>
      <c r="AC28" s="164" t="str">
        <f t="shared" si="1"/>
        <v>N/A_N/A</v>
      </c>
      <c r="AD28" s="164" t="str">
        <f t="shared" si="2"/>
        <v>N/A-N/A N/A_N/A</v>
      </c>
      <c r="AE28" s="187" t="str">
        <f t="shared" si="3"/>
        <v>NANANAN/AN/A</v>
      </c>
      <c r="AF28" s="187" t="str">
        <f>IFERROR(VLOOKUP(AD28,TD!$J$66:$K$89,2,0)," ")</f>
        <v>N/A</v>
      </c>
      <c r="AG28" s="191" t="s">
        <v>332</v>
      </c>
      <c r="AH28" s="203" t="s">
        <v>193</v>
      </c>
      <c r="AI28" s="207" t="str">
        <f>CONCATENATE(PAA[[#This Row],[Id Interno]],"-",PAA[[#This Row],[tipo de Contrato (TH talento humano - B/S bienes y/o servicios)]],"-",S28,"-",T28,"-",PAA[[#This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29" spans="2:35" s="152" customFormat="1" ht="56" x14ac:dyDescent="0.35">
      <c r="B29" s="196">
        <v>20260618</v>
      </c>
      <c r="C29" s="188" t="s">
        <v>1035</v>
      </c>
      <c r="D29" s="196" t="s">
        <v>88</v>
      </c>
      <c r="E29" s="196" t="s">
        <v>402</v>
      </c>
      <c r="F29" s="196" t="s">
        <v>101</v>
      </c>
      <c r="G29" s="197" t="s">
        <v>379</v>
      </c>
      <c r="H29" s="198">
        <v>4</v>
      </c>
      <c r="I29" s="198">
        <v>0</v>
      </c>
      <c r="J29" s="200">
        <v>180000000</v>
      </c>
      <c r="K29" s="201" t="s">
        <v>398</v>
      </c>
      <c r="L29" s="202" t="s">
        <v>158</v>
      </c>
      <c r="M29" s="203" t="s">
        <v>421</v>
      </c>
      <c r="N29" s="196" t="s">
        <v>198</v>
      </c>
      <c r="O29" s="193" t="s">
        <v>926</v>
      </c>
      <c r="P29" s="203" t="s">
        <v>348</v>
      </c>
      <c r="Q29" s="204">
        <v>80111600</v>
      </c>
      <c r="R29" s="203" t="s">
        <v>211</v>
      </c>
      <c r="S29" s="162" t="str">
        <f>MID(PAA[[#This Row],[Meta Proyecto de Inversión]],1,4)</f>
        <v>8173</v>
      </c>
      <c r="T29" s="162" t="str">
        <f>MID(PAA[[#This Row],[Meta Proyecto de Inversión]],6,1)</f>
        <v>2</v>
      </c>
      <c r="U29" s="187" t="str">
        <f>IFERROR(VLOOKUP(N29,TD!$B$50:$F$54,2,0)," ")</f>
        <v>O230117</v>
      </c>
      <c r="V29" s="187" t="str">
        <f>IFERROR(VLOOKUP(N29,TD!$B$50:$F$54,3,0)," ")</f>
        <v>4503</v>
      </c>
      <c r="W29" s="187">
        <f>IFERROR(VLOOKUP(N29,TD!$B$50:$F$54,4,0)," ")</f>
        <v>20240255</v>
      </c>
      <c r="X29" s="193" t="s">
        <v>178</v>
      </c>
      <c r="Y29" s="205" t="str">
        <f>IFERROR(VLOOKUP(X29,TD!$J$51:$K$64,2,0)," ")</f>
        <v>Servicio de dotación y equipamento para el personal operativo</v>
      </c>
      <c r="Z29" s="164" t="str">
        <f t="shared" si="0"/>
        <v>10-Servicio de dotación y equipamento para el personal operativo</v>
      </c>
      <c r="AA29" s="193" t="s">
        <v>221</v>
      </c>
      <c r="AB29" s="205" t="str">
        <f>IFERROR(VLOOKUP(AA29,TD!$N$51:$O$66,2,0)," ")</f>
        <v>Servicio de atención a emergencias y desastres</v>
      </c>
      <c r="AC29" s="164" t="str">
        <f t="shared" si="1"/>
        <v>004_Servicio de atención a emergencias y desastres</v>
      </c>
      <c r="AD29" s="164" t="str">
        <f t="shared" si="2"/>
        <v>10-Servicio de dotación y equipamento para el personal operativo 004_Servicio de atención a emergencias y desastres</v>
      </c>
      <c r="AE29" s="187" t="str">
        <f t="shared" si="3"/>
        <v>O23011745032024025510004</v>
      </c>
      <c r="AF29" s="187" t="str">
        <f>IFERROR(VLOOKUP(AD29,TD!$J$66:$K$89,2,0)," ")</f>
        <v>PM/0131/0110/45030040255</v>
      </c>
      <c r="AG29" s="191" t="s">
        <v>80</v>
      </c>
      <c r="AH29" s="203" t="s">
        <v>193</v>
      </c>
      <c r="AI29" s="217" t="str">
        <f>CONCATENATE(PAA[[#This Row],[Id Interno]],"-",PAA[[#This Row],[tipo de Contrato (TH talento humano - B/S bienes y/o servicios)]],"-",S29,"-",T29,"-",PAA[[#This Row],[Objeto de la contratación]])</f>
        <v>20260618-BS-8173-2-Prestar los servicios profesionales para  la Subdirección Operativa en el fortalecimiento de los procesos de intercambio y formación del personal operativo y administrativo, en articulación con las demás áreas de la entidad S.O.</v>
      </c>
    </row>
    <row r="30" spans="2:35" s="152" customFormat="1" ht="98" x14ac:dyDescent="0.35">
      <c r="B30" s="196">
        <v>20260661</v>
      </c>
      <c r="C30" s="188" t="s">
        <v>981</v>
      </c>
      <c r="D30" s="196" t="s">
        <v>100</v>
      </c>
      <c r="E30" s="196" t="s">
        <v>402</v>
      </c>
      <c r="F30" s="196" t="s">
        <v>89</v>
      </c>
      <c r="G30" s="197" t="s">
        <v>377</v>
      </c>
      <c r="H30" s="198">
        <v>24</v>
      </c>
      <c r="I30" s="198">
        <v>0</v>
      </c>
      <c r="J30" s="200">
        <v>0</v>
      </c>
      <c r="K30" s="201" t="s">
        <v>398</v>
      </c>
      <c r="L30" s="202" t="s">
        <v>154</v>
      </c>
      <c r="M30" s="203" t="s">
        <v>448</v>
      </c>
      <c r="N30" s="196" t="s">
        <v>335</v>
      </c>
      <c r="O30" s="203" t="s">
        <v>925</v>
      </c>
      <c r="P30" s="203" t="s">
        <v>335</v>
      </c>
      <c r="Q30" s="204">
        <v>84131605</v>
      </c>
      <c r="R30" s="203" t="s">
        <v>331</v>
      </c>
      <c r="S30" s="203" t="str">
        <f>MID(PAA[[#This Row],[Meta Proyecto de Inversión]],1,4)</f>
        <v>No a</v>
      </c>
      <c r="T30" s="203" t="str">
        <f>MID(PAA[[#This Row],[Meta Proyecto de Inversión]],6,1)</f>
        <v>l</v>
      </c>
      <c r="U30" s="187" t="str">
        <f>IFERROR(VLOOKUP(N30,TD!$B$50:$F$54,2,0)," ")</f>
        <v>NA</v>
      </c>
      <c r="V30" s="187" t="str">
        <f>IFERROR(VLOOKUP(N30,TD!$B$50:$F$54,3,0)," ")</f>
        <v>NA</v>
      </c>
      <c r="W30" s="187" t="str">
        <f>IFERROR(VLOOKUP(N30,TD!$B$50:$F$54,4,0)," ")</f>
        <v>NA</v>
      </c>
      <c r="X30" s="203" t="s">
        <v>335</v>
      </c>
      <c r="Y30" s="187" t="str">
        <f>IFERROR(VLOOKUP(X30,TD!$J$51:$K$64,2,0)," ")</f>
        <v>N/A</v>
      </c>
      <c r="Z30" s="216" t="str">
        <f t="shared" si="0"/>
        <v>N/A-N/A</v>
      </c>
      <c r="AA30" s="203" t="s">
        <v>335</v>
      </c>
      <c r="AB30" s="187" t="str">
        <f>IFERROR(VLOOKUP(AA30,TD!$N$51:$O$66,2,0)," ")</f>
        <v>N/A</v>
      </c>
      <c r="AC30" s="216" t="str">
        <f t="shared" si="1"/>
        <v>N/A_N/A</v>
      </c>
      <c r="AD30" s="216" t="str">
        <f t="shared" si="2"/>
        <v>N/A-N/A N/A_N/A</v>
      </c>
      <c r="AE30" s="187" t="str">
        <f t="shared" si="3"/>
        <v>NANANAN/AN/A</v>
      </c>
      <c r="AF30" s="187" t="str">
        <f>IFERROR(VLOOKUP(AD30,TD!$J$66:$K$89,2,0)," ")</f>
        <v>N/A</v>
      </c>
      <c r="AG30" s="191" t="s">
        <v>332</v>
      </c>
      <c r="AH30" s="203" t="s">
        <v>194</v>
      </c>
      <c r="AI30" s="217" t="str">
        <f>CONCATENATE(PAA[[#This Row],[Id Interno]],"-",PAA[[#This Row],[tipo de Contrato (TH talento humano - B/S bienes y/o servicios)]],"-",S30,"-",T30,"-",PAA[[#This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31" spans="2:35" s="152" customFormat="1" ht="56" x14ac:dyDescent="0.35">
      <c r="B31" s="188">
        <v>20260671</v>
      </c>
      <c r="C31" s="188" t="s">
        <v>1001</v>
      </c>
      <c r="D31" s="188" t="s">
        <v>114</v>
      </c>
      <c r="E31" s="188" t="s">
        <v>402</v>
      </c>
      <c r="F31" s="188" t="s">
        <v>89</v>
      </c>
      <c r="G31" s="197" t="s">
        <v>377</v>
      </c>
      <c r="H31" s="208">
        <v>12</v>
      </c>
      <c r="I31" s="208">
        <v>0</v>
      </c>
      <c r="J31" s="191">
        <v>520462598</v>
      </c>
      <c r="K31" s="192" t="s">
        <v>398</v>
      </c>
      <c r="L31" s="189" t="s">
        <v>151</v>
      </c>
      <c r="M31" s="193" t="s">
        <v>401</v>
      </c>
      <c r="N31" s="188" t="s">
        <v>197</v>
      </c>
      <c r="O31" s="193" t="s">
        <v>925</v>
      </c>
      <c r="P31" s="193" t="s">
        <v>348</v>
      </c>
      <c r="Q31" s="195" t="s">
        <v>1002</v>
      </c>
      <c r="R31" s="193" t="s">
        <v>203</v>
      </c>
      <c r="S31" s="162" t="str">
        <f>MID(PAA[[#This Row],[Meta Proyecto de Inversión]],1,4)</f>
        <v>8126</v>
      </c>
      <c r="T31" s="162" t="str">
        <f>MID(PAA[[#This Row],[Meta Proyecto de Inversión]],6,1)</f>
        <v>4</v>
      </c>
      <c r="U31" s="205" t="str">
        <f>IFERROR(VLOOKUP(N31,TD!$B$50:$F$54,2,0)," ")</f>
        <v>O230117</v>
      </c>
      <c r="V31" s="205" t="str">
        <f>IFERROR(VLOOKUP(N31,TD!$B$50:$F$54,3,0)," ")</f>
        <v>4599</v>
      </c>
      <c r="W31" s="205">
        <f>IFERROR(VLOOKUP(N31,TD!$B$50:$F$54,4,0)," ")</f>
        <v>20240207</v>
      </c>
      <c r="X31" s="193" t="s">
        <v>168</v>
      </c>
      <c r="Y31" s="205" t="str">
        <f>IFERROR(VLOOKUP(X31,TD!$J$51:$K$64,2,0)," ")</f>
        <v>Infraestructura Tecnológica   (Sistemas de Información y Tecnologia)</v>
      </c>
      <c r="Z31" s="164" t="str">
        <f t="shared" si="0"/>
        <v>11-Infraestructura Tecnológica   (Sistemas de Información y Tecnologia)</v>
      </c>
      <c r="AA31" s="193" t="s">
        <v>228</v>
      </c>
      <c r="AB31" s="205" t="str">
        <f>IFERROR(VLOOKUP(AA31,TD!$N$51:$O$66,2,0)," ")</f>
        <v>Servicios tecnológicos</v>
      </c>
      <c r="AC31" s="164" t="str">
        <f t="shared" si="1"/>
        <v>007_Servicios tecnológicos</v>
      </c>
      <c r="AD31" s="164" t="str">
        <f t="shared" si="2"/>
        <v>11-Infraestructura Tecnológica   (Sistemas de Información y Tecnologia) 007_Servicios tecnológicos</v>
      </c>
      <c r="AE31" s="205" t="str">
        <f t="shared" si="3"/>
        <v>O23011745992024020711007</v>
      </c>
      <c r="AF31" s="205" t="str">
        <f>IFERROR(VLOOKUP(AD31,TD!$J$66:$K$89,2,0)," ")</f>
        <v>PM/0131/0111/45990070207</v>
      </c>
      <c r="AG31" s="191" t="s">
        <v>121</v>
      </c>
      <c r="AH31" s="193" t="s">
        <v>193</v>
      </c>
      <c r="AI31" s="217" t="str">
        <f>CONCATENATE(PAA[[#This Row],[Id Interno]],"-",PAA[[#This Row],[tipo de Contrato (TH talento humano - B/S bienes y/o servicios)]],"-",S31,"-",T31,"-",PAA[[#This Row],[Objeto de la contratación]])</f>
        <v>20260671-BS-8126-4-Contratar la adquisición, renovación y  suscripciones de licencia Microsoft y modulos de seguridad y vulnerabilidad para la U.A.E. Cuerpo Oficial de Bomberos de Bogotá - TIC</v>
      </c>
    </row>
    <row r="32" spans="2:35" s="152" customFormat="1" ht="84" x14ac:dyDescent="0.35">
      <c r="B32" s="188">
        <v>20260672</v>
      </c>
      <c r="C32" s="188" t="s">
        <v>503</v>
      </c>
      <c r="D32" s="188" t="s">
        <v>88</v>
      </c>
      <c r="E32" s="188" t="s">
        <v>402</v>
      </c>
      <c r="F32" s="188" t="s">
        <v>111</v>
      </c>
      <c r="G32" s="189" t="s">
        <v>377</v>
      </c>
      <c r="H32" s="190">
        <v>8</v>
      </c>
      <c r="I32" s="190">
        <v>0</v>
      </c>
      <c r="J32" s="191">
        <v>250000000</v>
      </c>
      <c r="K32" s="192" t="s">
        <v>398</v>
      </c>
      <c r="L32" s="189" t="s">
        <v>157</v>
      </c>
      <c r="M32" s="193" t="s">
        <v>495</v>
      </c>
      <c r="N32" s="188" t="s">
        <v>198</v>
      </c>
      <c r="O32" s="193" t="s">
        <v>926</v>
      </c>
      <c r="P32" s="193" t="s">
        <v>348</v>
      </c>
      <c r="Q32" s="195" t="s">
        <v>504</v>
      </c>
      <c r="R32" s="193" t="s">
        <v>213</v>
      </c>
      <c r="S32" s="162" t="str">
        <f>MID(PAA[[#This Row],[Meta Proyecto de Inversión]],1,4)</f>
        <v>8173</v>
      </c>
      <c r="T32" s="162" t="str">
        <f>MID(PAA[[#This Row],[Meta Proyecto de Inversión]],6,1)</f>
        <v>4</v>
      </c>
      <c r="U32" s="205" t="str">
        <f>IFERROR(VLOOKUP(N32,TD!$B$50:$F$54,2,0)," ")</f>
        <v>O230117</v>
      </c>
      <c r="V32" s="205" t="str">
        <f>IFERROR(VLOOKUP(N32,TD!$B$50:$F$54,3,0)," ")</f>
        <v>4503</v>
      </c>
      <c r="W32" s="205">
        <f>IFERROR(VLOOKUP(N32,TD!$B$50:$F$54,4,0)," ")</f>
        <v>20240255</v>
      </c>
      <c r="X32" s="193" t="s">
        <v>180</v>
      </c>
      <c r="Y32" s="205" t="str">
        <f>IFERROR(VLOOKUP(X32,TD!$J$51:$K$64,2,0)," ")</f>
        <v>Servicio de apoyo   logístico  en eventos operativos y/o emergencias.</v>
      </c>
      <c r="Z32" s="164" t="str">
        <f t="shared" si="0"/>
        <v>12-Servicio de apoyo   logístico  en eventos operativos y/o emergencias.</v>
      </c>
      <c r="AA32" s="193" t="s">
        <v>221</v>
      </c>
      <c r="AB32" s="205" t="str">
        <f>IFERROR(VLOOKUP(AA32,TD!$N$51:$O$66,2,0)," ")</f>
        <v>Servicio de atención a emergencias y desastres</v>
      </c>
      <c r="AC32" s="164" t="str">
        <f t="shared" si="1"/>
        <v>004_Servicio de atención a emergencias y desastres</v>
      </c>
      <c r="AD32" s="164" t="str">
        <f t="shared" si="2"/>
        <v>12-Servicio de apoyo   logístico  en eventos operativos y/o emergencias. 004_Servicio de atención a emergencias y desastres</v>
      </c>
      <c r="AE32" s="205" t="str">
        <f t="shared" si="3"/>
        <v>O23011745032024025512004</v>
      </c>
      <c r="AF32" s="205" t="str">
        <f>IFERROR(VLOOKUP(AD32,TD!$J$66:$K$89,2,0)," ")</f>
        <v>PM/0131/0112/45030040255</v>
      </c>
      <c r="AG32" s="191" t="s">
        <v>102</v>
      </c>
      <c r="AH32" s="193" t="s">
        <v>193</v>
      </c>
      <c r="AI32" s="217" t="str">
        <f>CONCATENATE(PAA[[#This Row],[Id Interno]],"-",PAA[[#This Row],[tipo de Contrato (TH talento humano - B/S bienes y/o servicios)]],"-",S32,"-",T32,"-",PAA[[#This Row],[Objeto de la contratación]])</f>
        <v>20260672-BS-8173-4-Suministro de alimentación e hidratación para el cuerpo operativo en la atención de emergencias, entrenamientos, capacitaciones y actividades de prevención.-SBLG </v>
      </c>
    </row>
    <row r="33" spans="2:35" s="152" customFormat="1" ht="84" x14ac:dyDescent="0.35">
      <c r="B33" s="188">
        <v>20260675</v>
      </c>
      <c r="C33" s="188" t="s">
        <v>1016</v>
      </c>
      <c r="D33" s="188" t="s">
        <v>88</v>
      </c>
      <c r="E33" s="188" t="s">
        <v>402</v>
      </c>
      <c r="F33" s="188" t="s">
        <v>111</v>
      </c>
      <c r="G33" s="197" t="s">
        <v>377</v>
      </c>
      <c r="H33" s="208">
        <v>8</v>
      </c>
      <c r="I33" s="208">
        <v>0</v>
      </c>
      <c r="J33" s="191">
        <v>31000000</v>
      </c>
      <c r="K33" s="192" t="s">
        <v>398</v>
      </c>
      <c r="L33" s="189" t="s">
        <v>157</v>
      </c>
      <c r="M33" s="193" t="s">
        <v>495</v>
      </c>
      <c r="N33" s="188" t="s">
        <v>198</v>
      </c>
      <c r="O33" s="193" t="s">
        <v>926</v>
      </c>
      <c r="P33" s="193" t="s">
        <v>348</v>
      </c>
      <c r="Q33" s="195" t="s">
        <v>504</v>
      </c>
      <c r="R33" s="193" t="s">
        <v>213</v>
      </c>
      <c r="S33" s="162" t="str">
        <f>MID(PAA[[#This Row],[Meta Proyecto de Inversión]],1,4)</f>
        <v>8173</v>
      </c>
      <c r="T33" s="162" t="str">
        <f>MID(PAA[[#This Row],[Meta Proyecto de Inversión]],6,1)</f>
        <v>4</v>
      </c>
      <c r="U33" s="205" t="str">
        <f>IFERROR(VLOOKUP(N33,TD!$B$50:$F$54,2,0)," ")</f>
        <v>O230117</v>
      </c>
      <c r="V33" s="205" t="str">
        <f>IFERROR(VLOOKUP(N33,TD!$B$50:$F$54,3,0)," ")</f>
        <v>4503</v>
      </c>
      <c r="W33" s="205">
        <f>IFERROR(VLOOKUP(N33,TD!$B$50:$F$54,4,0)," ")</f>
        <v>20240255</v>
      </c>
      <c r="X33" s="193" t="s">
        <v>180</v>
      </c>
      <c r="Y33" s="205" t="str">
        <f>IFERROR(VLOOKUP(X33,TD!$J$51:$K$64,2,0)," ")</f>
        <v>Servicio de apoyo   logístico  en eventos operativos y/o emergencias.</v>
      </c>
      <c r="Z33" s="164" t="str">
        <f t="shared" si="0"/>
        <v>12-Servicio de apoyo   logístico  en eventos operativos y/o emergencias.</v>
      </c>
      <c r="AA33" s="193" t="s">
        <v>221</v>
      </c>
      <c r="AB33" s="205" t="str">
        <f>IFERROR(VLOOKUP(AA33,TD!$N$51:$O$66,2,0)," ")</f>
        <v>Servicio de atención a emergencias y desastres</v>
      </c>
      <c r="AC33" s="164" t="str">
        <f t="shared" si="1"/>
        <v>004_Servicio de atención a emergencias y desastres</v>
      </c>
      <c r="AD33" s="164" t="str">
        <f t="shared" si="2"/>
        <v>12-Servicio de apoyo   logístico  en eventos operativos y/o emergencias. 004_Servicio de atención a emergencias y desastres</v>
      </c>
      <c r="AE33" s="205" t="str">
        <f t="shared" si="3"/>
        <v>O23011745032024025512004</v>
      </c>
      <c r="AF33" s="205" t="str">
        <f>IFERROR(VLOOKUP(AD33,TD!$J$66:$K$89,2,0)," ")</f>
        <v>PM/0131/0112/45030040255</v>
      </c>
      <c r="AG33" s="191" t="s">
        <v>102</v>
      </c>
      <c r="AH33" s="193" t="s">
        <v>194</v>
      </c>
      <c r="AI33" s="217" t="str">
        <f>CONCATENATE(PAA[[#This Row],[Id Interno]],"-",PAA[[#This Row],[tipo de Contrato (TH talento humano - B/S bienes y/o servicios)]],"-",S33,"-",T33,"-",PAA[[#This Row],[Objeto de la contratación]])</f>
        <v>20260675-BS-8173-4-Adicion y prorroga al contrato 610-2025 cuyo objeto es: "Suministro de alimentación e hidratación para el cuerpo operativo en la atención de emergencias, entrenamientos, capacitaciones y actividades de prevención.-SBLG"</v>
      </c>
    </row>
    <row r="34" spans="2:35" s="152" customFormat="1" ht="56" x14ac:dyDescent="0.35">
      <c r="B34" s="188">
        <v>20260677</v>
      </c>
      <c r="C34" s="188" t="s">
        <v>1014</v>
      </c>
      <c r="D34" s="188" t="s">
        <v>88</v>
      </c>
      <c r="E34" s="188" t="s">
        <v>402</v>
      </c>
      <c r="F34" s="188" t="s">
        <v>101</v>
      </c>
      <c r="G34" s="197" t="s">
        <v>379</v>
      </c>
      <c r="H34" s="208">
        <v>6</v>
      </c>
      <c r="I34" s="208">
        <v>0</v>
      </c>
      <c r="J34" s="191">
        <v>1000000</v>
      </c>
      <c r="K34" s="192" t="s">
        <v>398</v>
      </c>
      <c r="L34" s="189" t="s">
        <v>157</v>
      </c>
      <c r="M34" s="193" t="s">
        <v>495</v>
      </c>
      <c r="N34" s="188" t="s">
        <v>198</v>
      </c>
      <c r="O34" s="193" t="s">
        <v>926</v>
      </c>
      <c r="P34" s="193" t="s">
        <v>348</v>
      </c>
      <c r="Q34" s="195">
        <v>46191607</v>
      </c>
      <c r="R34" s="193" t="s">
        <v>213</v>
      </c>
      <c r="S34" s="162" t="str">
        <f>MID(PAA[[#This Row],[Meta Proyecto de Inversión]],1,4)</f>
        <v>8173</v>
      </c>
      <c r="T34" s="162" t="str">
        <f>MID(PAA[[#This Row],[Meta Proyecto de Inversión]],6,1)</f>
        <v>4</v>
      </c>
      <c r="U34" s="205" t="str">
        <f>IFERROR(VLOOKUP(N34,TD!$B$50:$F$54,2,0)," ")</f>
        <v>O230117</v>
      </c>
      <c r="V34" s="205" t="str">
        <f>IFERROR(VLOOKUP(N34,TD!$B$50:$F$54,3,0)," ")</f>
        <v>4503</v>
      </c>
      <c r="W34" s="205">
        <f>IFERROR(VLOOKUP(N34,TD!$B$50:$F$54,4,0)," ")</f>
        <v>20240255</v>
      </c>
      <c r="X34" s="193" t="s">
        <v>180</v>
      </c>
      <c r="Y34" s="205" t="str">
        <f>IFERROR(VLOOKUP(X34,TD!$J$51:$K$64,2,0)," ")</f>
        <v>Servicio de apoyo   logístico  en eventos operativos y/o emergencias.</v>
      </c>
      <c r="Z34" s="164" t="str">
        <f t="shared" si="0"/>
        <v>12-Servicio de apoyo   logístico  en eventos operativos y/o emergencias.</v>
      </c>
      <c r="AA34" s="193" t="s">
        <v>221</v>
      </c>
      <c r="AB34" s="205" t="str">
        <f>IFERROR(VLOOKUP(AA34,TD!$N$51:$O$66,2,0)," ")</f>
        <v>Servicio de atención a emergencias y desastres</v>
      </c>
      <c r="AC34" s="164" t="str">
        <f t="shared" si="1"/>
        <v>004_Servicio de atención a emergencias y desastres</v>
      </c>
      <c r="AD34" s="164" t="str">
        <f t="shared" si="2"/>
        <v>12-Servicio de apoyo   logístico  en eventos operativos y/o emergencias. 004_Servicio de atención a emergencias y desastres</v>
      </c>
      <c r="AE34" s="205" t="str">
        <f t="shared" si="3"/>
        <v>O23011745032024025512004</v>
      </c>
      <c r="AF34" s="205" t="str">
        <f>IFERROR(VLOOKUP(AD34,TD!$J$66:$K$89,2,0)," ")</f>
        <v>PM/0131/0112/45030040255</v>
      </c>
      <c r="AG34" s="191" t="s">
        <v>80</v>
      </c>
      <c r="AH34" s="193" t="s">
        <v>193</v>
      </c>
      <c r="AI34" s="217" t="str">
        <f>CONCATENATE(PAA[[#This Row],[Id Interno]],"-",PAA[[#This Row],[tipo de Contrato (TH talento humano - B/S bienes y/o servicios)]],"-",S34,"-",T34,"-",PAA[[#This Row],[Objeto de la contratación]])</f>
        <v>20260677-BS-8173-4-Adquisición de agente encapsulador, para apagar incendios de baterías de iones de litio-SBLG</v>
      </c>
    </row>
    <row r="35" spans="2:35" s="152" customFormat="1" ht="56" x14ac:dyDescent="0.35">
      <c r="B35" s="188">
        <v>20260678</v>
      </c>
      <c r="C35" s="188" t="s">
        <v>1015</v>
      </c>
      <c r="D35" s="188" t="s">
        <v>92</v>
      </c>
      <c r="E35" s="188" t="s">
        <v>402</v>
      </c>
      <c r="F35" s="188" t="s">
        <v>111</v>
      </c>
      <c r="G35" s="197" t="s">
        <v>379</v>
      </c>
      <c r="H35" s="208">
        <v>6</v>
      </c>
      <c r="I35" s="208">
        <v>0</v>
      </c>
      <c r="J35" s="191">
        <v>41000000</v>
      </c>
      <c r="K35" s="192" t="s">
        <v>398</v>
      </c>
      <c r="L35" s="189" t="s">
        <v>157</v>
      </c>
      <c r="M35" s="193" t="s">
        <v>495</v>
      </c>
      <c r="N35" s="188" t="s">
        <v>198</v>
      </c>
      <c r="O35" s="193" t="s">
        <v>926</v>
      </c>
      <c r="P35" s="193" t="s">
        <v>348</v>
      </c>
      <c r="Q35" s="195">
        <v>50192700</v>
      </c>
      <c r="R35" s="193" t="s">
        <v>213</v>
      </c>
      <c r="S35" s="162" t="str">
        <f>MID(PAA[[#This Row],[Meta Proyecto de Inversión]],1,4)</f>
        <v>8173</v>
      </c>
      <c r="T35" s="162" t="str">
        <f>MID(PAA[[#This Row],[Meta Proyecto de Inversión]],6,1)</f>
        <v>4</v>
      </c>
      <c r="U35" s="205" t="str">
        <f>IFERROR(VLOOKUP(N35,TD!$B$50:$F$54,2,0)," ")</f>
        <v>O230117</v>
      </c>
      <c r="V35" s="205" t="str">
        <f>IFERROR(VLOOKUP(N35,TD!$B$50:$F$54,3,0)," ")</f>
        <v>4503</v>
      </c>
      <c r="W35" s="205">
        <f>IFERROR(VLOOKUP(N35,TD!$B$50:$F$54,4,0)," ")</f>
        <v>20240255</v>
      </c>
      <c r="X35" s="193" t="s">
        <v>180</v>
      </c>
      <c r="Y35" s="205" t="str">
        <f>IFERROR(VLOOKUP(X35,TD!$J$51:$K$64,2,0)," ")</f>
        <v>Servicio de apoyo   logístico  en eventos operativos y/o emergencias.</v>
      </c>
      <c r="Z35" s="164" t="str">
        <f t="shared" si="0"/>
        <v>12-Servicio de apoyo   logístico  en eventos operativos y/o emergencias.</v>
      </c>
      <c r="AA35" s="193" t="s">
        <v>221</v>
      </c>
      <c r="AB35" s="205" t="str">
        <f>IFERROR(VLOOKUP(AA35,TD!$N$51:$O$66,2,0)," ")</f>
        <v>Servicio de atención a emergencias y desastres</v>
      </c>
      <c r="AC35" s="164" t="str">
        <f t="shared" si="1"/>
        <v>004_Servicio de atención a emergencias y desastres</v>
      </c>
      <c r="AD35" s="164" t="str">
        <f t="shared" si="2"/>
        <v>12-Servicio de apoyo   logístico  en eventos operativos y/o emergencias. 004_Servicio de atención a emergencias y desastres</v>
      </c>
      <c r="AE35" s="205" t="str">
        <f t="shared" si="3"/>
        <v>O23011745032024025512004</v>
      </c>
      <c r="AF35" s="205" t="str">
        <f>IFERROR(VLOOKUP(AD35,TD!$J$66:$K$89,2,0)," ")</f>
        <v>PM/0131/0112/45030040255</v>
      </c>
      <c r="AG35" s="191" t="s">
        <v>102</v>
      </c>
      <c r="AH35" s="193" t="s">
        <v>193</v>
      </c>
      <c r="AI35" s="217" t="str">
        <f>CONCATENATE(PAA[[#This Row],[Id Interno]],"-",PAA[[#This Row],[tipo de Contrato (TH talento humano - B/S bienes y/o servicios)]],"-",S35,"-",T35,"-",PAA[[#This Row],[Objeto de la contratación]])</f>
        <v>20260678-BS-8173-4-Contratar el suministro de raciones para la atención de emergencias-SBLG</v>
      </c>
    </row>
    <row r="36" spans="2:35" s="152" customFormat="1" ht="42" x14ac:dyDescent="0.35">
      <c r="B36" s="188">
        <v>20260684</v>
      </c>
      <c r="C36" s="188" t="s">
        <v>997</v>
      </c>
      <c r="D36" s="188" t="s">
        <v>78</v>
      </c>
      <c r="E36" s="188" t="s">
        <v>402</v>
      </c>
      <c r="F36" s="188" t="s">
        <v>97</v>
      </c>
      <c r="G36" s="197" t="s">
        <v>379</v>
      </c>
      <c r="H36" s="208">
        <v>10</v>
      </c>
      <c r="I36" s="208">
        <v>0</v>
      </c>
      <c r="J36" s="191">
        <v>570005263</v>
      </c>
      <c r="K36" s="192" t="s">
        <v>398</v>
      </c>
      <c r="L36" s="189" t="s">
        <v>155</v>
      </c>
      <c r="M36" s="193" t="s">
        <v>422</v>
      </c>
      <c r="N36" s="188" t="s">
        <v>198</v>
      </c>
      <c r="O36" s="193" t="s">
        <v>926</v>
      </c>
      <c r="P36" s="193" t="s">
        <v>348</v>
      </c>
      <c r="Q36" s="195" t="s">
        <v>751</v>
      </c>
      <c r="R36" s="193" t="s">
        <v>216</v>
      </c>
      <c r="S36" s="162" t="str">
        <f>MID(PAA[[#This Row],[Meta Proyecto de Inversión]],1,4)</f>
        <v>8173</v>
      </c>
      <c r="T36" s="162" t="str">
        <f>MID(PAA[[#This Row],[Meta Proyecto de Inversión]],6,1)</f>
        <v>7</v>
      </c>
      <c r="U36" s="205" t="str">
        <f>IFERROR(VLOOKUP(N36,TD!$B$50:$F$54,2,0)," ")</f>
        <v>O230117</v>
      </c>
      <c r="V36" s="205" t="str">
        <f>IFERROR(VLOOKUP(N36,TD!$B$50:$F$54,3,0)," ")</f>
        <v>4503</v>
      </c>
      <c r="W36" s="205">
        <f>IFERROR(VLOOKUP(N36,TD!$B$50:$F$54,4,0)," ")</f>
        <v>20240255</v>
      </c>
      <c r="X36" s="193">
        <v>14</v>
      </c>
      <c r="Y36" s="205" t="str">
        <f>IFERROR(VLOOKUP(X36,TD!$J$51:$K$64,2,0)," ")</f>
        <v xml:space="preserve">Infraestructura física misional construida mantenida y dotada </v>
      </c>
      <c r="Z36" s="164" t="str">
        <f t="shared" si="0"/>
        <v xml:space="preserve">14-Infraestructura física misional construida mantenida y dotada </v>
      </c>
      <c r="AA36" s="193" t="s">
        <v>225</v>
      </c>
      <c r="AB36" s="205" t="str">
        <f>IFERROR(VLOOKUP(AA36,TD!$N$51:$O$66,2,0)," ")</f>
        <v>Estaciones de bomberos adecuadas</v>
      </c>
      <c r="AC36" s="164" t="str">
        <f t="shared" si="1"/>
        <v>014_Estaciones de bomberos adecuadas</v>
      </c>
      <c r="AD36" s="164" t="str">
        <f t="shared" si="2"/>
        <v>14-Infraestructura física misional construida mantenida y dotada  014_Estaciones de bomberos adecuadas</v>
      </c>
      <c r="AE36" s="205" t="str">
        <f t="shared" si="3"/>
        <v>O23011745032024025514014</v>
      </c>
      <c r="AF36" s="205" t="str">
        <f>IFERROR(VLOOKUP(AD36,TD!$J$66:$K$89,2,0)," ")</f>
        <v>PM/0131/0114/45030140255</v>
      </c>
      <c r="AG36" s="191" t="s">
        <v>94</v>
      </c>
      <c r="AH36" s="193" t="s">
        <v>193</v>
      </c>
      <c r="AI36" s="217" t="str">
        <f>CONCATENATE(PAA[[#This Row],[Id Interno]],"-",PAA[[#This Row],[tipo de Contrato (TH talento humano - B/S bienes y/o servicios)]],"-",S36,"-",T36,"-",PAA[[#This Row],[Objeto de la contratación]])</f>
        <v>20260684-BS-8173-7-Realizar la adecuación y mejoramiento de las instalaciones de La Unidad Administrativa Especial Cuerpo Oficial de Bomberos de Bogotá D.C. – SGC.C</v>
      </c>
    </row>
    <row r="37" spans="2:35" s="152" customFormat="1" ht="56" x14ac:dyDescent="0.35">
      <c r="B37" s="196">
        <v>20260693</v>
      </c>
      <c r="C37" s="188" t="s">
        <v>1031</v>
      </c>
      <c r="D37" s="196" t="s">
        <v>83</v>
      </c>
      <c r="E37" s="196" t="s">
        <v>402</v>
      </c>
      <c r="F37" s="196" t="s">
        <v>136</v>
      </c>
      <c r="G37" s="197" t="s">
        <v>376</v>
      </c>
      <c r="H37" s="198">
        <v>1</v>
      </c>
      <c r="I37" s="198">
        <v>0</v>
      </c>
      <c r="J37" s="200">
        <v>20000000</v>
      </c>
      <c r="K37" s="201" t="s">
        <v>398</v>
      </c>
      <c r="L37" s="202" t="s">
        <v>155</v>
      </c>
      <c r="M37" s="203" t="s">
        <v>422</v>
      </c>
      <c r="N37" s="196" t="s">
        <v>197</v>
      </c>
      <c r="O37" s="203" t="s">
        <v>925</v>
      </c>
      <c r="P37" s="203" t="s">
        <v>348</v>
      </c>
      <c r="Q37" s="204" t="s">
        <v>764</v>
      </c>
      <c r="R37" s="203" t="s">
        <v>207</v>
      </c>
      <c r="S37" s="213" t="str">
        <f>MID(PAA[[#This Row],[Meta Proyecto de Inversión]],1,4)</f>
        <v>8126</v>
      </c>
      <c r="T37" s="213" t="str">
        <f>MID(PAA[[#This Row],[Meta Proyecto de Inversión]],6,1)</f>
        <v>8</v>
      </c>
      <c r="U37" s="187" t="str">
        <f>IFERROR(VLOOKUP(N37,TD!$B$50:$F$54,2,0)," ")</f>
        <v>O230117</v>
      </c>
      <c r="V37" s="187" t="str">
        <f>IFERROR(VLOOKUP(N37,TD!$B$50:$F$54,3,0)," ")</f>
        <v>4599</v>
      </c>
      <c r="W37" s="187">
        <f>IFERROR(VLOOKUP(N37,TD!$B$50:$F$54,4,0)," ")</f>
        <v>20240207</v>
      </c>
      <c r="X37" s="193" t="s">
        <v>174</v>
      </c>
      <c r="Y37" s="205" t="str">
        <f>IFERROR(VLOOKUP(X37,TD!$J$51:$K$64,2,0)," ")</f>
        <v>Infraestructura física, mantenimiento y dotación (Sedes construidas, mantenidas reforzadas)</v>
      </c>
      <c r="Z37" s="215" t="str">
        <f t="shared" si="0"/>
        <v>08-Infraestructura física, mantenimiento y dotación (Sedes construidas, mantenidas reforzadas)</v>
      </c>
      <c r="AA37" s="193" t="s">
        <v>227</v>
      </c>
      <c r="AB37" s="205" t="str">
        <f>IFERROR(VLOOKUP(AA37,TD!$N$51:$O$66,2,0)," ")</f>
        <v>Sedes mantenidas</v>
      </c>
      <c r="AC37" s="215" t="str">
        <f t="shared" si="1"/>
        <v>016_Sedes mantenidas</v>
      </c>
      <c r="AD37" s="215" t="str">
        <f t="shared" si="2"/>
        <v>08-Infraestructura física, mantenimiento y dotación (Sedes construidas, mantenidas reforzadas) 016_Sedes mantenidas</v>
      </c>
      <c r="AE37" s="187" t="str">
        <f t="shared" si="3"/>
        <v>O23011745992024020708016</v>
      </c>
      <c r="AF37" s="205" t="str">
        <f>IFERROR(VLOOKUP(AD37,TD!$J$66:$K$89,2,0)," ")</f>
        <v>PM/0131/0108/45990160207</v>
      </c>
      <c r="AG37" s="191" t="s">
        <v>80</v>
      </c>
      <c r="AH37" s="203" t="s">
        <v>194</v>
      </c>
      <c r="AI37" s="217" t="str">
        <f>CONCATENATE(PAA[[#This Row],[Id Interno]],"-",PAA[[#This Row],[tipo de Contrato (TH talento humano - B/S bienes y/o servicios)]],"-",S37,"-",T37,"-",PAA[[#This Row],[Objeto de la contratación]])</f>
        <v>20260693-BS-8126-8-Adición No. 1 al contrato 538 de 2025 que tiene como objeto “Realizar el mantenimiento preventivo, correctivo de puertas automatizadas para las salas de máquinas de las estaciones de la UAE Cuerpo Oficial de Bomberos-SGC</v>
      </c>
    </row>
    <row r="38" spans="2:35" s="152" customFormat="1" ht="56" x14ac:dyDescent="0.35">
      <c r="B38" s="196">
        <v>20260694</v>
      </c>
      <c r="C38" s="188" t="s">
        <v>1044</v>
      </c>
      <c r="D38" s="196" t="s">
        <v>92</v>
      </c>
      <c r="E38" s="196" t="s">
        <v>402</v>
      </c>
      <c r="F38" s="196" t="s">
        <v>101</v>
      </c>
      <c r="G38" s="197" t="s">
        <v>376</v>
      </c>
      <c r="H38" s="198">
        <v>1</v>
      </c>
      <c r="I38" s="198">
        <v>0</v>
      </c>
      <c r="J38" s="200">
        <v>14994737</v>
      </c>
      <c r="K38" s="201" t="s">
        <v>398</v>
      </c>
      <c r="L38" s="202" t="s">
        <v>155</v>
      </c>
      <c r="M38" s="203" t="s">
        <v>422</v>
      </c>
      <c r="N38" s="196" t="s">
        <v>198</v>
      </c>
      <c r="O38" s="203" t="s">
        <v>926</v>
      </c>
      <c r="P38" s="203" t="s">
        <v>348</v>
      </c>
      <c r="Q38" s="204" t="s">
        <v>1032</v>
      </c>
      <c r="R38" s="203" t="s">
        <v>351</v>
      </c>
      <c r="S38" s="213" t="str">
        <f>MID(PAA[[#This Row],[Meta Proyecto de Inversión]],1,4)</f>
        <v>8173</v>
      </c>
      <c r="T38" s="213" t="str">
        <f>MID(PAA[[#This Row],[Meta Proyecto de Inversión]],6,1)</f>
        <v>1</v>
      </c>
      <c r="U38" s="187" t="str">
        <f>IFERROR(VLOOKUP(N38,TD!$B$50:$F$54,2,0)," ")</f>
        <v>O230117</v>
      </c>
      <c r="V38" s="187" t="str">
        <f>IFERROR(VLOOKUP(N38,TD!$B$50:$F$54,3,0)," ")</f>
        <v>4503</v>
      </c>
      <c r="W38" s="187">
        <f>IFERROR(VLOOKUP(N38,TD!$B$50:$F$54,4,0)," ")</f>
        <v>20240255</v>
      </c>
      <c r="X38" s="203">
        <v>14</v>
      </c>
      <c r="Y38" s="205" t="str">
        <f>IFERROR(VLOOKUP(X38,TD!$J$51:$K$64,2,0)," ")</f>
        <v xml:space="preserve">Infraestructura física misional construida mantenida y dotada </v>
      </c>
      <c r="Z38" s="215" t="str">
        <f t="shared" si="0"/>
        <v xml:space="preserve">14-Infraestructura física misional construida mantenida y dotada </v>
      </c>
      <c r="AA38" s="203" t="s">
        <v>225</v>
      </c>
      <c r="AB38" s="205" t="str">
        <f>IFERROR(VLOOKUP(AA38,TD!$N$51:$O$66,2,0)," ")</f>
        <v>Estaciones de bomberos adecuadas</v>
      </c>
      <c r="AC38" s="215" t="str">
        <f t="shared" si="1"/>
        <v>014_Estaciones de bomberos adecuadas</v>
      </c>
      <c r="AD38" s="215" t="str">
        <f t="shared" si="2"/>
        <v>14-Infraestructura física misional construida mantenida y dotada  014_Estaciones de bomberos adecuadas</v>
      </c>
      <c r="AE38" s="187" t="str">
        <f t="shared" si="3"/>
        <v>O23011745032024025514014</v>
      </c>
      <c r="AF38" s="205" t="str">
        <f>IFERROR(VLOOKUP(AD38,TD!$J$66:$K$89,2,0)," ")</f>
        <v>PM/0131/0114/45030140255</v>
      </c>
      <c r="AG38" s="191" t="s">
        <v>356</v>
      </c>
      <c r="AH38" s="203" t="s">
        <v>194</v>
      </c>
      <c r="AI38" s="217" t="str">
        <f>CONCATENATE(PAA[[#This Row],[Id Interno]],"-",PAA[[#This Row],[tipo de Contrato (TH talento humano - B/S bienes y/o servicios)]],"-",S38,"-",T38,"-",PAA[[#This Row],[Objeto de la contratación]])</f>
        <v>20260694-BS-8173-1-Adición y prorroga No. 1 al contrato 713 de 2025 que tiene como objeto “Adquisición de elementos de menaje para la UAECOB-SGC"</v>
      </c>
    </row>
    <row r="39" spans="2:35" s="152" customFormat="1" ht="56" x14ac:dyDescent="0.35">
      <c r="B39" s="196">
        <v>20260695</v>
      </c>
      <c r="C39" s="188" t="s">
        <v>983</v>
      </c>
      <c r="D39" s="196" t="s">
        <v>105</v>
      </c>
      <c r="E39" s="196" t="s">
        <v>363</v>
      </c>
      <c r="F39" s="196" t="s">
        <v>144</v>
      </c>
      <c r="G39" s="197" t="s">
        <v>379</v>
      </c>
      <c r="H39" s="198">
        <v>7</v>
      </c>
      <c r="I39" s="198">
        <v>0</v>
      </c>
      <c r="J39" s="200">
        <v>241000000</v>
      </c>
      <c r="K39" s="201" t="s">
        <v>398</v>
      </c>
      <c r="L39" s="202" t="s">
        <v>158</v>
      </c>
      <c r="M39" s="203" t="s">
        <v>421</v>
      </c>
      <c r="N39" s="196" t="s">
        <v>198</v>
      </c>
      <c r="O39" s="203" t="s">
        <v>926</v>
      </c>
      <c r="P39" s="203" t="s">
        <v>348</v>
      </c>
      <c r="Q39" s="204">
        <v>80111600</v>
      </c>
      <c r="R39" s="203" t="s">
        <v>211</v>
      </c>
      <c r="S39" s="211" t="str">
        <f>MID(PAA[[#This Row],[Meta Proyecto de Inversión]],1,4)</f>
        <v>8173</v>
      </c>
      <c r="T39" s="211" t="str">
        <f>MID(PAA[[#This Row],[Meta Proyecto de Inversión]],6,1)</f>
        <v>2</v>
      </c>
      <c r="U39" s="187" t="str">
        <f>IFERROR(VLOOKUP(N39,TD!$B$50:$F$54,2,0)," ")</f>
        <v>O230117</v>
      </c>
      <c r="V39" s="187" t="str">
        <f>IFERROR(VLOOKUP(N39,TD!$B$50:$F$54,3,0)," ")</f>
        <v>4503</v>
      </c>
      <c r="W39" s="187">
        <f>IFERROR(VLOOKUP(N39,TD!$B$50:$F$54,4,0)," ")</f>
        <v>20240255</v>
      </c>
      <c r="X39" s="203" t="s">
        <v>164</v>
      </c>
      <c r="Y39" s="205" t="str">
        <f>IFERROR(VLOOKUP(X39,TD!$J$51:$K$64,2,0)," ")</f>
        <v>Servicio de atención a incidentes y emergencias.</v>
      </c>
      <c r="Z39" s="214" t="str">
        <f t="shared" si="0"/>
        <v>04-Servicio de atención a incidentes y emergencias.</v>
      </c>
      <c r="AA39" s="203" t="s">
        <v>221</v>
      </c>
      <c r="AB39" s="205" t="str">
        <f>IFERROR(VLOOKUP(AA39,TD!$N$51:$O$66,2,0)," ")</f>
        <v>Servicio de atención a emergencias y desastres</v>
      </c>
      <c r="AC39" s="214" t="str">
        <f t="shared" si="1"/>
        <v>004_Servicio de atención a emergencias y desastres</v>
      </c>
      <c r="AD39" s="214" t="str">
        <f t="shared" si="2"/>
        <v>04-Servicio de atención a incidentes y emergencias. 004_Servicio de atención a emergencias y desastres</v>
      </c>
      <c r="AE39" s="187" t="str">
        <f t="shared" si="3"/>
        <v>O23011745032024025504004</v>
      </c>
      <c r="AF39" s="205" t="str">
        <f>IFERROR(VLOOKUP(AD39,TD!$J$66:$K$89,2,0)," ")</f>
        <v>PM/0131/0104/45030040255</v>
      </c>
      <c r="AG39" s="191" t="s">
        <v>385</v>
      </c>
      <c r="AH39" s="203" t="s">
        <v>193</v>
      </c>
      <c r="AI39" s="217" t="str">
        <f>CONCATENATE(PAA[[#This Row],[Id Interno]],"-",PAA[[#This Row],[tipo de Contrato (TH talento humano - B/S bienes y/o servicios)]],"-",S39,"-",T39,"-",PAA[[#This Row],[Objeto de la contratación]])</f>
        <v>20260695-TH-8173-2-Prestación de servicios profesionales para atender las actividades de seguimiento, verificación y control de los procesos y procedimientos, para el desarrollo de los programas a cargo de la Subdirección Operativa-S.O.</v>
      </c>
    </row>
    <row r="40" spans="2:35" s="152" customFormat="1" ht="56" x14ac:dyDescent="0.35">
      <c r="B40" s="196">
        <v>20260696</v>
      </c>
      <c r="C40" s="188" t="s">
        <v>1034</v>
      </c>
      <c r="D40" s="196" t="s">
        <v>92</v>
      </c>
      <c r="E40" s="196" t="s">
        <v>402</v>
      </c>
      <c r="F40" s="196" t="s">
        <v>101</v>
      </c>
      <c r="G40" s="197" t="s">
        <v>379</v>
      </c>
      <c r="H40" s="198">
        <v>3</v>
      </c>
      <c r="I40" s="198">
        <v>0</v>
      </c>
      <c r="J40" s="200">
        <v>48000000</v>
      </c>
      <c r="K40" s="201" t="s">
        <v>398</v>
      </c>
      <c r="L40" s="202" t="s">
        <v>158</v>
      </c>
      <c r="M40" s="203" t="s">
        <v>421</v>
      </c>
      <c r="N40" s="196" t="s">
        <v>198</v>
      </c>
      <c r="O40" s="203" t="s">
        <v>926</v>
      </c>
      <c r="P40" s="203" t="s">
        <v>348</v>
      </c>
      <c r="Q40" s="204">
        <v>10101500</v>
      </c>
      <c r="R40" s="203" t="s">
        <v>211</v>
      </c>
      <c r="S40" s="211" t="str">
        <f>MID(PAA[[#This Row],[Meta Proyecto de Inversión]],1,4)</f>
        <v>8173</v>
      </c>
      <c r="T40" s="211" t="str">
        <f>MID(PAA[[#This Row],[Meta Proyecto de Inversión]],6,1)</f>
        <v>2</v>
      </c>
      <c r="U40" s="187" t="str">
        <f>IFERROR(VLOOKUP(N40,TD!$B$50:$F$54,2,0)," ")</f>
        <v>O230117</v>
      </c>
      <c r="V40" s="187" t="str">
        <f>IFERROR(VLOOKUP(N40,TD!$B$50:$F$54,3,0)," ")</f>
        <v>4503</v>
      </c>
      <c r="W40" s="187">
        <f>IFERROR(VLOOKUP(N40,TD!$B$50:$F$54,4,0)," ")</f>
        <v>20240255</v>
      </c>
      <c r="X40" s="203" t="s">
        <v>164</v>
      </c>
      <c r="Y40" s="205" t="str">
        <f>IFERROR(VLOOKUP(X40,TD!$J$51:$K$64,2,0)," ")</f>
        <v>Servicio de atención a incidentes y emergencias.</v>
      </c>
      <c r="Z40" s="214" t="str">
        <f t="shared" si="0"/>
        <v>04-Servicio de atención a incidentes y emergencias.</v>
      </c>
      <c r="AA40" s="203" t="s">
        <v>221</v>
      </c>
      <c r="AB40" s="205" t="str">
        <f>IFERROR(VLOOKUP(AA40,TD!$N$51:$O$66,2,0)," ")</f>
        <v>Servicio de atención a emergencias y desastres</v>
      </c>
      <c r="AC40" s="214" t="str">
        <f t="shared" si="1"/>
        <v>004_Servicio de atención a emergencias y desastres</v>
      </c>
      <c r="AD40" s="214" t="str">
        <f t="shared" si="2"/>
        <v>04-Servicio de atención a incidentes y emergencias. 004_Servicio de atención a emergencias y desastres</v>
      </c>
      <c r="AE40" s="187" t="str">
        <f t="shared" si="3"/>
        <v>O23011745032024025504004</v>
      </c>
      <c r="AF40" s="205" t="str">
        <f>IFERROR(VLOOKUP(AD40,TD!$J$66:$K$89,2,0)," ")</f>
        <v>PM/0131/0104/45030040255</v>
      </c>
      <c r="AG40" s="191" t="s">
        <v>80</v>
      </c>
      <c r="AH40" s="203" t="s">
        <v>193</v>
      </c>
      <c r="AI40" s="217" t="str">
        <f>CONCATENATE(PAA[[#This Row],[Id Interno]],"-",PAA[[#This Row],[tipo de Contrato (TH talento humano - B/S bienes y/o servicios)]],"-",S40,"-",T40,"-",PAA[[#This Row],[Objeto de la contratación]])</f>
        <v>20260696-BS-8173-2-Adquisición de semovientes caninos para el grupo BRAE, destinados al entrenamiento de búsqueda y localización cinotécnica   para la atención de emergencias de la UAE Cuerpo Oficial de Bomberos de Bogota, s.o.</v>
      </c>
    </row>
    <row r="41" spans="2:35" s="152" customFormat="1" ht="70" x14ac:dyDescent="0.35">
      <c r="B41" s="188">
        <v>20260697</v>
      </c>
      <c r="C41" s="188" t="s">
        <v>1036</v>
      </c>
      <c r="D41" s="188" t="s">
        <v>88</v>
      </c>
      <c r="E41" s="188" t="s">
        <v>402</v>
      </c>
      <c r="F41" s="188" t="s">
        <v>111</v>
      </c>
      <c r="G41" s="197" t="s">
        <v>377</v>
      </c>
      <c r="H41" s="208">
        <v>2</v>
      </c>
      <c r="I41" s="208">
        <v>0</v>
      </c>
      <c r="J41" s="191">
        <v>48000000</v>
      </c>
      <c r="K41" s="192" t="s">
        <v>398</v>
      </c>
      <c r="L41" s="189" t="s">
        <v>157</v>
      </c>
      <c r="M41" s="193" t="s">
        <v>495</v>
      </c>
      <c r="N41" s="188" t="s">
        <v>198</v>
      </c>
      <c r="O41" s="193" t="s">
        <v>926</v>
      </c>
      <c r="P41" s="193" t="s">
        <v>348</v>
      </c>
      <c r="Q41" s="195" t="s">
        <v>1037</v>
      </c>
      <c r="R41" s="193" t="s">
        <v>213</v>
      </c>
      <c r="S41" s="212" t="str">
        <f>MID(PAA[[#This Row],[Meta Proyecto de Inversión]],1,4)</f>
        <v>8173</v>
      </c>
      <c r="T41" s="212" t="str">
        <f>MID(PAA[[#This Row],[Meta Proyecto de Inversión]],6,1)</f>
        <v>4</v>
      </c>
      <c r="U41" s="205" t="str">
        <f>IFERROR(VLOOKUP(N41,TD!$B$50:$F$54,2,0)," ")</f>
        <v>O230117</v>
      </c>
      <c r="V41" s="205" t="str">
        <f>IFERROR(VLOOKUP(N41,TD!$B$50:$F$54,3,0)," ")</f>
        <v>4503</v>
      </c>
      <c r="W41" s="205">
        <f>IFERROR(VLOOKUP(N41,TD!$B$50:$F$54,4,0)," ")</f>
        <v>20240255</v>
      </c>
      <c r="X41" s="193" t="s">
        <v>180</v>
      </c>
      <c r="Y41" s="205" t="str">
        <f>IFERROR(VLOOKUP(X41,TD!$J$51:$K$64,2,0)," ")</f>
        <v>Servicio de apoyo   logístico  en eventos operativos y/o emergencias.</v>
      </c>
      <c r="Z41" s="212" t="str">
        <f t="shared" si="0"/>
        <v>12-Servicio de apoyo   logístico  en eventos operativos y/o emergencias.</v>
      </c>
      <c r="AA41" s="193" t="s">
        <v>221</v>
      </c>
      <c r="AB41" s="205" t="str">
        <f>IFERROR(VLOOKUP(AA41,TD!$N$51:$O$66,2,0)," ")</f>
        <v>Servicio de atención a emergencias y desastres</v>
      </c>
      <c r="AC41" s="212" t="str">
        <f t="shared" si="1"/>
        <v>004_Servicio de atención a emergencias y desastres</v>
      </c>
      <c r="AD41" s="212" t="str">
        <f t="shared" si="2"/>
        <v>12-Servicio de apoyo   logístico  en eventos operativos y/o emergencias. 004_Servicio de atención a emergencias y desastres</v>
      </c>
      <c r="AE41" s="205" t="str">
        <f t="shared" si="3"/>
        <v>O23011745032024025512004</v>
      </c>
      <c r="AF41" s="205" t="str">
        <f>IFERROR(VLOOKUP(AD41,TD!$J$66:$K$89,2,0)," ")</f>
        <v>PM/0131/0112/45030040255</v>
      </c>
      <c r="AG41" s="191" t="s">
        <v>80</v>
      </c>
      <c r="AH41" s="193" t="s">
        <v>194</v>
      </c>
      <c r="AI41" s="217" t="str">
        <f>CONCATENATE(PAA[[#This Row],[Id Interno]],"-",PAA[[#This Row],[tipo de Contrato (TH talento humano - B/S bienes y/o servicios)]],"-",S41,"-",T41,"-",PAA[[#This Row],[Objeto de la contratación]])</f>
        <v>20260697-BS-8173-4-Adicion y prorroga al contrato 684-2025 cuyo objeto es: "Suministro de herramientas especializadas, equipos, accesorios y otros elementos de ferretería para garantizar la preparación y atención de emergencias de la U.A.E. Cuerpo Oficial de Bomberos de Bogotá – SBLG".</v>
      </c>
    </row>
    <row r="42" spans="2:35" s="152" customFormat="1" ht="84" x14ac:dyDescent="0.35">
      <c r="B42" s="188">
        <v>20260698</v>
      </c>
      <c r="C42" s="188" t="s">
        <v>1038</v>
      </c>
      <c r="D42" s="188" t="s">
        <v>105</v>
      </c>
      <c r="E42" s="188" t="s">
        <v>402</v>
      </c>
      <c r="F42" s="188" t="s">
        <v>89</v>
      </c>
      <c r="G42" s="197" t="s">
        <v>378</v>
      </c>
      <c r="H42" s="208">
        <v>4</v>
      </c>
      <c r="I42" s="208">
        <v>0</v>
      </c>
      <c r="J42" s="191">
        <v>160000000</v>
      </c>
      <c r="K42" s="192" t="s">
        <v>398</v>
      </c>
      <c r="L42" s="189" t="s">
        <v>157</v>
      </c>
      <c r="M42" s="193" t="s">
        <v>495</v>
      </c>
      <c r="N42" s="188" t="s">
        <v>198</v>
      </c>
      <c r="O42" s="193" t="s">
        <v>926</v>
      </c>
      <c r="P42" s="193" t="s">
        <v>348</v>
      </c>
      <c r="Q42" s="195">
        <v>72101509</v>
      </c>
      <c r="R42" s="193" t="s">
        <v>213</v>
      </c>
      <c r="S42" s="212" t="str">
        <f>MID(PAA[[#This Row],[Meta Proyecto de Inversión]],1,4)</f>
        <v>8173</v>
      </c>
      <c r="T42" s="212" t="str">
        <f>MID(PAA[[#This Row],[Meta Proyecto de Inversión]],6,1)</f>
        <v>4</v>
      </c>
      <c r="U42" s="205" t="str">
        <f>IFERROR(VLOOKUP(N42,TD!$B$50:$F$54,2,0)," ")</f>
        <v>O230117</v>
      </c>
      <c r="V42" s="205" t="str">
        <f>IFERROR(VLOOKUP(N42,TD!$B$50:$F$54,3,0)," ")</f>
        <v>4503</v>
      </c>
      <c r="W42" s="205">
        <f>IFERROR(VLOOKUP(N42,TD!$B$50:$F$54,4,0)," ")</f>
        <v>20240255</v>
      </c>
      <c r="X42" s="193" t="s">
        <v>176</v>
      </c>
      <c r="Y42" s="205" t="str">
        <f>IFERROR(VLOOKUP(X42,TD!$J$51:$K$64,2,0)," ")</f>
        <v>Servicio de mantenimiento, dotación (HEA´s y equipo menor) y adquisición de vehiculos   especializados para la atención de emergencias.</v>
      </c>
      <c r="Z42" s="212" t="str">
        <f t="shared" si="0"/>
        <v>09-Servicio de mantenimiento, dotación (HEA´s y equipo menor) y adquisición de vehiculos   especializados para la atención de emergencias.</v>
      </c>
      <c r="AA42" s="193" t="s">
        <v>221</v>
      </c>
      <c r="AB42" s="205" t="str">
        <f>IFERROR(VLOOKUP(AA42,TD!$N$51:$O$66,2,0)," ")</f>
        <v>Servicio de atención a emergencias y desastres</v>
      </c>
      <c r="AC42" s="212" t="str">
        <f t="shared" si="1"/>
        <v>004_Servicio de atención a emergencias y desastres</v>
      </c>
      <c r="AD42" s="212" t="str">
        <f t="shared" si="2"/>
        <v>09-Servicio de mantenimiento, dotación (HEA´s y equipo menor) y adquisición de vehiculos   especializados para la atención de emergencias. 004_Servicio de atención a emergencias y desastres</v>
      </c>
      <c r="AE42" s="205" t="str">
        <f t="shared" si="3"/>
        <v>O23011745032024025509004</v>
      </c>
      <c r="AF42" s="205" t="str">
        <f>IFERROR(VLOOKUP(AD42,TD!$J$66:$K$89,2,0)," ")</f>
        <v>PM/0131/0109/45030040255</v>
      </c>
      <c r="AG42" s="191" t="s">
        <v>80</v>
      </c>
      <c r="AH42" s="193" t="s">
        <v>193</v>
      </c>
      <c r="AI42" s="217" t="str">
        <f>CONCATENATE(PAA[[#This Row],[Id Interno]],"-",PAA[[#This Row],[tipo de Contrato (TH talento humano - B/S bienes y/o servicios)]],"-",S42,"-",T42,"-",PAA[[#This Row],[Objeto de la contratación]])</f>
        <v>20260698-BS-8173-4-Prestación del servicio de mantenimiento preventivo y correctivo de los equipos de respiración autónoma interspiro propiedad de la UAECOB, incluido el suministro de repuestos, insumos mano de obra especializada –SBLG</v>
      </c>
    </row>
    <row r="43" spans="2:35" s="158" customFormat="1" ht="84" x14ac:dyDescent="0.35">
      <c r="B43" s="196">
        <v>20260699</v>
      </c>
      <c r="C43" s="188" t="s">
        <v>650</v>
      </c>
      <c r="D43" s="196" t="s">
        <v>88</v>
      </c>
      <c r="E43" s="196" t="s">
        <v>402</v>
      </c>
      <c r="F43" s="196" t="s">
        <v>89</v>
      </c>
      <c r="G43" s="197" t="s">
        <v>377</v>
      </c>
      <c r="H43" s="198">
        <v>8</v>
      </c>
      <c r="I43" s="198">
        <v>0</v>
      </c>
      <c r="J43" s="220">
        <v>34981000</v>
      </c>
      <c r="K43" s="201" t="s">
        <v>398</v>
      </c>
      <c r="L43" s="202" t="s">
        <v>157</v>
      </c>
      <c r="M43" s="203" t="s">
        <v>495</v>
      </c>
      <c r="N43" s="196" t="s">
        <v>198</v>
      </c>
      <c r="O43" s="203" t="s">
        <v>926</v>
      </c>
      <c r="P43" s="203" t="s">
        <v>348</v>
      </c>
      <c r="Q43" s="204" t="s">
        <v>517</v>
      </c>
      <c r="R43" s="203" t="s">
        <v>213</v>
      </c>
      <c r="S43" s="162" t="str">
        <f>MID(PAA[[#This Row],[Meta Proyecto de Inversión]],1,4)</f>
        <v>8173</v>
      </c>
      <c r="T43" s="162" t="str">
        <f>MID(PAA[[#This Row],[Meta Proyecto de Inversión]],6,1)</f>
        <v>4</v>
      </c>
      <c r="U43" s="187" t="str">
        <f>IFERROR(VLOOKUP(N43,TD!$B$50:$F$54,2,0)," ")</f>
        <v>O230117</v>
      </c>
      <c r="V43" s="187" t="str">
        <f>IFERROR(VLOOKUP(N43,TD!$B$50:$F$54,3,0)," ")</f>
        <v>4503</v>
      </c>
      <c r="W43" s="187">
        <f>IFERROR(VLOOKUP(N43,TD!$B$50:$F$54,4,0)," ")</f>
        <v>20240255</v>
      </c>
      <c r="X43" s="193" t="s">
        <v>176</v>
      </c>
      <c r="Y43" s="205" t="str">
        <f>IFERROR(VLOOKUP(X43,TD!$J$51:$K$64,2,0)," ")</f>
        <v>Servicio de mantenimiento, dotación (HEA´s y equipo menor) y adquisición de vehiculos   especializados para la atención de emergencias.</v>
      </c>
      <c r="Z43" s="164" t="str">
        <f t="shared" si="0"/>
        <v>09-Servicio de mantenimiento, dotación (HEA´s y equipo menor) y adquisición de vehiculos   especializados para la atención de emergencias.</v>
      </c>
      <c r="AA43" s="193" t="s">
        <v>221</v>
      </c>
      <c r="AB43" s="205" t="str">
        <f>IFERROR(VLOOKUP(AA43,TD!$N$51:$O$66,2,0)," ")</f>
        <v>Servicio de atención a emergencias y desastres</v>
      </c>
      <c r="AC43" s="164" t="str">
        <f t="shared" si="1"/>
        <v>004_Servicio de atención a emergencias y desastres</v>
      </c>
      <c r="AD43" s="164" t="str">
        <f t="shared" si="2"/>
        <v>09-Servicio de mantenimiento, dotación (HEA´s y equipo menor) y adquisición de vehiculos   especializados para la atención de emergencias. 004_Servicio de atención a emergencias y desastres</v>
      </c>
      <c r="AE43" s="187" t="str">
        <f t="shared" si="3"/>
        <v>O23011745032024025509004</v>
      </c>
      <c r="AF43" s="205" t="str">
        <f>IFERROR(VLOOKUP(AD43,TD!$J$66:$K$89,2,0)," ")</f>
        <v>PM/0131/0109/45030040255</v>
      </c>
      <c r="AG43" s="191" t="s">
        <v>80</v>
      </c>
      <c r="AH43" s="193" t="s">
        <v>193</v>
      </c>
      <c r="AI43" s="217" t="str">
        <f>CONCATENATE(PAA[[#This Row],[Id Interno]],"-",PAA[[#This Row],[tipo de Contrato (TH talento humano - B/S bienes y/o servicios)]],"-",S43,"-",T43,"-",PAA[[#This Row],[Objeto de la contratación]])</f>
        <v>20260699-BS-8173-4-Prestar el servicio de  mantenimiento y recarga de extintores, cilindros y tanques de las maquinas extintoras de la UAECOB.  - SBLG</v>
      </c>
    </row>
    <row r="44" spans="2:35" s="152" customFormat="1" ht="56" x14ac:dyDescent="0.35">
      <c r="B44" s="196">
        <v>20260700</v>
      </c>
      <c r="C44" s="188" t="s">
        <v>1042</v>
      </c>
      <c r="D44" s="196" t="s">
        <v>105</v>
      </c>
      <c r="E44" s="196" t="s">
        <v>402</v>
      </c>
      <c r="F44" s="196" t="s">
        <v>130</v>
      </c>
      <c r="G44" s="197" t="s">
        <v>377</v>
      </c>
      <c r="H44" s="198">
        <v>3</v>
      </c>
      <c r="I44" s="198">
        <v>0</v>
      </c>
      <c r="J44" s="220">
        <v>50700000</v>
      </c>
      <c r="K44" s="201" t="s">
        <v>398</v>
      </c>
      <c r="L44" s="202" t="s">
        <v>151</v>
      </c>
      <c r="M44" s="203" t="s">
        <v>401</v>
      </c>
      <c r="N44" s="196" t="s">
        <v>197</v>
      </c>
      <c r="O44" s="203" t="s">
        <v>925</v>
      </c>
      <c r="P44" s="203" t="s">
        <v>348</v>
      </c>
      <c r="Q44" s="204" t="s">
        <v>1043</v>
      </c>
      <c r="R44" s="203" t="s">
        <v>203</v>
      </c>
      <c r="S44" s="213" t="str">
        <f>MID(PAA[[#This Row],[Meta Proyecto de Inversión]],1,4)</f>
        <v>8126</v>
      </c>
      <c r="T44" s="213" t="str">
        <f>MID(PAA[[#This Row],[Meta Proyecto de Inversión]],6,1)</f>
        <v>4</v>
      </c>
      <c r="U44" s="187" t="str">
        <f>IFERROR(VLOOKUP(N44,TD!$B$50:$F$54,2,0)," ")</f>
        <v>O230117</v>
      </c>
      <c r="V44" s="187" t="str">
        <f>IFERROR(VLOOKUP(N44,TD!$B$50:$F$54,3,0)," ")</f>
        <v>4599</v>
      </c>
      <c r="W44" s="187">
        <f>IFERROR(VLOOKUP(N44,TD!$B$50:$F$54,4,0)," ")</f>
        <v>20240207</v>
      </c>
      <c r="X44" s="203" t="s">
        <v>168</v>
      </c>
      <c r="Y44" s="205" t="str">
        <f>IFERROR(VLOOKUP(X44,TD!$J$51:$K$64,2,0)," ")</f>
        <v>Infraestructura Tecnológica   (Sistemas de Información y Tecnologia)</v>
      </c>
      <c r="Z44" s="215" t="str">
        <f t="shared" si="0"/>
        <v>11-Infraestructura Tecnológica   (Sistemas de Información y Tecnologia)</v>
      </c>
      <c r="AA44" s="203" t="s">
        <v>228</v>
      </c>
      <c r="AB44" s="205" t="str">
        <f>IFERROR(VLOOKUP(AA44,TD!$N$51:$O$66,2,0)," ")</f>
        <v>Servicios tecnológicos</v>
      </c>
      <c r="AC44" s="215" t="str">
        <f t="shared" si="1"/>
        <v>007_Servicios tecnológicos</v>
      </c>
      <c r="AD44" s="215" t="str">
        <f t="shared" si="2"/>
        <v>11-Infraestructura Tecnológica   (Sistemas de Información y Tecnologia) 007_Servicios tecnológicos</v>
      </c>
      <c r="AE44" s="187" t="str">
        <f t="shared" si="3"/>
        <v>O23011745992024020711007</v>
      </c>
      <c r="AF44" s="205" t="str">
        <f>IFERROR(VLOOKUP(AD44,TD!$J$66:$K$89,2,0)," ")</f>
        <v>PM/0131/0111/45990070207</v>
      </c>
      <c r="AG44" s="191" t="s">
        <v>116</v>
      </c>
      <c r="AH44" s="203" t="s">
        <v>194</v>
      </c>
      <c r="AI44" s="217" t="str">
        <f>CONCATENATE(PAA[[#This Row],[Id Interno]],"-",PAA[[#This Row],[tipo de Contrato (TH talento humano - B/S bienes y/o servicios)]],"-",S44,"-",T44,"-",PAA[[#This Row],[Objeto de la contratación]])</f>
        <v>20260700-BS-8126-4-Adición y prórroga del contrato 253-2025 cuyo objeto es: Contratar el servicio de soporte y mantenimiento del sistema de gestión documental para la UAE Cuerpo Oficial de Bomberos de Bogotá- TIC.</v>
      </c>
    </row>
    <row r="45" spans="2:35" s="152" customFormat="1" ht="70" x14ac:dyDescent="0.35">
      <c r="B45" s="23">
        <v>20260001</v>
      </c>
      <c r="C45" s="99" t="s">
        <v>568</v>
      </c>
      <c r="D45" s="23" t="s">
        <v>105</v>
      </c>
      <c r="E45" s="23" t="s">
        <v>363</v>
      </c>
      <c r="F45" s="159" t="s">
        <v>144</v>
      </c>
      <c r="G45" s="160" t="s">
        <v>373</v>
      </c>
      <c r="H45" s="161">
        <v>11</v>
      </c>
      <c r="I45" s="161">
        <v>0</v>
      </c>
      <c r="J45" s="149">
        <v>120000000</v>
      </c>
      <c r="K45" s="88" t="s">
        <v>398</v>
      </c>
      <c r="L45" s="159" t="s">
        <v>151</v>
      </c>
      <c r="M45" s="162" t="s">
        <v>401</v>
      </c>
      <c r="N45" s="23" t="s">
        <v>197</v>
      </c>
      <c r="O45" s="150" t="s">
        <v>925</v>
      </c>
      <c r="P45" s="159" t="s">
        <v>348</v>
      </c>
      <c r="Q45" s="53">
        <v>80111600</v>
      </c>
      <c r="R45" s="162" t="s">
        <v>204</v>
      </c>
      <c r="S45" s="162" t="str">
        <f>MID(PAA[[#This Row],[Meta Proyecto de Inversión]],1,4)</f>
        <v>8126</v>
      </c>
      <c r="T45" s="162" t="str">
        <f>MID(PAA[[#This Row],[Meta Proyecto de Inversión]],6,1)</f>
        <v>5</v>
      </c>
      <c r="U45" s="163" t="str">
        <f>IFERROR(VLOOKUP(N45,TD!$B$50:$F$54,2,0)," ")</f>
        <v>O230117</v>
      </c>
      <c r="V45" s="163" t="str">
        <f>IFERROR(VLOOKUP(N45,TD!$B$50:$F$54,3,0)," ")</f>
        <v>4599</v>
      </c>
      <c r="W45" s="163">
        <f>IFERROR(VLOOKUP(N45,TD!$B$50:$F$54,4,0)," ")</f>
        <v>20240207</v>
      </c>
      <c r="X45" s="162" t="s">
        <v>168</v>
      </c>
      <c r="Y45" s="163" t="str">
        <f>IFERROR(VLOOKUP(X45,TD!$J$51:$K$64,2,0)," ")</f>
        <v>Infraestructura Tecnológica   (Sistemas de Información y Tecnologia)</v>
      </c>
      <c r="Z45" s="164" t="str">
        <f t="shared" si="0"/>
        <v>11-Infraestructura Tecnológica   (Sistemas de Información y Tecnologia)</v>
      </c>
      <c r="AA45" s="162" t="s">
        <v>228</v>
      </c>
      <c r="AB45" s="163" t="str">
        <f>IFERROR(VLOOKUP(AA45,TD!$N$51:$O$66,2,0)," ")</f>
        <v>Servicios tecnológicos</v>
      </c>
      <c r="AC45" s="164" t="str">
        <f t="shared" si="1"/>
        <v>007_Servicios tecnológicos</v>
      </c>
      <c r="AD45" s="164" t="str">
        <f t="shared" si="2"/>
        <v>11-Infraestructura Tecnológica   (Sistemas de Información y Tecnologia) 007_Servicios tecnológicos</v>
      </c>
      <c r="AE45" s="163" t="str">
        <f t="shared" si="3"/>
        <v>O23011745992024020711007</v>
      </c>
      <c r="AF45" s="163" t="str">
        <f>IFERROR(VLOOKUP(AD45,TD!$J$66:$K$89,2,0)," ")</f>
        <v>PM/0131/0111/45990070207</v>
      </c>
      <c r="AG45" s="118" t="s">
        <v>385</v>
      </c>
      <c r="AH45" s="162" t="s">
        <v>193</v>
      </c>
      <c r="AI45" s="165" t="str">
        <f>CONCATENATE(PAA[[#This Row],[Id Interno]],"-",PAA[[#This Row],[tipo de Contrato (TH talento humano - B/S bienes y/o servicios)]],"-",S45,"-",T45,"-",PAA[[#This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46" spans="2:35" ht="84" x14ac:dyDescent="0.35">
      <c r="B46" s="23">
        <v>20260002</v>
      </c>
      <c r="C46" s="99" t="s">
        <v>569</v>
      </c>
      <c r="D46" s="23" t="s">
        <v>105</v>
      </c>
      <c r="E46" s="23" t="s">
        <v>363</v>
      </c>
      <c r="F46" s="159" t="s">
        <v>144</v>
      </c>
      <c r="G46" s="160" t="s">
        <v>373</v>
      </c>
      <c r="H46" s="161">
        <v>6</v>
      </c>
      <c r="I46" s="161">
        <v>0</v>
      </c>
      <c r="J46" s="149">
        <v>45000000</v>
      </c>
      <c r="K46" s="88" t="s">
        <v>398</v>
      </c>
      <c r="L46" s="159" t="s">
        <v>151</v>
      </c>
      <c r="M46" s="162" t="s">
        <v>401</v>
      </c>
      <c r="N46" s="23" t="s">
        <v>197</v>
      </c>
      <c r="O46" s="150" t="s">
        <v>925</v>
      </c>
      <c r="P46" s="159" t="s">
        <v>348</v>
      </c>
      <c r="Q46" s="53">
        <v>80111600</v>
      </c>
      <c r="R46" s="162" t="s">
        <v>204</v>
      </c>
      <c r="S46" s="162" t="str">
        <f>MID(PAA[[#This Row],[Meta Proyecto de Inversión]],1,4)</f>
        <v>8126</v>
      </c>
      <c r="T46" s="162" t="str">
        <f>MID(PAA[[#This Row],[Meta Proyecto de Inversión]],6,1)</f>
        <v>5</v>
      </c>
      <c r="U46" s="163" t="str">
        <f>IFERROR(VLOOKUP(N46,TD!$B$50:$F$54,2,0)," ")</f>
        <v>O230117</v>
      </c>
      <c r="V46" s="163" t="str">
        <f>IFERROR(VLOOKUP(N46,TD!$B$50:$F$54,3,0)," ")</f>
        <v>4599</v>
      </c>
      <c r="W46" s="163">
        <f>IFERROR(VLOOKUP(N46,TD!$B$50:$F$54,4,0)," ")</f>
        <v>20240207</v>
      </c>
      <c r="X46" s="162" t="s">
        <v>168</v>
      </c>
      <c r="Y46" s="163" t="str">
        <f>IFERROR(VLOOKUP(X46,TD!$J$51:$K$64,2,0)," ")</f>
        <v>Infraestructura Tecnológica   (Sistemas de Información y Tecnologia)</v>
      </c>
      <c r="Z46" s="164" t="str">
        <f t="shared" si="0"/>
        <v>11-Infraestructura Tecnológica   (Sistemas de Información y Tecnologia)</v>
      </c>
      <c r="AA46" s="162" t="s">
        <v>228</v>
      </c>
      <c r="AB46" s="163" t="str">
        <f>IFERROR(VLOOKUP(AA46,TD!$N$51:$O$66,2,0)," ")</f>
        <v>Servicios tecnológicos</v>
      </c>
      <c r="AC46" s="164" t="str">
        <f t="shared" si="1"/>
        <v>007_Servicios tecnológicos</v>
      </c>
      <c r="AD46" s="164" t="str">
        <f t="shared" si="2"/>
        <v>11-Infraestructura Tecnológica   (Sistemas de Información y Tecnologia) 007_Servicios tecnológicos</v>
      </c>
      <c r="AE46" s="163" t="str">
        <f t="shared" si="3"/>
        <v>O23011745992024020711007</v>
      </c>
      <c r="AF46" s="163" t="str">
        <f>IFERROR(VLOOKUP(AD46,TD!$J$66:$K$89,2,0)," ")</f>
        <v>PM/0131/0111/45990070207</v>
      </c>
      <c r="AG46" s="118" t="s">
        <v>385</v>
      </c>
      <c r="AH46" s="162" t="s">
        <v>193</v>
      </c>
      <c r="AI46" s="165" t="str">
        <f>CONCATENATE(PAA[[#This Row],[Id Interno]],"-",PAA[[#This Row],[tipo de Contrato (TH talento humano - B/S bienes y/o servicios)]],"-",S46,"-",T46,"-",PAA[[#This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47" spans="2:35" s="56" customFormat="1" ht="98" x14ac:dyDescent="0.35">
      <c r="B47" s="23">
        <v>20260003</v>
      </c>
      <c r="C47" s="99" t="s">
        <v>570</v>
      </c>
      <c r="D47" s="23" t="s">
        <v>105</v>
      </c>
      <c r="E47" s="23" t="s">
        <v>363</v>
      </c>
      <c r="F47" s="159" t="s">
        <v>144</v>
      </c>
      <c r="G47" s="160" t="s">
        <v>373</v>
      </c>
      <c r="H47" s="161">
        <v>6</v>
      </c>
      <c r="I47" s="161">
        <v>0</v>
      </c>
      <c r="J47" s="149">
        <v>33000000</v>
      </c>
      <c r="K47" s="88" t="s">
        <v>398</v>
      </c>
      <c r="L47" s="159" t="s">
        <v>151</v>
      </c>
      <c r="M47" s="162" t="s">
        <v>401</v>
      </c>
      <c r="N47" s="23" t="s">
        <v>197</v>
      </c>
      <c r="O47" s="150" t="s">
        <v>925</v>
      </c>
      <c r="P47" s="159" t="s">
        <v>348</v>
      </c>
      <c r="Q47" s="53">
        <v>80111600</v>
      </c>
      <c r="R47" s="162" t="s">
        <v>203</v>
      </c>
      <c r="S47" s="162" t="str">
        <f>MID(PAA[[#This Row],[Meta Proyecto de Inversión]],1,4)</f>
        <v>8126</v>
      </c>
      <c r="T47" s="162" t="str">
        <f>MID(PAA[[#This Row],[Meta Proyecto de Inversión]],6,1)</f>
        <v>4</v>
      </c>
      <c r="U47" s="163" t="str">
        <f>IFERROR(VLOOKUP(N47,TD!$B$50:$F$54,2,0)," ")</f>
        <v>O230117</v>
      </c>
      <c r="V47" s="163" t="str">
        <f>IFERROR(VLOOKUP(N47,TD!$B$50:$F$54,3,0)," ")</f>
        <v>4599</v>
      </c>
      <c r="W47" s="163">
        <f>IFERROR(VLOOKUP(N47,TD!$B$50:$F$54,4,0)," ")</f>
        <v>20240207</v>
      </c>
      <c r="X47" s="162" t="s">
        <v>168</v>
      </c>
      <c r="Y47" s="163" t="str">
        <f>IFERROR(VLOOKUP(X47,TD!$J$51:$K$64,2,0)," ")</f>
        <v>Infraestructura Tecnológica   (Sistemas de Información y Tecnologia)</v>
      </c>
      <c r="Z47" s="164" t="str">
        <f t="shared" si="0"/>
        <v>11-Infraestructura Tecnológica   (Sistemas de Información y Tecnologia)</v>
      </c>
      <c r="AA47" s="162" t="s">
        <v>228</v>
      </c>
      <c r="AB47" s="163" t="str">
        <f>IFERROR(VLOOKUP(AA47,TD!$N$51:$O$66,2,0)," ")</f>
        <v>Servicios tecnológicos</v>
      </c>
      <c r="AC47" s="164" t="str">
        <f t="shared" si="1"/>
        <v>007_Servicios tecnológicos</v>
      </c>
      <c r="AD47" s="164" t="str">
        <f t="shared" si="2"/>
        <v>11-Infraestructura Tecnológica   (Sistemas de Información y Tecnologia) 007_Servicios tecnológicos</v>
      </c>
      <c r="AE47" s="163" t="str">
        <f t="shared" si="3"/>
        <v>O23011745992024020711007</v>
      </c>
      <c r="AF47" s="163" t="str">
        <f>IFERROR(VLOOKUP(AD47,TD!$J$66:$K$89,2,0)," ")</f>
        <v>PM/0131/0111/45990070207</v>
      </c>
      <c r="AG47" s="118" t="s">
        <v>385</v>
      </c>
      <c r="AH47" s="162" t="s">
        <v>193</v>
      </c>
      <c r="AI47" s="165" t="str">
        <f>CONCATENATE(PAA[[#This Row],[Id Interno]],"-",PAA[[#This Row],[tipo de Contrato (TH talento humano - B/S bienes y/o servicios)]],"-",S47,"-",T47,"-",PAA[[#This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48" spans="2:35" ht="70" x14ac:dyDescent="0.35">
      <c r="B48" s="23">
        <v>20260004</v>
      </c>
      <c r="C48" s="99" t="s">
        <v>571</v>
      </c>
      <c r="D48" s="23" t="s">
        <v>105</v>
      </c>
      <c r="E48" s="23" t="s">
        <v>363</v>
      </c>
      <c r="F48" s="159" t="s">
        <v>144</v>
      </c>
      <c r="G48" s="160" t="s">
        <v>373</v>
      </c>
      <c r="H48" s="161">
        <v>6</v>
      </c>
      <c r="I48" s="161">
        <v>0</v>
      </c>
      <c r="J48" s="149">
        <v>57000000</v>
      </c>
      <c r="K48" s="88" t="s">
        <v>398</v>
      </c>
      <c r="L48" s="159" t="s">
        <v>151</v>
      </c>
      <c r="M48" s="162" t="s">
        <v>401</v>
      </c>
      <c r="N48" s="23" t="s">
        <v>197</v>
      </c>
      <c r="O48" s="150" t="s">
        <v>925</v>
      </c>
      <c r="P48" s="159" t="s">
        <v>348</v>
      </c>
      <c r="Q48" s="53">
        <v>80111600</v>
      </c>
      <c r="R48" s="162" t="s">
        <v>203</v>
      </c>
      <c r="S48" s="162" t="str">
        <f>MID(PAA[[#This Row],[Meta Proyecto de Inversión]],1,4)</f>
        <v>8126</v>
      </c>
      <c r="T48" s="162" t="str">
        <f>MID(PAA[[#This Row],[Meta Proyecto de Inversión]],6,1)</f>
        <v>4</v>
      </c>
      <c r="U48" s="163" t="str">
        <f>IFERROR(VLOOKUP(N48,TD!$B$50:$F$54,2,0)," ")</f>
        <v>O230117</v>
      </c>
      <c r="V48" s="163" t="str">
        <f>IFERROR(VLOOKUP(N48,TD!$B$50:$F$54,3,0)," ")</f>
        <v>4599</v>
      </c>
      <c r="W48" s="163">
        <f>IFERROR(VLOOKUP(N48,TD!$B$50:$F$54,4,0)," ")</f>
        <v>20240207</v>
      </c>
      <c r="X48" s="162" t="s">
        <v>168</v>
      </c>
      <c r="Y48" s="163" t="str">
        <f>IFERROR(VLOOKUP(X48,TD!$J$51:$K$64,2,0)," ")</f>
        <v>Infraestructura Tecnológica   (Sistemas de Información y Tecnologia)</v>
      </c>
      <c r="Z48" s="164" t="str">
        <f t="shared" si="0"/>
        <v>11-Infraestructura Tecnológica   (Sistemas de Información y Tecnologia)</v>
      </c>
      <c r="AA48" s="162" t="s">
        <v>228</v>
      </c>
      <c r="AB48" s="163" t="str">
        <f>IFERROR(VLOOKUP(AA48,TD!$N$51:$O$66,2,0)," ")</f>
        <v>Servicios tecnológicos</v>
      </c>
      <c r="AC48" s="164" t="str">
        <f t="shared" si="1"/>
        <v>007_Servicios tecnológicos</v>
      </c>
      <c r="AD48" s="164" t="str">
        <f t="shared" si="2"/>
        <v>11-Infraestructura Tecnológica   (Sistemas de Información y Tecnologia) 007_Servicios tecnológicos</v>
      </c>
      <c r="AE48" s="163" t="str">
        <f t="shared" si="3"/>
        <v>O23011745992024020711007</v>
      </c>
      <c r="AF48" s="163" t="str">
        <f>IFERROR(VLOOKUP(AD48,TD!$J$66:$K$89,2,0)," ")</f>
        <v>PM/0131/0111/45990070207</v>
      </c>
      <c r="AG48" s="118" t="s">
        <v>385</v>
      </c>
      <c r="AH48" s="162" t="s">
        <v>193</v>
      </c>
      <c r="AI48" s="165" t="str">
        <f>CONCATENATE(PAA[[#This Row],[Id Interno]],"-",PAA[[#This Row],[tipo de Contrato (TH talento humano - B/S bienes y/o servicios)]],"-",S48,"-",T48,"-",PAA[[#This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49" spans="2:35" ht="70" x14ac:dyDescent="0.35">
      <c r="B49" s="23">
        <v>20260005</v>
      </c>
      <c r="C49" s="99" t="s">
        <v>572</v>
      </c>
      <c r="D49" s="23" t="s">
        <v>105</v>
      </c>
      <c r="E49" s="23" t="s">
        <v>363</v>
      </c>
      <c r="F49" s="159" t="s">
        <v>144</v>
      </c>
      <c r="G49" s="160" t="s">
        <v>373</v>
      </c>
      <c r="H49" s="161">
        <v>12</v>
      </c>
      <c r="I49" s="161">
        <v>0</v>
      </c>
      <c r="J49" s="149">
        <v>93600000</v>
      </c>
      <c r="K49" s="88" t="s">
        <v>398</v>
      </c>
      <c r="L49" s="159" t="s">
        <v>151</v>
      </c>
      <c r="M49" s="162" t="s">
        <v>401</v>
      </c>
      <c r="N49" s="23" t="s">
        <v>197</v>
      </c>
      <c r="O49" s="150" t="s">
        <v>925</v>
      </c>
      <c r="P49" s="159" t="s">
        <v>348</v>
      </c>
      <c r="Q49" s="53">
        <v>80111600</v>
      </c>
      <c r="R49" s="162" t="s">
        <v>204</v>
      </c>
      <c r="S49" s="162" t="str">
        <f>MID(PAA[[#This Row],[Meta Proyecto de Inversión]],1,4)</f>
        <v>8126</v>
      </c>
      <c r="T49" s="162" t="str">
        <f>MID(PAA[[#This Row],[Meta Proyecto de Inversión]],6,1)</f>
        <v>5</v>
      </c>
      <c r="U49" s="163" t="str">
        <f>IFERROR(VLOOKUP(N49,TD!$B$50:$F$54,2,0)," ")</f>
        <v>O230117</v>
      </c>
      <c r="V49" s="163" t="str">
        <f>IFERROR(VLOOKUP(N49,TD!$B$50:$F$54,3,0)," ")</f>
        <v>4599</v>
      </c>
      <c r="W49" s="163">
        <f>IFERROR(VLOOKUP(N49,TD!$B$50:$F$54,4,0)," ")</f>
        <v>20240207</v>
      </c>
      <c r="X49" s="162" t="s">
        <v>168</v>
      </c>
      <c r="Y49" s="163" t="str">
        <f>IFERROR(VLOOKUP(X49,TD!$J$51:$K$64,2,0)," ")</f>
        <v>Infraestructura Tecnológica   (Sistemas de Información y Tecnologia)</v>
      </c>
      <c r="Z49" s="164" t="str">
        <f t="shared" si="0"/>
        <v>11-Infraestructura Tecnológica   (Sistemas de Información y Tecnologia)</v>
      </c>
      <c r="AA49" s="162" t="s">
        <v>228</v>
      </c>
      <c r="AB49" s="163" t="str">
        <f>IFERROR(VLOOKUP(AA49,TD!$N$51:$O$66,2,0)," ")</f>
        <v>Servicios tecnológicos</v>
      </c>
      <c r="AC49" s="164" t="str">
        <f t="shared" si="1"/>
        <v>007_Servicios tecnológicos</v>
      </c>
      <c r="AD49" s="164" t="str">
        <f t="shared" si="2"/>
        <v>11-Infraestructura Tecnológica   (Sistemas de Información y Tecnologia) 007_Servicios tecnológicos</v>
      </c>
      <c r="AE49" s="163" t="str">
        <f t="shared" si="3"/>
        <v>O23011745992024020711007</v>
      </c>
      <c r="AF49" s="163" t="str">
        <f>IFERROR(VLOOKUP(AD49,TD!$J$66:$K$89,2,0)," ")</f>
        <v>PM/0131/0111/45990070207</v>
      </c>
      <c r="AG49" s="118" t="s">
        <v>385</v>
      </c>
      <c r="AH49" s="162" t="s">
        <v>193</v>
      </c>
      <c r="AI49" s="165" t="str">
        <f>CONCATENATE(PAA[[#This Row],[Id Interno]],"-",PAA[[#This Row],[tipo de Contrato (TH talento humano - B/S bienes y/o servicios)]],"-",S49,"-",T49,"-",PAA[[#This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50" spans="2:35" ht="84" x14ac:dyDescent="0.35">
      <c r="B50" s="23">
        <v>20260006</v>
      </c>
      <c r="C50" s="121" t="s">
        <v>573</v>
      </c>
      <c r="D50" s="23" t="s">
        <v>105</v>
      </c>
      <c r="E50" s="23" t="s">
        <v>363</v>
      </c>
      <c r="F50" s="159" t="s">
        <v>144</v>
      </c>
      <c r="G50" s="160" t="s">
        <v>373</v>
      </c>
      <c r="H50" s="161">
        <v>10</v>
      </c>
      <c r="I50" s="161">
        <v>0</v>
      </c>
      <c r="J50" s="149">
        <v>78000000</v>
      </c>
      <c r="K50" s="88" t="s">
        <v>398</v>
      </c>
      <c r="L50" s="159" t="s">
        <v>151</v>
      </c>
      <c r="M50" s="162" t="s">
        <v>401</v>
      </c>
      <c r="N50" s="23" t="s">
        <v>197</v>
      </c>
      <c r="O50" s="150" t="s">
        <v>925</v>
      </c>
      <c r="P50" s="159" t="s">
        <v>348</v>
      </c>
      <c r="Q50" s="53">
        <v>80111600</v>
      </c>
      <c r="R50" s="162" t="s">
        <v>204</v>
      </c>
      <c r="S50" s="162" t="str">
        <f>MID(PAA[[#This Row],[Meta Proyecto de Inversión]],1,4)</f>
        <v>8126</v>
      </c>
      <c r="T50" s="162" t="str">
        <f>MID(PAA[[#This Row],[Meta Proyecto de Inversión]],6,1)</f>
        <v>5</v>
      </c>
      <c r="U50" s="163" t="str">
        <f>IFERROR(VLOOKUP(N50,TD!$B$50:$F$54,2,0)," ")</f>
        <v>O230117</v>
      </c>
      <c r="V50" s="163" t="str">
        <f>IFERROR(VLOOKUP(N50,TD!$B$50:$F$54,3,0)," ")</f>
        <v>4599</v>
      </c>
      <c r="W50" s="163">
        <f>IFERROR(VLOOKUP(N50,TD!$B$50:$F$54,4,0)," ")</f>
        <v>20240207</v>
      </c>
      <c r="X50" s="162" t="s">
        <v>168</v>
      </c>
      <c r="Y50" s="163" t="str">
        <f>IFERROR(VLOOKUP(X50,TD!$J$51:$K$64,2,0)," ")</f>
        <v>Infraestructura Tecnológica   (Sistemas de Información y Tecnologia)</v>
      </c>
      <c r="Z50" s="164" t="str">
        <f t="shared" si="0"/>
        <v>11-Infraestructura Tecnológica   (Sistemas de Información y Tecnologia)</v>
      </c>
      <c r="AA50" s="162" t="s">
        <v>228</v>
      </c>
      <c r="AB50" s="163" t="str">
        <f>IFERROR(VLOOKUP(AA50,TD!$N$51:$O$66,2,0)," ")</f>
        <v>Servicios tecnológicos</v>
      </c>
      <c r="AC50" s="164" t="str">
        <f t="shared" si="1"/>
        <v>007_Servicios tecnológicos</v>
      </c>
      <c r="AD50" s="164" t="str">
        <f t="shared" si="2"/>
        <v>11-Infraestructura Tecnológica   (Sistemas de Información y Tecnologia) 007_Servicios tecnológicos</v>
      </c>
      <c r="AE50" s="163" t="str">
        <f t="shared" si="3"/>
        <v>O23011745992024020711007</v>
      </c>
      <c r="AF50" s="163" t="str">
        <f>IFERROR(VLOOKUP(AD50,TD!$J$66:$K$89,2,0)," ")</f>
        <v>PM/0131/0111/45990070207</v>
      </c>
      <c r="AG50" s="118" t="s">
        <v>385</v>
      </c>
      <c r="AH50" s="162" t="s">
        <v>193</v>
      </c>
      <c r="AI50" s="165" t="str">
        <f>CONCATENATE(PAA[[#This Row],[Id Interno]],"-",PAA[[#This Row],[tipo de Contrato (TH talento humano - B/S bienes y/o servicios)]],"-",S50,"-",T50,"-",PAA[[#This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51" spans="2:35" ht="70" x14ac:dyDescent="0.35">
      <c r="B51" s="23">
        <v>20260007</v>
      </c>
      <c r="C51" s="99" t="s">
        <v>574</v>
      </c>
      <c r="D51" s="23" t="s">
        <v>105</v>
      </c>
      <c r="E51" s="23" t="s">
        <v>363</v>
      </c>
      <c r="F51" s="159" t="s">
        <v>144</v>
      </c>
      <c r="G51" s="160" t="s">
        <v>373</v>
      </c>
      <c r="H51" s="161" t="s">
        <v>168</v>
      </c>
      <c r="I51" s="161" t="s">
        <v>991</v>
      </c>
      <c r="J51" s="149">
        <v>60500000</v>
      </c>
      <c r="K51" s="88" t="s">
        <v>398</v>
      </c>
      <c r="L51" s="159" t="s">
        <v>151</v>
      </c>
      <c r="M51" s="162" t="s">
        <v>401</v>
      </c>
      <c r="N51" s="23" t="s">
        <v>197</v>
      </c>
      <c r="O51" s="150" t="s">
        <v>925</v>
      </c>
      <c r="P51" s="159" t="s">
        <v>348</v>
      </c>
      <c r="Q51" s="53" t="s">
        <v>992</v>
      </c>
      <c r="R51" s="162" t="s">
        <v>204</v>
      </c>
      <c r="S51" s="162" t="str">
        <f>MID(PAA[[#This Row],[Meta Proyecto de Inversión]],1,4)</f>
        <v>8126</v>
      </c>
      <c r="T51" s="162" t="str">
        <f>MID(PAA[[#This Row],[Meta Proyecto de Inversión]],6,1)</f>
        <v>5</v>
      </c>
      <c r="U51" s="163" t="str">
        <f>IFERROR(VLOOKUP(N51,TD!$B$50:$F$54,2,0)," ")</f>
        <v>O230117</v>
      </c>
      <c r="V51" s="163" t="str">
        <f>IFERROR(VLOOKUP(N51,TD!$B$50:$F$54,3,0)," ")</f>
        <v>4599</v>
      </c>
      <c r="W51" s="163">
        <f>IFERROR(VLOOKUP(N51,TD!$B$50:$F$54,4,0)," ")</f>
        <v>20240207</v>
      </c>
      <c r="X51" s="162" t="s">
        <v>168</v>
      </c>
      <c r="Y51" s="163" t="str">
        <f>IFERROR(VLOOKUP(X51,TD!$J$51:$K$64,2,0)," ")</f>
        <v>Infraestructura Tecnológica   (Sistemas de Información y Tecnologia)</v>
      </c>
      <c r="Z51" s="164" t="str">
        <f t="shared" si="0"/>
        <v>11-Infraestructura Tecnológica   (Sistemas de Información y Tecnologia)</v>
      </c>
      <c r="AA51" s="162" t="s">
        <v>228</v>
      </c>
      <c r="AB51" s="163" t="str">
        <f>IFERROR(VLOOKUP(AA51,TD!$N$51:$O$66,2,0)," ")</f>
        <v>Servicios tecnológicos</v>
      </c>
      <c r="AC51" s="164" t="str">
        <f t="shared" si="1"/>
        <v>007_Servicios tecnológicos</v>
      </c>
      <c r="AD51" s="164" t="str">
        <f t="shared" si="2"/>
        <v>11-Infraestructura Tecnológica   (Sistemas de Información y Tecnologia) 007_Servicios tecnológicos</v>
      </c>
      <c r="AE51" s="163" t="str">
        <f t="shared" si="3"/>
        <v>O23011745992024020711007</v>
      </c>
      <c r="AF51" s="163" t="str">
        <f>IFERROR(VLOOKUP(AD51,TD!$J$66:$K$89,2,0)," ")</f>
        <v>PM/0131/0111/45990070207</v>
      </c>
      <c r="AG51" s="118" t="s">
        <v>385</v>
      </c>
      <c r="AH51" s="162" t="s">
        <v>193</v>
      </c>
      <c r="AI51" s="165" t="str">
        <f>CONCATENATE(PAA[[#This Row],[Id Interno]],"-",PAA[[#This Row],[tipo de Contrato (TH talento humano - B/S bienes y/o servicios)]],"-",S51,"-",T51,"-",PAA[[#This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52" spans="2:35" ht="56" x14ac:dyDescent="0.35">
      <c r="B52" s="23">
        <v>20260008</v>
      </c>
      <c r="C52" s="99" t="s">
        <v>575</v>
      </c>
      <c r="D52" s="23" t="s">
        <v>105</v>
      </c>
      <c r="E52" s="23" t="s">
        <v>363</v>
      </c>
      <c r="F52" s="159" t="s">
        <v>145</v>
      </c>
      <c r="G52" s="160" t="s">
        <v>374</v>
      </c>
      <c r="H52" s="161">
        <v>10</v>
      </c>
      <c r="I52" s="161">
        <v>0</v>
      </c>
      <c r="J52" s="149">
        <v>40000000</v>
      </c>
      <c r="K52" s="88" t="s">
        <v>398</v>
      </c>
      <c r="L52" s="159" t="s">
        <v>151</v>
      </c>
      <c r="M52" s="162" t="s">
        <v>401</v>
      </c>
      <c r="N52" s="23" t="s">
        <v>197</v>
      </c>
      <c r="O52" s="150" t="s">
        <v>925</v>
      </c>
      <c r="P52" s="159" t="s">
        <v>348</v>
      </c>
      <c r="Q52" s="53">
        <v>80111600</v>
      </c>
      <c r="R52" s="162" t="s">
        <v>204</v>
      </c>
      <c r="S52" s="162" t="str">
        <f>MID(PAA[[#This Row],[Meta Proyecto de Inversión]],1,4)</f>
        <v>8126</v>
      </c>
      <c r="T52" s="162" t="str">
        <f>MID(PAA[[#This Row],[Meta Proyecto de Inversión]],6,1)</f>
        <v>5</v>
      </c>
      <c r="U52" s="163" t="str">
        <f>IFERROR(VLOOKUP(N52,TD!$B$50:$F$54,2,0)," ")</f>
        <v>O230117</v>
      </c>
      <c r="V52" s="163" t="str">
        <f>IFERROR(VLOOKUP(N52,TD!$B$50:$F$54,3,0)," ")</f>
        <v>4599</v>
      </c>
      <c r="W52" s="163">
        <f>IFERROR(VLOOKUP(N52,TD!$B$50:$F$54,4,0)," ")</f>
        <v>20240207</v>
      </c>
      <c r="X52" s="162" t="s">
        <v>168</v>
      </c>
      <c r="Y52" s="163" t="str">
        <f>IFERROR(VLOOKUP(X52,TD!$J$51:$K$64,2,0)," ")</f>
        <v>Infraestructura Tecnológica   (Sistemas de Información y Tecnologia)</v>
      </c>
      <c r="Z52" s="164" t="str">
        <f t="shared" si="0"/>
        <v>11-Infraestructura Tecnológica   (Sistemas de Información y Tecnologia)</v>
      </c>
      <c r="AA52" s="162" t="s">
        <v>228</v>
      </c>
      <c r="AB52" s="163" t="str">
        <f>IFERROR(VLOOKUP(AA52,TD!$N$51:$O$66,2,0)," ")</f>
        <v>Servicios tecnológicos</v>
      </c>
      <c r="AC52" s="164" t="str">
        <f t="shared" si="1"/>
        <v>007_Servicios tecnológicos</v>
      </c>
      <c r="AD52" s="164" t="str">
        <f t="shared" si="2"/>
        <v>11-Infraestructura Tecnológica   (Sistemas de Información y Tecnologia) 007_Servicios tecnológicos</v>
      </c>
      <c r="AE52" s="163" t="str">
        <f t="shared" si="3"/>
        <v>O23011745992024020711007</v>
      </c>
      <c r="AF52" s="163" t="str">
        <f>IFERROR(VLOOKUP(AD52,TD!$J$66:$K$89,2,0)," ")</f>
        <v>PM/0131/0111/45990070207</v>
      </c>
      <c r="AG52" s="118" t="s">
        <v>385</v>
      </c>
      <c r="AH52" s="162" t="s">
        <v>193</v>
      </c>
      <c r="AI52" s="165" t="str">
        <f>CONCATENATE(PAA[[#This Row],[Id Interno]],"-",PAA[[#This Row],[tipo de Contrato (TH talento humano - B/S bienes y/o servicios)]],"-",S52,"-",T52,"-",PAA[[#This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53" spans="2:35" ht="56" x14ac:dyDescent="0.35">
      <c r="B53" s="23">
        <v>20260009</v>
      </c>
      <c r="C53" s="99" t="s">
        <v>575</v>
      </c>
      <c r="D53" s="23" t="s">
        <v>105</v>
      </c>
      <c r="E53" s="23" t="s">
        <v>363</v>
      </c>
      <c r="F53" s="159" t="s">
        <v>145</v>
      </c>
      <c r="G53" s="160" t="s">
        <v>373</v>
      </c>
      <c r="H53" s="161">
        <v>6</v>
      </c>
      <c r="I53" s="161">
        <v>0</v>
      </c>
      <c r="J53" s="149">
        <v>24000000</v>
      </c>
      <c r="K53" s="88" t="s">
        <v>398</v>
      </c>
      <c r="L53" s="159" t="s">
        <v>151</v>
      </c>
      <c r="M53" s="162" t="s">
        <v>401</v>
      </c>
      <c r="N53" s="23" t="s">
        <v>197</v>
      </c>
      <c r="O53" s="150" t="s">
        <v>925</v>
      </c>
      <c r="P53" s="159" t="s">
        <v>348</v>
      </c>
      <c r="Q53" s="53">
        <v>80111600</v>
      </c>
      <c r="R53" s="162" t="s">
        <v>204</v>
      </c>
      <c r="S53" s="162" t="str">
        <f>MID(PAA[[#This Row],[Meta Proyecto de Inversión]],1,4)</f>
        <v>8126</v>
      </c>
      <c r="T53" s="162" t="str">
        <f>MID(PAA[[#This Row],[Meta Proyecto de Inversión]],6,1)</f>
        <v>5</v>
      </c>
      <c r="U53" s="163" t="str">
        <f>IFERROR(VLOOKUP(N53,TD!$B$50:$F$54,2,0)," ")</f>
        <v>O230117</v>
      </c>
      <c r="V53" s="163" t="str">
        <f>IFERROR(VLOOKUP(N53,TD!$B$50:$F$54,3,0)," ")</f>
        <v>4599</v>
      </c>
      <c r="W53" s="163">
        <f>IFERROR(VLOOKUP(N53,TD!$B$50:$F$54,4,0)," ")</f>
        <v>20240207</v>
      </c>
      <c r="X53" s="162" t="s">
        <v>168</v>
      </c>
      <c r="Y53" s="163" t="str">
        <f>IFERROR(VLOOKUP(X53,TD!$J$51:$K$64,2,0)," ")</f>
        <v>Infraestructura Tecnológica   (Sistemas de Información y Tecnologia)</v>
      </c>
      <c r="Z53" s="164" t="str">
        <f t="shared" si="0"/>
        <v>11-Infraestructura Tecnológica   (Sistemas de Información y Tecnologia)</v>
      </c>
      <c r="AA53" s="162" t="s">
        <v>228</v>
      </c>
      <c r="AB53" s="163" t="str">
        <f>IFERROR(VLOOKUP(AA53,TD!$N$51:$O$66,2,0)," ")</f>
        <v>Servicios tecnológicos</v>
      </c>
      <c r="AC53" s="164" t="str">
        <f t="shared" si="1"/>
        <v>007_Servicios tecnológicos</v>
      </c>
      <c r="AD53" s="164" t="str">
        <f t="shared" si="2"/>
        <v>11-Infraestructura Tecnológica   (Sistemas de Información y Tecnologia) 007_Servicios tecnológicos</v>
      </c>
      <c r="AE53" s="163" t="str">
        <f t="shared" si="3"/>
        <v>O23011745992024020711007</v>
      </c>
      <c r="AF53" s="163" t="str">
        <f>IFERROR(VLOOKUP(AD53,TD!$J$66:$K$89,2,0)," ")</f>
        <v>PM/0131/0111/45990070207</v>
      </c>
      <c r="AG53" s="118" t="s">
        <v>385</v>
      </c>
      <c r="AH53" s="162" t="s">
        <v>193</v>
      </c>
      <c r="AI53" s="165" t="str">
        <f>CONCATENATE(PAA[[#This Row],[Id Interno]],"-",PAA[[#This Row],[tipo de Contrato (TH talento humano - B/S bienes y/o servicios)]],"-",S53,"-",T53,"-",PAA[[#This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54" spans="2:35" ht="70" x14ac:dyDescent="0.35">
      <c r="B54" s="23">
        <v>20260010</v>
      </c>
      <c r="C54" s="99" t="s">
        <v>576</v>
      </c>
      <c r="D54" s="23" t="s">
        <v>105</v>
      </c>
      <c r="E54" s="23" t="s">
        <v>363</v>
      </c>
      <c r="F54" s="159" t="s">
        <v>144</v>
      </c>
      <c r="G54" s="160" t="s">
        <v>373</v>
      </c>
      <c r="H54" s="161">
        <v>12</v>
      </c>
      <c r="I54" s="161">
        <v>0</v>
      </c>
      <c r="J54" s="149">
        <v>84000000</v>
      </c>
      <c r="K54" s="88" t="s">
        <v>398</v>
      </c>
      <c r="L54" s="159" t="s">
        <v>151</v>
      </c>
      <c r="M54" s="162" t="s">
        <v>401</v>
      </c>
      <c r="N54" s="23" t="s">
        <v>197</v>
      </c>
      <c r="O54" s="150" t="s">
        <v>925</v>
      </c>
      <c r="P54" s="159" t="s">
        <v>348</v>
      </c>
      <c r="Q54" s="53">
        <v>80111600</v>
      </c>
      <c r="R54" s="162" t="s">
        <v>203</v>
      </c>
      <c r="S54" s="162" t="str">
        <f>MID(PAA[[#This Row],[Meta Proyecto de Inversión]],1,4)</f>
        <v>8126</v>
      </c>
      <c r="T54" s="162" t="str">
        <f>MID(PAA[[#This Row],[Meta Proyecto de Inversión]],6,1)</f>
        <v>4</v>
      </c>
      <c r="U54" s="163" t="str">
        <f>IFERROR(VLOOKUP(N54,TD!$B$50:$F$54,2,0)," ")</f>
        <v>O230117</v>
      </c>
      <c r="V54" s="163" t="str">
        <f>IFERROR(VLOOKUP(N54,TD!$B$50:$F$54,3,0)," ")</f>
        <v>4599</v>
      </c>
      <c r="W54" s="163">
        <f>IFERROR(VLOOKUP(N54,TD!$B$50:$F$54,4,0)," ")</f>
        <v>20240207</v>
      </c>
      <c r="X54" s="162" t="s">
        <v>168</v>
      </c>
      <c r="Y54" s="163" t="str">
        <f>IFERROR(VLOOKUP(X54,TD!$J$51:$K$64,2,0)," ")</f>
        <v>Infraestructura Tecnológica   (Sistemas de Información y Tecnologia)</v>
      </c>
      <c r="Z54" s="164" t="str">
        <f t="shared" si="0"/>
        <v>11-Infraestructura Tecnológica   (Sistemas de Información y Tecnologia)</v>
      </c>
      <c r="AA54" s="162" t="s">
        <v>228</v>
      </c>
      <c r="AB54" s="163" t="str">
        <f>IFERROR(VLOOKUP(AA54,TD!$N$51:$O$66,2,0)," ")</f>
        <v>Servicios tecnológicos</v>
      </c>
      <c r="AC54" s="164" t="str">
        <f t="shared" si="1"/>
        <v>007_Servicios tecnológicos</v>
      </c>
      <c r="AD54" s="164" t="str">
        <f t="shared" si="2"/>
        <v>11-Infraestructura Tecnológica   (Sistemas de Información y Tecnologia) 007_Servicios tecnológicos</v>
      </c>
      <c r="AE54" s="163" t="str">
        <f t="shared" si="3"/>
        <v>O23011745992024020711007</v>
      </c>
      <c r="AF54" s="163" t="str">
        <f>IFERROR(VLOOKUP(AD54,TD!$J$66:$K$89,2,0)," ")</f>
        <v>PM/0131/0111/45990070207</v>
      </c>
      <c r="AG54" s="118" t="s">
        <v>385</v>
      </c>
      <c r="AH54" s="162" t="s">
        <v>193</v>
      </c>
      <c r="AI54" s="165" t="str">
        <f>CONCATENATE(PAA[[#This Row],[Id Interno]],"-",PAA[[#This Row],[tipo de Contrato (TH talento humano - B/S bienes y/o servicios)]],"-",S54,"-",T54,"-",PAA[[#This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55" spans="2:35" ht="84" x14ac:dyDescent="0.35">
      <c r="B55" s="23">
        <v>20260011</v>
      </c>
      <c r="C55" s="121" t="s">
        <v>577</v>
      </c>
      <c r="D55" s="23" t="s">
        <v>105</v>
      </c>
      <c r="E55" s="23" t="s">
        <v>363</v>
      </c>
      <c r="F55" s="159" t="s">
        <v>144</v>
      </c>
      <c r="G55" s="160" t="s">
        <v>374</v>
      </c>
      <c r="H55" s="161">
        <v>10</v>
      </c>
      <c r="I55" s="161">
        <v>0</v>
      </c>
      <c r="J55" s="149">
        <v>78000000</v>
      </c>
      <c r="K55" s="88" t="s">
        <v>398</v>
      </c>
      <c r="L55" s="159" t="s">
        <v>151</v>
      </c>
      <c r="M55" s="162" t="s">
        <v>401</v>
      </c>
      <c r="N55" s="23" t="s">
        <v>197</v>
      </c>
      <c r="O55" s="150" t="s">
        <v>925</v>
      </c>
      <c r="P55" s="159" t="s">
        <v>348</v>
      </c>
      <c r="Q55" s="53">
        <v>80111600</v>
      </c>
      <c r="R55" s="162" t="s">
        <v>206</v>
      </c>
      <c r="S55" s="162" t="str">
        <f>MID(PAA[[#This Row],[Meta Proyecto de Inversión]],1,4)</f>
        <v>8126</v>
      </c>
      <c r="T55" s="162" t="str">
        <f>MID(PAA[[#This Row],[Meta Proyecto de Inversión]],6,1)</f>
        <v>7</v>
      </c>
      <c r="U55" s="163" t="str">
        <f>IFERROR(VLOOKUP(N55,TD!$B$50:$F$54,2,0)," ")</f>
        <v>O230117</v>
      </c>
      <c r="V55" s="163" t="str">
        <f>IFERROR(VLOOKUP(N55,TD!$B$50:$F$54,3,0)," ")</f>
        <v>4599</v>
      </c>
      <c r="W55" s="163">
        <f>IFERROR(VLOOKUP(N55,TD!$B$50:$F$54,4,0)," ")</f>
        <v>20240207</v>
      </c>
      <c r="X55" s="162" t="s">
        <v>168</v>
      </c>
      <c r="Y55" s="163" t="str">
        <f>IFERROR(VLOOKUP(X55,TD!$J$51:$K$64,2,0)," ")</f>
        <v>Infraestructura Tecnológica   (Sistemas de Información y Tecnologia)</v>
      </c>
      <c r="Z55" s="164" t="str">
        <f t="shared" si="0"/>
        <v>11-Infraestructura Tecnológica   (Sistemas de Información y Tecnologia)</v>
      </c>
      <c r="AA55" s="162" t="s">
        <v>228</v>
      </c>
      <c r="AB55" s="163" t="str">
        <f>IFERROR(VLOOKUP(AA55,TD!$N$51:$O$66,2,0)," ")</f>
        <v>Servicios tecnológicos</v>
      </c>
      <c r="AC55" s="164" t="str">
        <f t="shared" si="1"/>
        <v>007_Servicios tecnológicos</v>
      </c>
      <c r="AD55" s="164" t="str">
        <f t="shared" si="2"/>
        <v>11-Infraestructura Tecnológica   (Sistemas de Información y Tecnologia) 007_Servicios tecnológicos</v>
      </c>
      <c r="AE55" s="163" t="str">
        <f t="shared" si="3"/>
        <v>O23011745992024020711007</v>
      </c>
      <c r="AF55" s="163" t="str">
        <f>IFERROR(VLOOKUP(AD55,TD!$J$66:$K$89,2,0)," ")</f>
        <v>PM/0131/0111/45990070207</v>
      </c>
      <c r="AG55" s="118" t="s">
        <v>385</v>
      </c>
      <c r="AH55" s="162" t="s">
        <v>193</v>
      </c>
      <c r="AI55" s="165" t="str">
        <f>CONCATENATE(PAA[[#This Row],[Id Interno]],"-",PAA[[#This Row],[tipo de Contrato (TH talento humano - B/S bienes y/o servicios)]],"-",S55,"-",T55,"-",PAA[[#This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56" spans="2:35" ht="70" x14ac:dyDescent="0.35">
      <c r="B56" s="23">
        <v>20260012</v>
      </c>
      <c r="C56" s="99" t="s">
        <v>578</v>
      </c>
      <c r="D56" s="23" t="s">
        <v>105</v>
      </c>
      <c r="E56" s="23" t="s">
        <v>363</v>
      </c>
      <c r="F56" s="159" t="s">
        <v>144</v>
      </c>
      <c r="G56" s="160" t="s">
        <v>373</v>
      </c>
      <c r="H56" s="161">
        <v>12</v>
      </c>
      <c r="I56" s="161">
        <v>0</v>
      </c>
      <c r="J56" s="149">
        <v>61920000</v>
      </c>
      <c r="K56" s="88" t="s">
        <v>398</v>
      </c>
      <c r="L56" s="159" t="s">
        <v>151</v>
      </c>
      <c r="M56" s="162" t="s">
        <v>401</v>
      </c>
      <c r="N56" s="23" t="s">
        <v>197</v>
      </c>
      <c r="O56" s="150" t="s">
        <v>925</v>
      </c>
      <c r="P56" s="159" t="s">
        <v>348</v>
      </c>
      <c r="Q56" s="53">
        <v>80111600</v>
      </c>
      <c r="R56" s="162" t="s">
        <v>205</v>
      </c>
      <c r="S56" s="162" t="str">
        <f>MID(PAA[[#This Row],[Meta Proyecto de Inversión]],1,4)</f>
        <v>8126</v>
      </c>
      <c r="T56" s="162" t="str">
        <f>MID(PAA[[#This Row],[Meta Proyecto de Inversión]],6,1)</f>
        <v>6</v>
      </c>
      <c r="U56" s="163" t="str">
        <f>IFERROR(VLOOKUP(N56,TD!$B$50:$F$54,2,0)," ")</f>
        <v>O230117</v>
      </c>
      <c r="V56" s="163" t="str">
        <f>IFERROR(VLOOKUP(N56,TD!$B$50:$F$54,3,0)," ")</f>
        <v>4599</v>
      </c>
      <c r="W56" s="163">
        <f>IFERROR(VLOOKUP(N56,TD!$B$50:$F$54,4,0)," ")</f>
        <v>20240207</v>
      </c>
      <c r="X56" s="162" t="s">
        <v>168</v>
      </c>
      <c r="Y56" s="163" t="str">
        <f>IFERROR(VLOOKUP(X56,TD!$J$51:$K$64,2,0)," ")</f>
        <v>Infraestructura Tecnológica   (Sistemas de Información y Tecnologia)</v>
      </c>
      <c r="Z56" s="164" t="str">
        <f t="shared" si="0"/>
        <v>11-Infraestructura Tecnológica   (Sistemas de Información y Tecnologia)</v>
      </c>
      <c r="AA56" s="162" t="s">
        <v>228</v>
      </c>
      <c r="AB56" s="163" t="str">
        <f>IFERROR(VLOOKUP(AA56,TD!$N$51:$O$66,2,0)," ")</f>
        <v>Servicios tecnológicos</v>
      </c>
      <c r="AC56" s="164" t="str">
        <f t="shared" si="1"/>
        <v>007_Servicios tecnológicos</v>
      </c>
      <c r="AD56" s="164" t="str">
        <f t="shared" si="2"/>
        <v>11-Infraestructura Tecnológica   (Sistemas de Información y Tecnologia) 007_Servicios tecnológicos</v>
      </c>
      <c r="AE56" s="163" t="str">
        <f t="shared" si="3"/>
        <v>O23011745992024020711007</v>
      </c>
      <c r="AF56" s="163" t="str">
        <f>IFERROR(VLOOKUP(AD56,TD!$J$66:$K$89,2,0)," ")</f>
        <v>PM/0131/0111/45990070207</v>
      </c>
      <c r="AG56" s="118" t="s">
        <v>385</v>
      </c>
      <c r="AH56" s="162" t="s">
        <v>193</v>
      </c>
      <c r="AI56" s="165" t="str">
        <f>CONCATENATE(PAA[[#This Row],[Id Interno]],"-",PAA[[#This Row],[tipo de Contrato (TH talento humano - B/S bienes y/o servicios)]],"-",S56,"-",T56,"-",PAA[[#This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57" spans="2:35" s="56" customFormat="1" ht="84" x14ac:dyDescent="0.35">
      <c r="B57" s="23">
        <v>20260013</v>
      </c>
      <c r="C57" s="99" t="s">
        <v>579</v>
      </c>
      <c r="D57" s="23" t="s">
        <v>105</v>
      </c>
      <c r="E57" s="23" t="s">
        <v>363</v>
      </c>
      <c r="F57" s="159" t="s">
        <v>144</v>
      </c>
      <c r="G57" s="160" t="s">
        <v>374</v>
      </c>
      <c r="H57" s="161">
        <v>6</v>
      </c>
      <c r="I57" s="161">
        <v>0</v>
      </c>
      <c r="J57" s="149">
        <v>42000000</v>
      </c>
      <c r="K57" s="88" t="s">
        <v>398</v>
      </c>
      <c r="L57" s="159" t="s">
        <v>151</v>
      </c>
      <c r="M57" s="162" t="s">
        <v>401</v>
      </c>
      <c r="N57" s="23" t="s">
        <v>197</v>
      </c>
      <c r="O57" s="150" t="s">
        <v>925</v>
      </c>
      <c r="P57" s="159" t="s">
        <v>348</v>
      </c>
      <c r="Q57" s="53">
        <v>80111600</v>
      </c>
      <c r="R57" s="162" t="s">
        <v>203</v>
      </c>
      <c r="S57" s="162" t="str">
        <f>MID(PAA[[#This Row],[Meta Proyecto de Inversión]],1,4)</f>
        <v>8126</v>
      </c>
      <c r="T57" s="162" t="str">
        <f>MID(PAA[[#This Row],[Meta Proyecto de Inversión]],6,1)</f>
        <v>4</v>
      </c>
      <c r="U57" s="163" t="str">
        <f>IFERROR(VLOOKUP(N57,TD!$B$50:$F$54,2,0)," ")</f>
        <v>O230117</v>
      </c>
      <c r="V57" s="163" t="str">
        <f>IFERROR(VLOOKUP(N57,TD!$B$50:$F$54,3,0)," ")</f>
        <v>4599</v>
      </c>
      <c r="W57" s="163">
        <f>IFERROR(VLOOKUP(N57,TD!$B$50:$F$54,4,0)," ")</f>
        <v>20240207</v>
      </c>
      <c r="X57" s="162" t="s">
        <v>168</v>
      </c>
      <c r="Y57" s="163" t="str">
        <f>IFERROR(VLOOKUP(X57,TD!$J$51:$K$64,2,0)," ")</f>
        <v>Infraestructura Tecnológica   (Sistemas de Información y Tecnologia)</v>
      </c>
      <c r="Z57" s="164" t="str">
        <f t="shared" si="0"/>
        <v>11-Infraestructura Tecnológica   (Sistemas de Información y Tecnologia)</v>
      </c>
      <c r="AA57" s="162" t="s">
        <v>228</v>
      </c>
      <c r="AB57" s="163" t="str">
        <f>IFERROR(VLOOKUP(AA57,TD!$N$51:$O$66,2,0)," ")</f>
        <v>Servicios tecnológicos</v>
      </c>
      <c r="AC57" s="164" t="str">
        <f t="shared" si="1"/>
        <v>007_Servicios tecnológicos</v>
      </c>
      <c r="AD57" s="164" t="str">
        <f t="shared" si="2"/>
        <v>11-Infraestructura Tecnológica   (Sistemas de Información y Tecnologia) 007_Servicios tecnológicos</v>
      </c>
      <c r="AE57" s="163" t="str">
        <f t="shared" si="3"/>
        <v>O23011745992024020711007</v>
      </c>
      <c r="AF57" s="163" t="str">
        <f>IFERROR(VLOOKUP(AD57,TD!$J$66:$K$89,2,0)," ")</f>
        <v>PM/0131/0111/45990070207</v>
      </c>
      <c r="AG57" s="118" t="s">
        <v>385</v>
      </c>
      <c r="AH57" s="162" t="s">
        <v>193</v>
      </c>
      <c r="AI57" s="165" t="str">
        <f>CONCATENATE(PAA[[#This Row],[Id Interno]],"-",PAA[[#This Row],[tipo de Contrato (TH talento humano - B/S bienes y/o servicios)]],"-",S57,"-",T57,"-",PAA[[#This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58" spans="2:35" ht="84" x14ac:dyDescent="0.35">
      <c r="B58" s="23">
        <v>20260014</v>
      </c>
      <c r="C58" s="121" t="s">
        <v>580</v>
      </c>
      <c r="D58" s="23" t="s">
        <v>105</v>
      </c>
      <c r="E58" s="23" t="s">
        <v>363</v>
      </c>
      <c r="F58" s="159" t="s">
        <v>145</v>
      </c>
      <c r="G58" s="160" t="s">
        <v>373</v>
      </c>
      <c r="H58" s="161">
        <v>6</v>
      </c>
      <c r="I58" s="161">
        <v>0</v>
      </c>
      <c r="J58" s="149">
        <v>26940000</v>
      </c>
      <c r="K58" s="88" t="s">
        <v>398</v>
      </c>
      <c r="L58" s="159" t="s">
        <v>151</v>
      </c>
      <c r="M58" s="162" t="s">
        <v>401</v>
      </c>
      <c r="N58" s="23" t="s">
        <v>197</v>
      </c>
      <c r="O58" s="150" t="s">
        <v>925</v>
      </c>
      <c r="P58" s="159" t="s">
        <v>348</v>
      </c>
      <c r="Q58" s="53">
        <v>80111600</v>
      </c>
      <c r="R58" s="162" t="s">
        <v>203</v>
      </c>
      <c r="S58" s="162" t="str">
        <f>MID(PAA[[#This Row],[Meta Proyecto de Inversión]],1,4)</f>
        <v>8126</v>
      </c>
      <c r="T58" s="162" t="str">
        <f>MID(PAA[[#This Row],[Meta Proyecto de Inversión]],6,1)</f>
        <v>4</v>
      </c>
      <c r="U58" s="163" t="str">
        <f>IFERROR(VLOOKUP(N58,TD!$B$50:$F$54,2,0)," ")</f>
        <v>O230117</v>
      </c>
      <c r="V58" s="163" t="str">
        <f>IFERROR(VLOOKUP(N58,TD!$B$50:$F$54,3,0)," ")</f>
        <v>4599</v>
      </c>
      <c r="W58" s="163">
        <f>IFERROR(VLOOKUP(N58,TD!$B$50:$F$54,4,0)," ")</f>
        <v>20240207</v>
      </c>
      <c r="X58" s="162" t="s">
        <v>168</v>
      </c>
      <c r="Y58" s="163" t="str">
        <f>IFERROR(VLOOKUP(X58,TD!$J$51:$K$64,2,0)," ")</f>
        <v>Infraestructura Tecnológica   (Sistemas de Información y Tecnologia)</v>
      </c>
      <c r="Z58" s="164" t="str">
        <f t="shared" si="0"/>
        <v>11-Infraestructura Tecnológica   (Sistemas de Información y Tecnologia)</v>
      </c>
      <c r="AA58" s="162" t="s">
        <v>228</v>
      </c>
      <c r="AB58" s="163" t="str">
        <f>IFERROR(VLOOKUP(AA58,TD!$N$51:$O$66,2,0)," ")</f>
        <v>Servicios tecnológicos</v>
      </c>
      <c r="AC58" s="164" t="str">
        <f t="shared" si="1"/>
        <v>007_Servicios tecnológicos</v>
      </c>
      <c r="AD58" s="164" t="str">
        <f t="shared" si="2"/>
        <v>11-Infraestructura Tecnológica   (Sistemas de Información y Tecnologia) 007_Servicios tecnológicos</v>
      </c>
      <c r="AE58" s="163" t="str">
        <f t="shared" si="3"/>
        <v>O23011745992024020711007</v>
      </c>
      <c r="AF58" s="163" t="str">
        <f>IFERROR(VLOOKUP(AD58,TD!$J$66:$K$89,2,0)," ")</f>
        <v>PM/0131/0111/45990070207</v>
      </c>
      <c r="AG58" s="118" t="s">
        <v>385</v>
      </c>
      <c r="AH58" s="162" t="s">
        <v>193</v>
      </c>
      <c r="AI58" s="165" t="str">
        <f>CONCATENATE(PAA[[#This Row],[Id Interno]],"-",PAA[[#This Row],[tipo de Contrato (TH talento humano - B/S bienes y/o servicios)]],"-",S58,"-",T58,"-",PAA[[#This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59" spans="2:35" ht="56" x14ac:dyDescent="0.35">
      <c r="B59" s="23">
        <v>20260015</v>
      </c>
      <c r="C59" s="99" t="s">
        <v>575</v>
      </c>
      <c r="D59" s="23" t="s">
        <v>105</v>
      </c>
      <c r="E59" s="23" t="s">
        <v>363</v>
      </c>
      <c r="F59" s="159" t="s">
        <v>145</v>
      </c>
      <c r="G59" s="160" t="s">
        <v>373</v>
      </c>
      <c r="H59" s="161">
        <v>11</v>
      </c>
      <c r="I59" s="161">
        <v>0</v>
      </c>
      <c r="J59" s="149">
        <v>44000000</v>
      </c>
      <c r="K59" s="88" t="s">
        <v>398</v>
      </c>
      <c r="L59" s="159" t="s">
        <v>151</v>
      </c>
      <c r="M59" s="162" t="s">
        <v>401</v>
      </c>
      <c r="N59" s="23" t="s">
        <v>197</v>
      </c>
      <c r="O59" s="150" t="s">
        <v>925</v>
      </c>
      <c r="P59" s="159" t="s">
        <v>348</v>
      </c>
      <c r="Q59" s="53">
        <v>80111600</v>
      </c>
      <c r="R59" s="162" t="s">
        <v>204</v>
      </c>
      <c r="S59" s="162" t="str">
        <f>MID(PAA[[#This Row],[Meta Proyecto de Inversión]],1,4)</f>
        <v>8126</v>
      </c>
      <c r="T59" s="162" t="str">
        <f>MID(PAA[[#This Row],[Meta Proyecto de Inversión]],6,1)</f>
        <v>5</v>
      </c>
      <c r="U59" s="163" t="str">
        <f>IFERROR(VLOOKUP(N59,TD!$B$50:$F$54,2,0)," ")</f>
        <v>O230117</v>
      </c>
      <c r="V59" s="163" t="str">
        <f>IFERROR(VLOOKUP(N59,TD!$B$50:$F$54,3,0)," ")</f>
        <v>4599</v>
      </c>
      <c r="W59" s="163">
        <f>IFERROR(VLOOKUP(N59,TD!$B$50:$F$54,4,0)," ")</f>
        <v>20240207</v>
      </c>
      <c r="X59" s="162" t="s">
        <v>168</v>
      </c>
      <c r="Y59" s="163" t="str">
        <f>IFERROR(VLOOKUP(X59,TD!$J$51:$K$64,2,0)," ")</f>
        <v>Infraestructura Tecnológica   (Sistemas de Información y Tecnologia)</v>
      </c>
      <c r="Z59" s="164" t="str">
        <f t="shared" si="0"/>
        <v>11-Infraestructura Tecnológica   (Sistemas de Información y Tecnologia)</v>
      </c>
      <c r="AA59" s="162" t="s">
        <v>228</v>
      </c>
      <c r="AB59" s="163" t="str">
        <f>IFERROR(VLOOKUP(AA59,TD!$N$51:$O$66,2,0)," ")</f>
        <v>Servicios tecnológicos</v>
      </c>
      <c r="AC59" s="164" t="str">
        <f t="shared" si="1"/>
        <v>007_Servicios tecnológicos</v>
      </c>
      <c r="AD59" s="164" t="str">
        <f t="shared" si="2"/>
        <v>11-Infraestructura Tecnológica   (Sistemas de Información y Tecnologia) 007_Servicios tecnológicos</v>
      </c>
      <c r="AE59" s="163" t="str">
        <f t="shared" si="3"/>
        <v>O23011745992024020711007</v>
      </c>
      <c r="AF59" s="163" t="str">
        <f>IFERROR(VLOOKUP(AD59,TD!$J$66:$K$89,2,0)," ")</f>
        <v>PM/0131/0111/45990070207</v>
      </c>
      <c r="AG59" s="118" t="s">
        <v>385</v>
      </c>
      <c r="AH59" s="162" t="s">
        <v>193</v>
      </c>
      <c r="AI59" s="165" t="str">
        <f>CONCATENATE(PAA[[#This Row],[Id Interno]],"-",PAA[[#This Row],[tipo de Contrato (TH talento humano - B/S bienes y/o servicios)]],"-",S59,"-",T59,"-",PAA[[#This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60" spans="2:35" ht="70" x14ac:dyDescent="0.35">
      <c r="B60" s="23">
        <v>20260016</v>
      </c>
      <c r="C60" s="121" t="s">
        <v>581</v>
      </c>
      <c r="D60" s="23" t="s">
        <v>105</v>
      </c>
      <c r="E60" s="23" t="s">
        <v>363</v>
      </c>
      <c r="F60" s="159" t="s">
        <v>145</v>
      </c>
      <c r="G60" s="160" t="s">
        <v>373</v>
      </c>
      <c r="H60" s="161">
        <v>11</v>
      </c>
      <c r="I60" s="161">
        <v>0</v>
      </c>
      <c r="J60" s="149">
        <v>44000000</v>
      </c>
      <c r="K60" s="88" t="s">
        <v>398</v>
      </c>
      <c r="L60" s="159" t="s">
        <v>151</v>
      </c>
      <c r="M60" s="162" t="s">
        <v>401</v>
      </c>
      <c r="N60" s="23" t="s">
        <v>197</v>
      </c>
      <c r="O60" s="150" t="s">
        <v>925</v>
      </c>
      <c r="P60" s="159" t="s">
        <v>348</v>
      </c>
      <c r="Q60" s="53">
        <v>80111600</v>
      </c>
      <c r="R60" s="162" t="s">
        <v>205</v>
      </c>
      <c r="S60" s="162" t="str">
        <f>MID(PAA[[#This Row],[Meta Proyecto de Inversión]],1,4)</f>
        <v>8126</v>
      </c>
      <c r="T60" s="162" t="str">
        <f>MID(PAA[[#This Row],[Meta Proyecto de Inversión]],6,1)</f>
        <v>6</v>
      </c>
      <c r="U60" s="163" t="str">
        <f>IFERROR(VLOOKUP(N60,TD!$B$50:$F$54,2,0)," ")</f>
        <v>O230117</v>
      </c>
      <c r="V60" s="163" t="str">
        <f>IFERROR(VLOOKUP(N60,TD!$B$50:$F$54,3,0)," ")</f>
        <v>4599</v>
      </c>
      <c r="W60" s="163">
        <f>IFERROR(VLOOKUP(N60,TD!$B$50:$F$54,4,0)," ")</f>
        <v>20240207</v>
      </c>
      <c r="X60" s="162" t="s">
        <v>168</v>
      </c>
      <c r="Y60" s="163" t="str">
        <f>IFERROR(VLOOKUP(X60,TD!$J$51:$K$64,2,0)," ")</f>
        <v>Infraestructura Tecnológica   (Sistemas de Información y Tecnologia)</v>
      </c>
      <c r="Z60" s="164" t="str">
        <f t="shared" si="0"/>
        <v>11-Infraestructura Tecnológica   (Sistemas de Información y Tecnologia)</v>
      </c>
      <c r="AA60" s="162" t="s">
        <v>228</v>
      </c>
      <c r="AB60" s="163" t="str">
        <f>IFERROR(VLOOKUP(AA60,TD!$N$51:$O$66,2,0)," ")</f>
        <v>Servicios tecnológicos</v>
      </c>
      <c r="AC60" s="164" t="str">
        <f t="shared" si="1"/>
        <v>007_Servicios tecnológicos</v>
      </c>
      <c r="AD60" s="164" t="str">
        <f t="shared" si="2"/>
        <v>11-Infraestructura Tecnológica   (Sistemas de Información y Tecnologia) 007_Servicios tecnológicos</v>
      </c>
      <c r="AE60" s="163" t="str">
        <f t="shared" si="3"/>
        <v>O23011745992024020711007</v>
      </c>
      <c r="AF60" s="163" t="str">
        <f>IFERROR(VLOOKUP(AD60,TD!$J$66:$K$89,2,0)," ")</f>
        <v>PM/0131/0111/45990070207</v>
      </c>
      <c r="AG60" s="118" t="s">
        <v>385</v>
      </c>
      <c r="AH60" s="162" t="s">
        <v>193</v>
      </c>
      <c r="AI60" s="165" t="str">
        <f>CONCATENATE(PAA[[#This Row],[Id Interno]],"-",PAA[[#This Row],[tipo de Contrato (TH talento humano - B/S bienes y/o servicios)]],"-",S60,"-",T60,"-",PAA[[#This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61" spans="2:35" ht="70" x14ac:dyDescent="0.35">
      <c r="B61" s="23">
        <v>20260017</v>
      </c>
      <c r="C61" s="99" t="s">
        <v>582</v>
      </c>
      <c r="D61" s="23" t="s">
        <v>105</v>
      </c>
      <c r="E61" s="23" t="s">
        <v>363</v>
      </c>
      <c r="F61" s="159" t="s">
        <v>144</v>
      </c>
      <c r="G61" s="160" t="s">
        <v>373</v>
      </c>
      <c r="H61" s="161">
        <v>10</v>
      </c>
      <c r="I61" s="161">
        <v>0</v>
      </c>
      <c r="J61" s="127">
        <v>78000000</v>
      </c>
      <c r="K61" s="88" t="s">
        <v>398</v>
      </c>
      <c r="L61" s="159" t="s">
        <v>151</v>
      </c>
      <c r="M61" s="162" t="s">
        <v>401</v>
      </c>
      <c r="N61" s="23" t="s">
        <v>197</v>
      </c>
      <c r="O61" s="150" t="s">
        <v>925</v>
      </c>
      <c r="P61" s="159" t="s">
        <v>348</v>
      </c>
      <c r="Q61" s="53">
        <v>80111600</v>
      </c>
      <c r="R61" s="162" t="s">
        <v>205</v>
      </c>
      <c r="S61" s="162" t="str">
        <f>MID(PAA[[#This Row],[Meta Proyecto de Inversión]],1,4)</f>
        <v>8126</v>
      </c>
      <c r="T61" s="162" t="str">
        <f>MID(PAA[[#This Row],[Meta Proyecto de Inversión]],6,1)</f>
        <v>6</v>
      </c>
      <c r="U61" s="163" t="str">
        <f>IFERROR(VLOOKUP(N61,TD!$B$50:$F$54,2,0)," ")</f>
        <v>O230117</v>
      </c>
      <c r="V61" s="163" t="str">
        <f>IFERROR(VLOOKUP(N61,TD!$B$50:$F$54,3,0)," ")</f>
        <v>4599</v>
      </c>
      <c r="W61" s="163">
        <f>IFERROR(VLOOKUP(N61,TD!$B$50:$F$54,4,0)," ")</f>
        <v>20240207</v>
      </c>
      <c r="X61" s="162" t="s">
        <v>168</v>
      </c>
      <c r="Y61" s="163" t="str">
        <f>IFERROR(VLOOKUP(X61,TD!$J$51:$K$64,2,0)," ")</f>
        <v>Infraestructura Tecnológica   (Sistemas de Información y Tecnologia)</v>
      </c>
      <c r="Z61" s="164" t="str">
        <f t="shared" si="0"/>
        <v>11-Infraestructura Tecnológica   (Sistemas de Información y Tecnologia)</v>
      </c>
      <c r="AA61" s="162" t="s">
        <v>228</v>
      </c>
      <c r="AB61" s="163" t="str">
        <f>IFERROR(VLOOKUP(AA61,TD!$N$51:$O$66,2,0)," ")</f>
        <v>Servicios tecnológicos</v>
      </c>
      <c r="AC61" s="164" t="str">
        <f t="shared" si="1"/>
        <v>007_Servicios tecnológicos</v>
      </c>
      <c r="AD61" s="164" t="str">
        <f t="shared" si="2"/>
        <v>11-Infraestructura Tecnológica   (Sistemas de Información y Tecnologia) 007_Servicios tecnológicos</v>
      </c>
      <c r="AE61" s="163" t="str">
        <f t="shared" si="3"/>
        <v>O23011745992024020711007</v>
      </c>
      <c r="AF61" s="163" t="str">
        <f>IFERROR(VLOOKUP(AD61,TD!$J$66:$K$89,2,0)," ")</f>
        <v>PM/0131/0111/45990070207</v>
      </c>
      <c r="AG61" s="118" t="s">
        <v>385</v>
      </c>
      <c r="AH61" s="162" t="s">
        <v>193</v>
      </c>
      <c r="AI61" s="165" t="str">
        <f>CONCATENATE(PAA[[#This Row],[Id Interno]],"-",PAA[[#This Row],[tipo de Contrato (TH talento humano - B/S bienes y/o servicios)]],"-",S61,"-",T61,"-",PAA[[#This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62" spans="2:35" ht="84" x14ac:dyDescent="0.35">
      <c r="B62" s="23">
        <v>20260018</v>
      </c>
      <c r="C62" s="99" t="s">
        <v>583</v>
      </c>
      <c r="D62" s="23" t="s">
        <v>105</v>
      </c>
      <c r="E62" s="23" t="s">
        <v>363</v>
      </c>
      <c r="F62" s="159" t="s">
        <v>144</v>
      </c>
      <c r="G62" s="160" t="s">
        <v>373</v>
      </c>
      <c r="H62" s="161">
        <v>10</v>
      </c>
      <c r="I62" s="161">
        <v>0</v>
      </c>
      <c r="J62" s="127">
        <v>75000000</v>
      </c>
      <c r="K62" s="88" t="s">
        <v>398</v>
      </c>
      <c r="L62" s="159" t="s">
        <v>151</v>
      </c>
      <c r="M62" s="162" t="s">
        <v>401</v>
      </c>
      <c r="N62" s="23" t="s">
        <v>197</v>
      </c>
      <c r="O62" s="150" t="s">
        <v>925</v>
      </c>
      <c r="P62" s="159" t="s">
        <v>348</v>
      </c>
      <c r="Q62" s="53">
        <v>80111600</v>
      </c>
      <c r="R62" s="162" t="s">
        <v>204</v>
      </c>
      <c r="S62" s="162" t="str">
        <f>MID(PAA[[#This Row],[Meta Proyecto de Inversión]],1,4)</f>
        <v>8126</v>
      </c>
      <c r="T62" s="162" t="str">
        <f>MID(PAA[[#This Row],[Meta Proyecto de Inversión]],6,1)</f>
        <v>5</v>
      </c>
      <c r="U62" s="163" t="str">
        <f>IFERROR(VLOOKUP(N62,TD!$B$50:$F$54,2,0)," ")</f>
        <v>O230117</v>
      </c>
      <c r="V62" s="163" t="str">
        <f>IFERROR(VLOOKUP(N62,TD!$B$50:$F$54,3,0)," ")</f>
        <v>4599</v>
      </c>
      <c r="W62" s="163">
        <f>IFERROR(VLOOKUP(N62,TD!$B$50:$F$54,4,0)," ")</f>
        <v>20240207</v>
      </c>
      <c r="X62" s="162" t="s">
        <v>168</v>
      </c>
      <c r="Y62" s="163" t="str">
        <f>IFERROR(VLOOKUP(X62,TD!$J$51:$K$64,2,0)," ")</f>
        <v>Infraestructura Tecnológica   (Sistemas de Información y Tecnologia)</v>
      </c>
      <c r="Z62" s="164" t="str">
        <f t="shared" si="0"/>
        <v>11-Infraestructura Tecnológica   (Sistemas de Información y Tecnologia)</v>
      </c>
      <c r="AA62" s="162" t="s">
        <v>228</v>
      </c>
      <c r="AB62" s="163" t="str">
        <f>IFERROR(VLOOKUP(AA62,TD!$N$51:$O$66,2,0)," ")</f>
        <v>Servicios tecnológicos</v>
      </c>
      <c r="AC62" s="164" t="str">
        <f t="shared" si="1"/>
        <v>007_Servicios tecnológicos</v>
      </c>
      <c r="AD62" s="164" t="str">
        <f t="shared" si="2"/>
        <v>11-Infraestructura Tecnológica   (Sistemas de Información y Tecnologia) 007_Servicios tecnológicos</v>
      </c>
      <c r="AE62" s="163" t="str">
        <f t="shared" si="3"/>
        <v>O23011745992024020711007</v>
      </c>
      <c r="AF62" s="163" t="str">
        <f>IFERROR(VLOOKUP(AD62,TD!$J$66:$K$89,2,0)," ")</f>
        <v>PM/0131/0111/45990070207</v>
      </c>
      <c r="AG62" s="118" t="s">
        <v>385</v>
      </c>
      <c r="AH62" s="162" t="s">
        <v>193</v>
      </c>
      <c r="AI62" s="165" t="str">
        <f>CONCATENATE(PAA[[#This Row],[Id Interno]],"-",PAA[[#This Row],[tipo de Contrato (TH talento humano - B/S bienes y/o servicios)]],"-",S62,"-",T62,"-",PAA[[#This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63" spans="2:35" ht="84" x14ac:dyDescent="0.35">
      <c r="B63" s="23">
        <v>20260019</v>
      </c>
      <c r="C63" s="99" t="s">
        <v>579</v>
      </c>
      <c r="D63" s="23" t="s">
        <v>105</v>
      </c>
      <c r="E63" s="23" t="s">
        <v>363</v>
      </c>
      <c r="F63" s="159" t="s">
        <v>144</v>
      </c>
      <c r="G63" s="160" t="s">
        <v>374</v>
      </c>
      <c r="H63" s="161">
        <v>6</v>
      </c>
      <c r="I63" s="161">
        <v>0</v>
      </c>
      <c r="J63" s="127">
        <v>42000000</v>
      </c>
      <c r="K63" s="88" t="s">
        <v>398</v>
      </c>
      <c r="L63" s="159" t="s">
        <v>151</v>
      </c>
      <c r="M63" s="162" t="s">
        <v>401</v>
      </c>
      <c r="N63" s="23" t="s">
        <v>197</v>
      </c>
      <c r="O63" s="150" t="s">
        <v>925</v>
      </c>
      <c r="P63" s="159" t="s">
        <v>348</v>
      </c>
      <c r="Q63" s="53">
        <v>80111600</v>
      </c>
      <c r="R63" s="162" t="s">
        <v>203</v>
      </c>
      <c r="S63" s="162" t="str">
        <f>MID(PAA[[#This Row],[Meta Proyecto de Inversión]],1,4)</f>
        <v>8126</v>
      </c>
      <c r="T63" s="162" t="str">
        <f>MID(PAA[[#This Row],[Meta Proyecto de Inversión]],6,1)</f>
        <v>4</v>
      </c>
      <c r="U63" s="163" t="str">
        <f>IFERROR(VLOOKUP(N63,TD!$B$50:$F$54,2,0)," ")</f>
        <v>O230117</v>
      </c>
      <c r="V63" s="163" t="str">
        <f>IFERROR(VLOOKUP(N63,TD!$B$50:$F$54,3,0)," ")</f>
        <v>4599</v>
      </c>
      <c r="W63" s="163">
        <f>IFERROR(VLOOKUP(N63,TD!$B$50:$F$54,4,0)," ")</f>
        <v>20240207</v>
      </c>
      <c r="X63" s="162" t="s">
        <v>168</v>
      </c>
      <c r="Y63" s="163" t="str">
        <f>IFERROR(VLOOKUP(X63,TD!$J$51:$K$64,2,0)," ")</f>
        <v>Infraestructura Tecnológica   (Sistemas de Información y Tecnologia)</v>
      </c>
      <c r="Z63" s="164" t="str">
        <f t="shared" si="0"/>
        <v>11-Infraestructura Tecnológica   (Sistemas de Información y Tecnologia)</v>
      </c>
      <c r="AA63" s="162" t="s">
        <v>228</v>
      </c>
      <c r="AB63" s="163" t="str">
        <f>IFERROR(VLOOKUP(AA63,TD!$N$51:$O$66,2,0)," ")</f>
        <v>Servicios tecnológicos</v>
      </c>
      <c r="AC63" s="164" t="str">
        <f t="shared" si="1"/>
        <v>007_Servicios tecnológicos</v>
      </c>
      <c r="AD63" s="164" t="str">
        <f t="shared" si="2"/>
        <v>11-Infraestructura Tecnológica   (Sistemas de Información y Tecnologia) 007_Servicios tecnológicos</v>
      </c>
      <c r="AE63" s="163" t="str">
        <f t="shared" si="3"/>
        <v>O23011745992024020711007</v>
      </c>
      <c r="AF63" s="163" t="str">
        <f>IFERROR(VLOOKUP(AD63,TD!$J$66:$K$89,2,0)," ")</f>
        <v>PM/0131/0111/45990070207</v>
      </c>
      <c r="AG63" s="118" t="s">
        <v>385</v>
      </c>
      <c r="AH63" s="162" t="s">
        <v>193</v>
      </c>
      <c r="AI63" s="165" t="str">
        <f>CONCATENATE(PAA[[#This Row],[Id Interno]],"-",PAA[[#This Row],[tipo de Contrato (TH talento humano - B/S bienes y/o servicios)]],"-",S63,"-",T63,"-",PAA[[#This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64" spans="2:35" ht="84" x14ac:dyDescent="0.35">
      <c r="B64" s="23">
        <v>20260020</v>
      </c>
      <c r="C64" s="99" t="s">
        <v>584</v>
      </c>
      <c r="D64" s="23" t="s">
        <v>105</v>
      </c>
      <c r="E64" s="23" t="s">
        <v>363</v>
      </c>
      <c r="F64" s="159" t="s">
        <v>144</v>
      </c>
      <c r="G64" s="160" t="s">
        <v>374</v>
      </c>
      <c r="H64" s="161">
        <v>10</v>
      </c>
      <c r="I64" s="161">
        <v>0</v>
      </c>
      <c r="J64" s="127">
        <v>78000000</v>
      </c>
      <c r="K64" s="88" t="s">
        <v>398</v>
      </c>
      <c r="L64" s="159" t="s">
        <v>151</v>
      </c>
      <c r="M64" s="162" t="s">
        <v>401</v>
      </c>
      <c r="N64" s="23" t="s">
        <v>197</v>
      </c>
      <c r="O64" s="150" t="s">
        <v>925</v>
      </c>
      <c r="P64" s="159" t="s">
        <v>348</v>
      </c>
      <c r="Q64" s="53">
        <v>80111600</v>
      </c>
      <c r="R64" s="162" t="s">
        <v>204</v>
      </c>
      <c r="S64" s="162" t="str">
        <f>MID(PAA[[#This Row],[Meta Proyecto de Inversión]],1,4)</f>
        <v>8126</v>
      </c>
      <c r="T64" s="162" t="str">
        <f>MID(PAA[[#This Row],[Meta Proyecto de Inversión]],6,1)</f>
        <v>5</v>
      </c>
      <c r="U64" s="163" t="str">
        <f>IFERROR(VLOOKUP(N64,TD!$B$50:$F$54,2,0)," ")</f>
        <v>O230117</v>
      </c>
      <c r="V64" s="163" t="str">
        <f>IFERROR(VLOOKUP(N64,TD!$B$50:$F$54,3,0)," ")</f>
        <v>4599</v>
      </c>
      <c r="W64" s="163">
        <f>IFERROR(VLOOKUP(N64,TD!$B$50:$F$54,4,0)," ")</f>
        <v>20240207</v>
      </c>
      <c r="X64" s="162" t="s">
        <v>168</v>
      </c>
      <c r="Y64" s="163" t="str">
        <f>IFERROR(VLOOKUP(X64,TD!$J$51:$K$64,2,0)," ")</f>
        <v>Infraestructura Tecnológica   (Sistemas de Información y Tecnologia)</v>
      </c>
      <c r="Z64" s="164" t="str">
        <f t="shared" si="0"/>
        <v>11-Infraestructura Tecnológica   (Sistemas de Información y Tecnologia)</v>
      </c>
      <c r="AA64" s="162" t="s">
        <v>228</v>
      </c>
      <c r="AB64" s="163" t="str">
        <f>IFERROR(VLOOKUP(AA64,TD!$N$51:$O$66,2,0)," ")</f>
        <v>Servicios tecnológicos</v>
      </c>
      <c r="AC64" s="164" t="str">
        <f t="shared" si="1"/>
        <v>007_Servicios tecnológicos</v>
      </c>
      <c r="AD64" s="164" t="str">
        <f t="shared" si="2"/>
        <v>11-Infraestructura Tecnológica   (Sistemas de Información y Tecnologia) 007_Servicios tecnológicos</v>
      </c>
      <c r="AE64" s="163" t="str">
        <f t="shared" si="3"/>
        <v>O23011745992024020711007</v>
      </c>
      <c r="AF64" s="163" t="str">
        <f>IFERROR(VLOOKUP(AD64,TD!$J$66:$K$89,2,0)," ")</f>
        <v>PM/0131/0111/45990070207</v>
      </c>
      <c r="AG64" s="118" t="s">
        <v>385</v>
      </c>
      <c r="AH64" s="162" t="s">
        <v>193</v>
      </c>
      <c r="AI64" s="165" t="str">
        <f>CONCATENATE(PAA[[#This Row],[Id Interno]],"-",PAA[[#This Row],[tipo de Contrato (TH talento humano - B/S bienes y/o servicios)]],"-",S64,"-",T64,"-",PAA[[#This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65" spans="2:35" ht="70" x14ac:dyDescent="0.35">
      <c r="B65" s="23">
        <v>20260021</v>
      </c>
      <c r="C65" s="99" t="s">
        <v>585</v>
      </c>
      <c r="D65" s="23" t="s">
        <v>105</v>
      </c>
      <c r="E65" s="23" t="s">
        <v>363</v>
      </c>
      <c r="F65" s="159" t="s">
        <v>144</v>
      </c>
      <c r="G65" s="160" t="s">
        <v>374</v>
      </c>
      <c r="H65" s="161">
        <v>10</v>
      </c>
      <c r="I65" s="161">
        <v>0</v>
      </c>
      <c r="J65" s="127">
        <v>55000000</v>
      </c>
      <c r="K65" s="88" t="s">
        <v>398</v>
      </c>
      <c r="L65" s="159" t="s">
        <v>151</v>
      </c>
      <c r="M65" s="162" t="s">
        <v>401</v>
      </c>
      <c r="N65" s="23" t="s">
        <v>197</v>
      </c>
      <c r="O65" s="150" t="s">
        <v>925</v>
      </c>
      <c r="P65" s="159" t="s">
        <v>348</v>
      </c>
      <c r="Q65" s="53">
        <v>80111600</v>
      </c>
      <c r="R65" s="162" t="s">
        <v>206</v>
      </c>
      <c r="S65" s="162" t="str">
        <f>MID(PAA[[#This Row],[Meta Proyecto de Inversión]],1,4)</f>
        <v>8126</v>
      </c>
      <c r="T65" s="162" t="str">
        <f>MID(PAA[[#This Row],[Meta Proyecto de Inversión]],6,1)</f>
        <v>7</v>
      </c>
      <c r="U65" s="163" t="str">
        <f>IFERROR(VLOOKUP(N65,TD!$B$50:$F$54,2,0)," ")</f>
        <v>O230117</v>
      </c>
      <c r="V65" s="163" t="str">
        <f>IFERROR(VLOOKUP(N65,TD!$B$50:$F$54,3,0)," ")</f>
        <v>4599</v>
      </c>
      <c r="W65" s="163">
        <f>IFERROR(VLOOKUP(N65,TD!$B$50:$F$54,4,0)," ")</f>
        <v>20240207</v>
      </c>
      <c r="X65" s="162" t="s">
        <v>168</v>
      </c>
      <c r="Y65" s="163" t="str">
        <f>IFERROR(VLOOKUP(X65,TD!$J$51:$K$64,2,0)," ")</f>
        <v>Infraestructura Tecnológica   (Sistemas de Información y Tecnologia)</v>
      </c>
      <c r="Z65" s="164" t="str">
        <f t="shared" si="0"/>
        <v>11-Infraestructura Tecnológica   (Sistemas de Información y Tecnologia)</v>
      </c>
      <c r="AA65" s="162" t="s">
        <v>228</v>
      </c>
      <c r="AB65" s="163" t="str">
        <f>IFERROR(VLOOKUP(AA65,TD!$N$51:$O$66,2,0)," ")</f>
        <v>Servicios tecnológicos</v>
      </c>
      <c r="AC65" s="164" t="str">
        <f t="shared" si="1"/>
        <v>007_Servicios tecnológicos</v>
      </c>
      <c r="AD65" s="164" t="str">
        <f t="shared" si="2"/>
        <v>11-Infraestructura Tecnológica   (Sistemas de Información y Tecnologia) 007_Servicios tecnológicos</v>
      </c>
      <c r="AE65" s="163" t="str">
        <f t="shared" si="3"/>
        <v>O23011745992024020711007</v>
      </c>
      <c r="AF65" s="163" t="str">
        <f>IFERROR(VLOOKUP(AD65,TD!$J$66:$K$89,2,0)," ")</f>
        <v>PM/0131/0111/45990070207</v>
      </c>
      <c r="AG65" s="118" t="s">
        <v>385</v>
      </c>
      <c r="AH65" s="162" t="s">
        <v>193</v>
      </c>
      <c r="AI65" s="165" t="str">
        <f>CONCATENATE(PAA[[#This Row],[Id Interno]],"-",PAA[[#This Row],[tipo de Contrato (TH talento humano - B/S bienes y/o servicios)]],"-",S65,"-",T65,"-",PAA[[#This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66" spans="2:35" ht="56" x14ac:dyDescent="0.35">
      <c r="B66" s="23">
        <v>20260022</v>
      </c>
      <c r="C66" s="99" t="s">
        <v>586</v>
      </c>
      <c r="D66" s="23" t="s">
        <v>105</v>
      </c>
      <c r="E66" s="23" t="s">
        <v>363</v>
      </c>
      <c r="F66" s="159" t="s">
        <v>144</v>
      </c>
      <c r="G66" s="160" t="s">
        <v>374</v>
      </c>
      <c r="H66" s="161">
        <v>6</v>
      </c>
      <c r="I66" s="161">
        <v>0</v>
      </c>
      <c r="J66" s="127">
        <v>30000000</v>
      </c>
      <c r="K66" s="88" t="s">
        <v>398</v>
      </c>
      <c r="L66" s="159" t="s">
        <v>151</v>
      </c>
      <c r="M66" s="162" t="s">
        <v>401</v>
      </c>
      <c r="N66" s="23" t="s">
        <v>197</v>
      </c>
      <c r="O66" s="150" t="s">
        <v>925</v>
      </c>
      <c r="P66" s="159" t="s">
        <v>348</v>
      </c>
      <c r="Q66" s="53">
        <v>80111600</v>
      </c>
      <c r="R66" s="162" t="s">
        <v>203</v>
      </c>
      <c r="S66" s="162" t="str">
        <f>MID(PAA[[#This Row],[Meta Proyecto de Inversión]],1,4)</f>
        <v>8126</v>
      </c>
      <c r="T66" s="162" t="str">
        <f>MID(PAA[[#This Row],[Meta Proyecto de Inversión]],6,1)</f>
        <v>4</v>
      </c>
      <c r="U66" s="163" t="str">
        <f>IFERROR(VLOOKUP(N66,TD!$B$50:$F$54,2,0)," ")</f>
        <v>O230117</v>
      </c>
      <c r="V66" s="163" t="str">
        <f>IFERROR(VLOOKUP(N66,TD!$B$50:$F$54,3,0)," ")</f>
        <v>4599</v>
      </c>
      <c r="W66" s="163">
        <f>IFERROR(VLOOKUP(N66,TD!$B$50:$F$54,4,0)," ")</f>
        <v>20240207</v>
      </c>
      <c r="X66" s="162" t="s">
        <v>168</v>
      </c>
      <c r="Y66" s="163" t="str">
        <f>IFERROR(VLOOKUP(X66,TD!$J$51:$K$64,2,0)," ")</f>
        <v>Infraestructura Tecnológica   (Sistemas de Información y Tecnologia)</v>
      </c>
      <c r="Z66" s="164" t="str">
        <f t="shared" si="0"/>
        <v>11-Infraestructura Tecnológica   (Sistemas de Información y Tecnologia)</v>
      </c>
      <c r="AA66" s="162" t="s">
        <v>228</v>
      </c>
      <c r="AB66" s="163" t="str">
        <f>IFERROR(VLOOKUP(AA66,TD!$N$51:$O$66,2,0)," ")</f>
        <v>Servicios tecnológicos</v>
      </c>
      <c r="AC66" s="164" t="str">
        <f t="shared" si="1"/>
        <v>007_Servicios tecnológicos</v>
      </c>
      <c r="AD66" s="164" t="str">
        <f t="shared" si="2"/>
        <v>11-Infraestructura Tecnológica   (Sistemas de Información y Tecnologia) 007_Servicios tecnológicos</v>
      </c>
      <c r="AE66" s="163" t="str">
        <f t="shared" si="3"/>
        <v>O23011745992024020711007</v>
      </c>
      <c r="AF66" s="163" t="str">
        <f>IFERROR(VLOOKUP(AD66,TD!$J$66:$K$89,2,0)," ")</f>
        <v>PM/0131/0111/45990070207</v>
      </c>
      <c r="AG66" s="118" t="s">
        <v>385</v>
      </c>
      <c r="AH66" s="162" t="s">
        <v>193</v>
      </c>
      <c r="AI66" s="165" t="str">
        <f>CONCATENATE(PAA[[#This Row],[Id Interno]],"-",PAA[[#This Row],[tipo de Contrato (TH talento humano - B/S bienes y/o servicios)]],"-",S66,"-",T66,"-",PAA[[#This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67" spans="2:35" ht="84" x14ac:dyDescent="0.35">
      <c r="B67" s="23">
        <v>20260023</v>
      </c>
      <c r="C67" s="99" t="s">
        <v>587</v>
      </c>
      <c r="D67" s="23" t="s">
        <v>105</v>
      </c>
      <c r="E67" s="23" t="s">
        <v>363</v>
      </c>
      <c r="F67" s="159" t="s">
        <v>145</v>
      </c>
      <c r="G67" s="160" t="s">
        <v>373</v>
      </c>
      <c r="H67" s="161">
        <v>10</v>
      </c>
      <c r="I67" s="161">
        <v>0</v>
      </c>
      <c r="J67" s="127">
        <v>40000000</v>
      </c>
      <c r="K67" s="88" t="s">
        <v>398</v>
      </c>
      <c r="L67" s="159" t="s">
        <v>151</v>
      </c>
      <c r="M67" s="162" t="s">
        <v>401</v>
      </c>
      <c r="N67" s="23" t="s">
        <v>197</v>
      </c>
      <c r="O67" s="150" t="s">
        <v>925</v>
      </c>
      <c r="P67" s="159" t="s">
        <v>348</v>
      </c>
      <c r="Q67" s="53">
        <v>80111600</v>
      </c>
      <c r="R67" s="162" t="s">
        <v>205</v>
      </c>
      <c r="S67" s="162" t="str">
        <f>MID(PAA[[#This Row],[Meta Proyecto de Inversión]],1,4)</f>
        <v>8126</v>
      </c>
      <c r="T67" s="162" t="str">
        <f>MID(PAA[[#This Row],[Meta Proyecto de Inversión]],6,1)</f>
        <v>6</v>
      </c>
      <c r="U67" s="163" t="str">
        <f>IFERROR(VLOOKUP(N67,TD!$B$50:$F$54,2,0)," ")</f>
        <v>O230117</v>
      </c>
      <c r="V67" s="163" t="str">
        <f>IFERROR(VLOOKUP(N67,TD!$B$50:$F$54,3,0)," ")</f>
        <v>4599</v>
      </c>
      <c r="W67" s="163">
        <f>IFERROR(VLOOKUP(N67,TD!$B$50:$F$54,4,0)," ")</f>
        <v>20240207</v>
      </c>
      <c r="X67" s="162" t="s">
        <v>168</v>
      </c>
      <c r="Y67" s="163" t="str">
        <f>IFERROR(VLOOKUP(X67,TD!$J$51:$K$64,2,0)," ")</f>
        <v>Infraestructura Tecnológica   (Sistemas de Información y Tecnologia)</v>
      </c>
      <c r="Z67" s="164" t="str">
        <f t="shared" si="0"/>
        <v>11-Infraestructura Tecnológica   (Sistemas de Información y Tecnologia)</v>
      </c>
      <c r="AA67" s="162" t="s">
        <v>228</v>
      </c>
      <c r="AB67" s="163" t="str">
        <f>IFERROR(VLOOKUP(AA67,TD!$N$51:$O$66,2,0)," ")</f>
        <v>Servicios tecnológicos</v>
      </c>
      <c r="AC67" s="164" t="str">
        <f t="shared" si="1"/>
        <v>007_Servicios tecnológicos</v>
      </c>
      <c r="AD67" s="164" t="str">
        <f t="shared" si="2"/>
        <v>11-Infraestructura Tecnológica   (Sistemas de Información y Tecnologia) 007_Servicios tecnológicos</v>
      </c>
      <c r="AE67" s="163" t="str">
        <f t="shared" si="3"/>
        <v>O23011745992024020711007</v>
      </c>
      <c r="AF67" s="163" t="str">
        <f>IFERROR(VLOOKUP(AD67,TD!$J$66:$K$89,2,0)," ")</f>
        <v>PM/0131/0111/45990070207</v>
      </c>
      <c r="AG67" s="118" t="s">
        <v>385</v>
      </c>
      <c r="AH67" s="162" t="s">
        <v>193</v>
      </c>
      <c r="AI67" s="165" t="str">
        <f>CONCATENATE(PAA[[#This Row],[Id Interno]],"-",PAA[[#This Row],[tipo de Contrato (TH talento humano - B/S bienes y/o servicios)]],"-",S67,"-",T67,"-",PAA[[#This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68" spans="2:35" ht="56" x14ac:dyDescent="0.35">
      <c r="B68" s="23">
        <v>20260024</v>
      </c>
      <c r="C68" s="23" t="s">
        <v>588</v>
      </c>
      <c r="D68" s="23" t="s">
        <v>105</v>
      </c>
      <c r="E68" s="23" t="s">
        <v>363</v>
      </c>
      <c r="F68" s="159" t="s">
        <v>144</v>
      </c>
      <c r="G68" s="159" t="s">
        <v>374</v>
      </c>
      <c r="H68" s="161">
        <v>6</v>
      </c>
      <c r="I68" s="161">
        <v>0</v>
      </c>
      <c r="J68" s="127">
        <v>30966000</v>
      </c>
      <c r="K68" s="88" t="s">
        <v>398</v>
      </c>
      <c r="L68" s="159" t="s">
        <v>151</v>
      </c>
      <c r="M68" s="162" t="s">
        <v>401</v>
      </c>
      <c r="N68" s="23" t="s">
        <v>197</v>
      </c>
      <c r="O68" s="151" t="s">
        <v>925</v>
      </c>
      <c r="P68" s="159" t="s">
        <v>348</v>
      </c>
      <c r="Q68" s="53">
        <v>80111600</v>
      </c>
      <c r="R68" s="162" t="s">
        <v>203</v>
      </c>
      <c r="S68" s="162" t="str">
        <f>MID(PAA[[#This Row],[Meta Proyecto de Inversión]],1,4)</f>
        <v>8126</v>
      </c>
      <c r="T68" s="162" t="str">
        <f>MID(PAA[[#This Row],[Meta Proyecto de Inversión]],6,1)</f>
        <v>4</v>
      </c>
      <c r="U68" s="163" t="str">
        <f>IFERROR(VLOOKUP(N68,TD!$B$50:$F$54,2,0)," ")</f>
        <v>O230117</v>
      </c>
      <c r="V68" s="163" t="str">
        <f>IFERROR(VLOOKUP(N68,TD!$B$50:$F$54,3,0)," ")</f>
        <v>4599</v>
      </c>
      <c r="W68" s="163">
        <f>IFERROR(VLOOKUP(N68,TD!$B$50:$F$54,4,0)," ")</f>
        <v>20240207</v>
      </c>
      <c r="X68" s="162" t="s">
        <v>168</v>
      </c>
      <c r="Y68" s="163" t="str">
        <f>IFERROR(VLOOKUP(X68,TD!$J$51:$K$64,2,0)," ")</f>
        <v>Infraestructura Tecnológica   (Sistemas de Información y Tecnologia)</v>
      </c>
      <c r="Z68" s="164" t="str">
        <f t="shared" si="0"/>
        <v>11-Infraestructura Tecnológica   (Sistemas de Información y Tecnologia)</v>
      </c>
      <c r="AA68" s="162" t="s">
        <v>228</v>
      </c>
      <c r="AB68" s="163" t="str">
        <f>IFERROR(VLOOKUP(AA68,TD!$N$51:$O$66,2,0)," ")</f>
        <v>Servicios tecnológicos</v>
      </c>
      <c r="AC68" s="164" t="str">
        <f t="shared" si="1"/>
        <v>007_Servicios tecnológicos</v>
      </c>
      <c r="AD68" s="164" t="str">
        <f t="shared" si="2"/>
        <v>11-Infraestructura Tecnológica   (Sistemas de Información y Tecnologia) 007_Servicios tecnológicos</v>
      </c>
      <c r="AE68" s="163" t="str">
        <f t="shared" si="3"/>
        <v>O23011745992024020711007</v>
      </c>
      <c r="AF68" s="163" t="str">
        <f>IFERROR(VLOOKUP(AD68,TD!$J$66:$K$89,2,0)," ")</f>
        <v>PM/0131/0111/45990070207</v>
      </c>
      <c r="AG68" s="127" t="s">
        <v>385</v>
      </c>
      <c r="AH68" s="162" t="s">
        <v>193</v>
      </c>
      <c r="AI68" s="165" t="str">
        <f>CONCATENATE(PAA[[#This Row],[Id Interno]],"-",PAA[[#This Row],[tipo de Contrato (TH talento humano - B/S bienes y/o servicios)]],"-",S68,"-",T68,"-",PAA[[#This Row],[Objeto de la contratación]])</f>
        <v>20260024-TH-8126-4-Prestar los servicios profesionales en la implementación, de las herramientas misionales, creadas como soporte a los procesos y procedimientos de la U.A.E. Cuerpo Oficial de Bomberos de Bogotá.</v>
      </c>
    </row>
    <row r="69" spans="2:35" ht="84" x14ac:dyDescent="0.35">
      <c r="B69" s="23">
        <v>20260025</v>
      </c>
      <c r="C69" s="99" t="s">
        <v>573</v>
      </c>
      <c r="D69" s="23" t="s">
        <v>105</v>
      </c>
      <c r="E69" s="23" t="s">
        <v>363</v>
      </c>
      <c r="F69" s="159" t="s">
        <v>144</v>
      </c>
      <c r="G69" s="160" t="s">
        <v>373</v>
      </c>
      <c r="H69" s="161">
        <v>10</v>
      </c>
      <c r="I69" s="161">
        <v>0</v>
      </c>
      <c r="J69" s="127">
        <v>78000000</v>
      </c>
      <c r="K69" s="88" t="s">
        <v>398</v>
      </c>
      <c r="L69" s="159" t="s">
        <v>151</v>
      </c>
      <c r="M69" s="162" t="s">
        <v>401</v>
      </c>
      <c r="N69" s="23" t="s">
        <v>197</v>
      </c>
      <c r="O69" s="150" t="s">
        <v>925</v>
      </c>
      <c r="P69" s="159" t="s">
        <v>348</v>
      </c>
      <c r="Q69" s="53">
        <v>80111600</v>
      </c>
      <c r="R69" s="162" t="s">
        <v>204</v>
      </c>
      <c r="S69" s="162" t="str">
        <f>MID(PAA[[#This Row],[Meta Proyecto de Inversión]],1,4)</f>
        <v>8126</v>
      </c>
      <c r="T69" s="162" t="str">
        <f>MID(PAA[[#This Row],[Meta Proyecto de Inversión]],6,1)</f>
        <v>5</v>
      </c>
      <c r="U69" s="163" t="str">
        <f>IFERROR(VLOOKUP(N69,TD!$B$50:$F$54,2,0)," ")</f>
        <v>O230117</v>
      </c>
      <c r="V69" s="163" t="str">
        <f>IFERROR(VLOOKUP(N69,TD!$B$50:$F$54,3,0)," ")</f>
        <v>4599</v>
      </c>
      <c r="W69" s="163">
        <f>IFERROR(VLOOKUP(N69,TD!$B$50:$F$54,4,0)," ")</f>
        <v>20240207</v>
      </c>
      <c r="X69" s="162" t="s">
        <v>168</v>
      </c>
      <c r="Y69" s="163" t="str">
        <f>IFERROR(VLOOKUP(X69,TD!$J$51:$K$64,2,0)," ")</f>
        <v>Infraestructura Tecnológica   (Sistemas de Información y Tecnologia)</v>
      </c>
      <c r="Z69" s="164" t="str">
        <f t="shared" si="0"/>
        <v>11-Infraestructura Tecnológica   (Sistemas de Información y Tecnologia)</v>
      </c>
      <c r="AA69" s="162" t="s">
        <v>228</v>
      </c>
      <c r="AB69" s="163" t="str">
        <f>IFERROR(VLOOKUP(AA69,TD!$N$51:$O$66,2,0)," ")</f>
        <v>Servicios tecnológicos</v>
      </c>
      <c r="AC69" s="164" t="str">
        <f t="shared" si="1"/>
        <v>007_Servicios tecnológicos</v>
      </c>
      <c r="AD69" s="164" t="str">
        <f t="shared" si="2"/>
        <v>11-Infraestructura Tecnológica   (Sistemas de Información y Tecnologia) 007_Servicios tecnológicos</v>
      </c>
      <c r="AE69" s="163" t="str">
        <f t="shared" si="3"/>
        <v>O23011745992024020711007</v>
      </c>
      <c r="AF69" s="163" t="str">
        <f>IFERROR(VLOOKUP(AD69,TD!$J$66:$K$89,2,0)," ")</f>
        <v>PM/0131/0111/45990070207</v>
      </c>
      <c r="AG69" s="118" t="s">
        <v>385</v>
      </c>
      <c r="AH69" s="162" t="s">
        <v>193</v>
      </c>
      <c r="AI69" s="165" t="str">
        <f>CONCATENATE(PAA[[#This Row],[Id Interno]],"-",PAA[[#This Row],[tipo de Contrato (TH talento humano - B/S bienes y/o servicios)]],"-",S69,"-",T69,"-",PAA[[#This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0" spans="2:35" ht="84" x14ac:dyDescent="0.35">
      <c r="B70" s="23">
        <v>20260026</v>
      </c>
      <c r="C70" s="99" t="s">
        <v>589</v>
      </c>
      <c r="D70" s="23" t="s">
        <v>105</v>
      </c>
      <c r="E70" s="23" t="s">
        <v>363</v>
      </c>
      <c r="F70" s="159" t="s">
        <v>144</v>
      </c>
      <c r="G70" s="160" t="s">
        <v>373</v>
      </c>
      <c r="H70" s="161">
        <v>10</v>
      </c>
      <c r="I70" s="161">
        <v>0</v>
      </c>
      <c r="J70" s="127">
        <v>74500000</v>
      </c>
      <c r="K70" s="88" t="s">
        <v>398</v>
      </c>
      <c r="L70" s="159" t="s">
        <v>151</v>
      </c>
      <c r="M70" s="162" t="s">
        <v>401</v>
      </c>
      <c r="N70" s="23" t="s">
        <v>197</v>
      </c>
      <c r="O70" s="150" t="s">
        <v>925</v>
      </c>
      <c r="P70" s="159" t="s">
        <v>348</v>
      </c>
      <c r="Q70" s="53">
        <v>80111600</v>
      </c>
      <c r="R70" s="162" t="s">
        <v>204</v>
      </c>
      <c r="S70" s="162" t="str">
        <f>MID(PAA[[#This Row],[Meta Proyecto de Inversión]],1,4)</f>
        <v>8126</v>
      </c>
      <c r="T70" s="162" t="str">
        <f>MID(PAA[[#This Row],[Meta Proyecto de Inversión]],6,1)</f>
        <v>5</v>
      </c>
      <c r="U70" s="163" t="str">
        <f>IFERROR(VLOOKUP(N70,TD!$B$50:$F$54,2,0)," ")</f>
        <v>O230117</v>
      </c>
      <c r="V70" s="163" t="str">
        <f>IFERROR(VLOOKUP(N70,TD!$B$50:$F$54,3,0)," ")</f>
        <v>4599</v>
      </c>
      <c r="W70" s="163">
        <f>IFERROR(VLOOKUP(N70,TD!$B$50:$F$54,4,0)," ")</f>
        <v>20240207</v>
      </c>
      <c r="X70" s="162" t="s">
        <v>168</v>
      </c>
      <c r="Y70" s="163" t="str">
        <f>IFERROR(VLOOKUP(X70,TD!$J$51:$K$64,2,0)," ")</f>
        <v>Infraestructura Tecnológica   (Sistemas de Información y Tecnologia)</v>
      </c>
      <c r="Z70" s="164" t="str">
        <f t="shared" si="0"/>
        <v>11-Infraestructura Tecnológica   (Sistemas de Información y Tecnologia)</v>
      </c>
      <c r="AA70" s="162" t="s">
        <v>228</v>
      </c>
      <c r="AB70" s="163" t="str">
        <f>IFERROR(VLOOKUP(AA70,TD!$N$51:$O$66,2,0)," ")</f>
        <v>Servicios tecnológicos</v>
      </c>
      <c r="AC70" s="164" t="str">
        <f t="shared" si="1"/>
        <v>007_Servicios tecnológicos</v>
      </c>
      <c r="AD70" s="164" t="str">
        <f t="shared" si="2"/>
        <v>11-Infraestructura Tecnológica   (Sistemas de Información y Tecnologia) 007_Servicios tecnológicos</v>
      </c>
      <c r="AE70" s="163" t="str">
        <f t="shared" si="3"/>
        <v>O23011745992024020711007</v>
      </c>
      <c r="AF70" s="163" t="str">
        <f>IFERROR(VLOOKUP(AD70,TD!$J$66:$K$89,2,0)," ")</f>
        <v>PM/0131/0111/45990070207</v>
      </c>
      <c r="AG70" s="118" t="s">
        <v>385</v>
      </c>
      <c r="AH70" s="162" t="s">
        <v>193</v>
      </c>
      <c r="AI70" s="165" t="str">
        <f>CONCATENATE(PAA[[#This Row],[Id Interno]],"-",PAA[[#This Row],[tipo de Contrato (TH talento humano - B/S bienes y/o servicios)]],"-",S70,"-",T70,"-",PAA[[#This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71" spans="2:35" ht="70" x14ac:dyDescent="0.35">
      <c r="B71" s="23">
        <v>20260027</v>
      </c>
      <c r="C71" s="99" t="s">
        <v>590</v>
      </c>
      <c r="D71" s="23" t="s">
        <v>105</v>
      </c>
      <c r="E71" s="23" t="s">
        <v>363</v>
      </c>
      <c r="F71" s="159" t="s">
        <v>144</v>
      </c>
      <c r="G71" s="160" t="s">
        <v>373</v>
      </c>
      <c r="H71" s="161">
        <v>11</v>
      </c>
      <c r="I71" s="161">
        <v>0</v>
      </c>
      <c r="J71" s="127">
        <v>92400000</v>
      </c>
      <c r="K71" s="88" t="s">
        <v>398</v>
      </c>
      <c r="L71" s="159" t="s">
        <v>151</v>
      </c>
      <c r="M71" s="162" t="s">
        <v>401</v>
      </c>
      <c r="N71" s="23" t="s">
        <v>197</v>
      </c>
      <c r="O71" s="150" t="s">
        <v>925</v>
      </c>
      <c r="P71" s="159" t="s">
        <v>348</v>
      </c>
      <c r="Q71" s="53">
        <v>80111600</v>
      </c>
      <c r="R71" s="162" t="s">
        <v>204</v>
      </c>
      <c r="S71" s="162" t="str">
        <f>MID(PAA[[#This Row],[Meta Proyecto de Inversión]],1,4)</f>
        <v>8126</v>
      </c>
      <c r="T71" s="162" t="str">
        <f>MID(PAA[[#This Row],[Meta Proyecto de Inversión]],6,1)</f>
        <v>5</v>
      </c>
      <c r="U71" s="163" t="str">
        <f>IFERROR(VLOOKUP(N71,TD!$B$50:$F$54,2,0)," ")</f>
        <v>O230117</v>
      </c>
      <c r="V71" s="163" t="str">
        <f>IFERROR(VLOOKUP(N71,TD!$B$50:$F$54,3,0)," ")</f>
        <v>4599</v>
      </c>
      <c r="W71" s="163">
        <f>IFERROR(VLOOKUP(N71,TD!$B$50:$F$54,4,0)," ")</f>
        <v>20240207</v>
      </c>
      <c r="X71" s="162" t="s">
        <v>168</v>
      </c>
      <c r="Y71" s="163" t="str">
        <f>IFERROR(VLOOKUP(X71,TD!$J$51:$K$64,2,0)," ")</f>
        <v>Infraestructura Tecnológica   (Sistemas de Información y Tecnologia)</v>
      </c>
      <c r="Z71" s="164" t="str">
        <f t="shared" si="0"/>
        <v>11-Infraestructura Tecnológica   (Sistemas de Información y Tecnologia)</v>
      </c>
      <c r="AA71" s="162" t="s">
        <v>228</v>
      </c>
      <c r="AB71" s="163" t="str">
        <f>IFERROR(VLOOKUP(AA71,TD!$N$51:$O$66,2,0)," ")</f>
        <v>Servicios tecnológicos</v>
      </c>
      <c r="AC71" s="164" t="str">
        <f t="shared" si="1"/>
        <v>007_Servicios tecnológicos</v>
      </c>
      <c r="AD71" s="164" t="str">
        <f t="shared" si="2"/>
        <v>11-Infraestructura Tecnológica   (Sistemas de Información y Tecnologia) 007_Servicios tecnológicos</v>
      </c>
      <c r="AE71" s="163" t="str">
        <f t="shared" si="3"/>
        <v>O23011745992024020711007</v>
      </c>
      <c r="AF71" s="163" t="str">
        <f>IFERROR(VLOOKUP(AD71,TD!$J$66:$K$89,2,0)," ")</f>
        <v>PM/0131/0111/45990070207</v>
      </c>
      <c r="AG71" s="118" t="s">
        <v>385</v>
      </c>
      <c r="AH71" s="162" t="s">
        <v>193</v>
      </c>
      <c r="AI71" s="165" t="str">
        <f>CONCATENATE(PAA[[#This Row],[Id Interno]],"-",PAA[[#This Row],[tipo de Contrato (TH talento humano - B/S bienes y/o servicios)]],"-",S71,"-",T71,"-",PAA[[#This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72" spans="2:35" ht="84" x14ac:dyDescent="0.35">
      <c r="B72" s="23">
        <v>20260028</v>
      </c>
      <c r="C72" s="99" t="s">
        <v>573</v>
      </c>
      <c r="D72" s="23" t="s">
        <v>105</v>
      </c>
      <c r="E72" s="23" t="s">
        <v>363</v>
      </c>
      <c r="F72" s="159" t="s">
        <v>144</v>
      </c>
      <c r="G72" s="160" t="s">
        <v>373</v>
      </c>
      <c r="H72" s="161">
        <v>11</v>
      </c>
      <c r="I72" s="161">
        <v>0</v>
      </c>
      <c r="J72" s="127">
        <v>85800000</v>
      </c>
      <c r="K72" s="88" t="s">
        <v>398</v>
      </c>
      <c r="L72" s="159" t="s">
        <v>151</v>
      </c>
      <c r="M72" s="162" t="s">
        <v>401</v>
      </c>
      <c r="N72" s="23" t="s">
        <v>197</v>
      </c>
      <c r="O72" s="150" t="s">
        <v>925</v>
      </c>
      <c r="P72" s="159" t="s">
        <v>348</v>
      </c>
      <c r="Q72" s="53">
        <v>80111600</v>
      </c>
      <c r="R72" s="162" t="s">
        <v>204</v>
      </c>
      <c r="S72" s="162" t="str">
        <f>MID(PAA[[#This Row],[Meta Proyecto de Inversión]],1,4)</f>
        <v>8126</v>
      </c>
      <c r="T72" s="162" t="str">
        <f>MID(PAA[[#This Row],[Meta Proyecto de Inversión]],6,1)</f>
        <v>5</v>
      </c>
      <c r="U72" s="163" t="str">
        <f>IFERROR(VLOOKUP(N72,TD!$B$50:$F$54,2,0)," ")</f>
        <v>O230117</v>
      </c>
      <c r="V72" s="163" t="str">
        <f>IFERROR(VLOOKUP(N72,TD!$B$50:$F$54,3,0)," ")</f>
        <v>4599</v>
      </c>
      <c r="W72" s="163">
        <f>IFERROR(VLOOKUP(N72,TD!$B$50:$F$54,4,0)," ")</f>
        <v>20240207</v>
      </c>
      <c r="X72" s="162" t="s">
        <v>168</v>
      </c>
      <c r="Y72" s="163" t="str">
        <f>IFERROR(VLOOKUP(X72,TD!$J$51:$K$64,2,0)," ")</f>
        <v>Infraestructura Tecnológica   (Sistemas de Información y Tecnologia)</v>
      </c>
      <c r="Z72" s="164" t="str">
        <f t="shared" si="0"/>
        <v>11-Infraestructura Tecnológica   (Sistemas de Información y Tecnologia)</v>
      </c>
      <c r="AA72" s="162" t="s">
        <v>228</v>
      </c>
      <c r="AB72" s="163" t="str">
        <f>IFERROR(VLOOKUP(AA72,TD!$N$51:$O$66,2,0)," ")</f>
        <v>Servicios tecnológicos</v>
      </c>
      <c r="AC72" s="164" t="str">
        <f t="shared" si="1"/>
        <v>007_Servicios tecnológicos</v>
      </c>
      <c r="AD72" s="164" t="str">
        <f t="shared" si="2"/>
        <v>11-Infraestructura Tecnológica   (Sistemas de Información y Tecnologia) 007_Servicios tecnológicos</v>
      </c>
      <c r="AE72" s="163" t="str">
        <f t="shared" si="3"/>
        <v>O23011745992024020711007</v>
      </c>
      <c r="AF72" s="163" t="str">
        <f>IFERROR(VLOOKUP(AD72,TD!$J$66:$K$89,2,0)," ")</f>
        <v>PM/0131/0111/45990070207</v>
      </c>
      <c r="AG72" s="118" t="s">
        <v>385</v>
      </c>
      <c r="AH72" s="162" t="s">
        <v>193</v>
      </c>
      <c r="AI72" s="165" t="str">
        <f>CONCATENATE(PAA[[#This Row],[Id Interno]],"-",PAA[[#This Row],[tipo de Contrato (TH talento humano - B/S bienes y/o servicios)]],"-",S72,"-",T72,"-",PAA[[#This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3" spans="2:35" ht="84" x14ac:dyDescent="0.35">
      <c r="B73" s="23">
        <v>20260029</v>
      </c>
      <c r="C73" s="99" t="s">
        <v>591</v>
      </c>
      <c r="D73" s="23" t="s">
        <v>105</v>
      </c>
      <c r="E73" s="23" t="s">
        <v>363</v>
      </c>
      <c r="F73" s="159" t="s">
        <v>144</v>
      </c>
      <c r="G73" s="160" t="s">
        <v>373</v>
      </c>
      <c r="H73" s="161">
        <v>10</v>
      </c>
      <c r="I73" s="161">
        <v>0</v>
      </c>
      <c r="J73" s="127">
        <v>51610000</v>
      </c>
      <c r="K73" s="88" t="s">
        <v>398</v>
      </c>
      <c r="L73" s="159" t="s">
        <v>151</v>
      </c>
      <c r="M73" s="162" t="s">
        <v>401</v>
      </c>
      <c r="N73" s="23" t="s">
        <v>197</v>
      </c>
      <c r="O73" s="150" t="s">
        <v>925</v>
      </c>
      <c r="P73" s="159" t="s">
        <v>348</v>
      </c>
      <c r="Q73" s="53">
        <v>80111600</v>
      </c>
      <c r="R73" s="162" t="s">
        <v>203</v>
      </c>
      <c r="S73" s="162" t="str">
        <f>MID(PAA[[#This Row],[Meta Proyecto de Inversión]],1,4)</f>
        <v>8126</v>
      </c>
      <c r="T73" s="162" t="str">
        <f>MID(PAA[[#This Row],[Meta Proyecto de Inversión]],6,1)</f>
        <v>4</v>
      </c>
      <c r="U73" s="163" t="str">
        <f>IFERROR(VLOOKUP(N73,TD!$B$50:$F$54,2,0)," ")</f>
        <v>O230117</v>
      </c>
      <c r="V73" s="163" t="str">
        <f>IFERROR(VLOOKUP(N73,TD!$B$50:$F$54,3,0)," ")</f>
        <v>4599</v>
      </c>
      <c r="W73" s="163">
        <f>IFERROR(VLOOKUP(N73,TD!$B$50:$F$54,4,0)," ")</f>
        <v>20240207</v>
      </c>
      <c r="X73" s="162" t="s">
        <v>168</v>
      </c>
      <c r="Y73" s="163" t="str">
        <f>IFERROR(VLOOKUP(X73,TD!$J$51:$K$64,2,0)," ")</f>
        <v>Infraestructura Tecnológica   (Sistemas de Información y Tecnologia)</v>
      </c>
      <c r="Z73" s="164" t="str">
        <f t="shared" si="0"/>
        <v>11-Infraestructura Tecnológica   (Sistemas de Información y Tecnologia)</v>
      </c>
      <c r="AA73" s="162" t="s">
        <v>228</v>
      </c>
      <c r="AB73" s="163" t="str">
        <f>IFERROR(VLOOKUP(AA73,TD!$N$51:$O$66,2,0)," ")</f>
        <v>Servicios tecnológicos</v>
      </c>
      <c r="AC73" s="164" t="str">
        <f t="shared" si="1"/>
        <v>007_Servicios tecnológicos</v>
      </c>
      <c r="AD73" s="164" t="str">
        <f t="shared" si="2"/>
        <v>11-Infraestructura Tecnológica   (Sistemas de Información y Tecnologia) 007_Servicios tecnológicos</v>
      </c>
      <c r="AE73" s="163" t="str">
        <f t="shared" si="3"/>
        <v>O23011745992024020711007</v>
      </c>
      <c r="AF73" s="163" t="str">
        <f>IFERROR(VLOOKUP(AD73,TD!$J$66:$K$89,2,0)," ")</f>
        <v>PM/0131/0111/45990070207</v>
      </c>
      <c r="AG73" s="118" t="s">
        <v>385</v>
      </c>
      <c r="AH73" s="162" t="s">
        <v>193</v>
      </c>
      <c r="AI73" s="165" t="str">
        <f>CONCATENATE(PAA[[#This Row],[Id Interno]],"-",PAA[[#This Row],[tipo de Contrato (TH talento humano - B/S bienes y/o servicios)]],"-",S73,"-",T73,"-",PAA[[#This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74" spans="2:35" ht="70" x14ac:dyDescent="0.35">
      <c r="B74" s="23">
        <v>20260030</v>
      </c>
      <c r="C74" s="99" t="s">
        <v>592</v>
      </c>
      <c r="D74" s="23" t="s">
        <v>105</v>
      </c>
      <c r="E74" s="23" t="s">
        <v>363</v>
      </c>
      <c r="F74" s="159" t="s">
        <v>144</v>
      </c>
      <c r="G74" s="160" t="s">
        <v>373</v>
      </c>
      <c r="H74" s="161">
        <v>10</v>
      </c>
      <c r="I74" s="161">
        <v>0</v>
      </c>
      <c r="J74" s="127">
        <v>55000000</v>
      </c>
      <c r="K74" s="88" t="s">
        <v>398</v>
      </c>
      <c r="L74" s="159" t="s">
        <v>151</v>
      </c>
      <c r="M74" s="162" t="s">
        <v>401</v>
      </c>
      <c r="N74" s="23" t="s">
        <v>197</v>
      </c>
      <c r="O74" s="150" t="s">
        <v>925</v>
      </c>
      <c r="P74" s="159" t="s">
        <v>348</v>
      </c>
      <c r="Q74" s="53">
        <v>80111600</v>
      </c>
      <c r="R74" s="162" t="s">
        <v>205</v>
      </c>
      <c r="S74" s="162" t="str">
        <f>MID(PAA[[#This Row],[Meta Proyecto de Inversión]],1,4)</f>
        <v>8126</v>
      </c>
      <c r="T74" s="162" t="str">
        <f>MID(PAA[[#This Row],[Meta Proyecto de Inversión]],6,1)</f>
        <v>6</v>
      </c>
      <c r="U74" s="163" t="str">
        <f>IFERROR(VLOOKUP(N74,TD!$B$50:$F$54,2,0)," ")</f>
        <v>O230117</v>
      </c>
      <c r="V74" s="163" t="str">
        <f>IFERROR(VLOOKUP(N74,TD!$B$50:$F$54,3,0)," ")</f>
        <v>4599</v>
      </c>
      <c r="W74" s="163">
        <f>IFERROR(VLOOKUP(N74,TD!$B$50:$F$54,4,0)," ")</f>
        <v>20240207</v>
      </c>
      <c r="X74" s="162" t="s">
        <v>168</v>
      </c>
      <c r="Y74" s="163" t="str">
        <f>IFERROR(VLOOKUP(X74,TD!$J$51:$K$64,2,0)," ")</f>
        <v>Infraestructura Tecnológica   (Sistemas de Información y Tecnologia)</v>
      </c>
      <c r="Z74" s="164" t="str">
        <f t="shared" si="0"/>
        <v>11-Infraestructura Tecnológica   (Sistemas de Información y Tecnologia)</v>
      </c>
      <c r="AA74" s="162" t="s">
        <v>228</v>
      </c>
      <c r="AB74" s="163" t="str">
        <f>IFERROR(VLOOKUP(AA74,TD!$N$51:$O$66,2,0)," ")</f>
        <v>Servicios tecnológicos</v>
      </c>
      <c r="AC74" s="164" t="str">
        <f t="shared" si="1"/>
        <v>007_Servicios tecnológicos</v>
      </c>
      <c r="AD74" s="164" t="str">
        <f t="shared" si="2"/>
        <v>11-Infraestructura Tecnológica   (Sistemas de Información y Tecnologia) 007_Servicios tecnológicos</v>
      </c>
      <c r="AE74" s="163" t="str">
        <f t="shared" si="3"/>
        <v>O23011745992024020711007</v>
      </c>
      <c r="AF74" s="163" t="str">
        <f>IFERROR(VLOOKUP(AD74,TD!$J$66:$K$89,2,0)," ")</f>
        <v>PM/0131/0111/45990070207</v>
      </c>
      <c r="AG74" s="118" t="s">
        <v>385</v>
      </c>
      <c r="AH74" s="162" t="s">
        <v>193</v>
      </c>
      <c r="AI74" s="165" t="str">
        <f>CONCATENATE(PAA[[#This Row],[Id Interno]],"-",PAA[[#This Row],[tipo de Contrato (TH talento humano - B/S bienes y/o servicios)]],"-",S74,"-",T74,"-",PAA[[#This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75" spans="2:35" ht="84" x14ac:dyDescent="0.35">
      <c r="B75" s="23">
        <v>20260031</v>
      </c>
      <c r="C75" s="99" t="s">
        <v>593</v>
      </c>
      <c r="D75" s="23" t="s">
        <v>105</v>
      </c>
      <c r="E75" s="23" t="s">
        <v>363</v>
      </c>
      <c r="F75" s="159" t="s">
        <v>144</v>
      </c>
      <c r="G75" s="160" t="s">
        <v>373</v>
      </c>
      <c r="H75" s="161">
        <v>10</v>
      </c>
      <c r="I75" s="161">
        <v>0</v>
      </c>
      <c r="J75" s="127">
        <v>75000000</v>
      </c>
      <c r="K75" s="88" t="s">
        <v>398</v>
      </c>
      <c r="L75" s="159" t="s">
        <v>151</v>
      </c>
      <c r="M75" s="162" t="s">
        <v>401</v>
      </c>
      <c r="N75" s="23" t="s">
        <v>197</v>
      </c>
      <c r="O75" s="150" t="s">
        <v>925</v>
      </c>
      <c r="P75" s="159" t="s">
        <v>348</v>
      </c>
      <c r="Q75" s="53">
        <v>80111600</v>
      </c>
      <c r="R75" s="162" t="s">
        <v>205</v>
      </c>
      <c r="S75" s="162" t="str">
        <f>MID(PAA[[#This Row],[Meta Proyecto de Inversión]],1,4)</f>
        <v>8126</v>
      </c>
      <c r="T75" s="162" t="str">
        <f>MID(PAA[[#This Row],[Meta Proyecto de Inversión]],6,1)</f>
        <v>6</v>
      </c>
      <c r="U75" s="163" t="str">
        <f>IFERROR(VLOOKUP(N75,TD!$B$50:$F$54,2,0)," ")</f>
        <v>O230117</v>
      </c>
      <c r="V75" s="163" t="str">
        <f>IFERROR(VLOOKUP(N75,TD!$B$50:$F$54,3,0)," ")</f>
        <v>4599</v>
      </c>
      <c r="W75" s="163">
        <f>IFERROR(VLOOKUP(N75,TD!$B$50:$F$54,4,0)," ")</f>
        <v>20240207</v>
      </c>
      <c r="X75" s="162" t="s">
        <v>168</v>
      </c>
      <c r="Y75" s="163" t="str">
        <f>IFERROR(VLOOKUP(X75,TD!$J$51:$K$64,2,0)," ")</f>
        <v>Infraestructura Tecnológica   (Sistemas de Información y Tecnologia)</v>
      </c>
      <c r="Z75" s="164" t="str">
        <f t="shared" si="0"/>
        <v>11-Infraestructura Tecnológica   (Sistemas de Información y Tecnologia)</v>
      </c>
      <c r="AA75" s="162" t="s">
        <v>228</v>
      </c>
      <c r="AB75" s="163" t="str">
        <f>IFERROR(VLOOKUP(AA75,TD!$N$51:$O$66,2,0)," ")</f>
        <v>Servicios tecnológicos</v>
      </c>
      <c r="AC75" s="164" t="str">
        <f t="shared" si="1"/>
        <v>007_Servicios tecnológicos</v>
      </c>
      <c r="AD75" s="164" t="str">
        <f t="shared" si="2"/>
        <v>11-Infraestructura Tecnológica   (Sistemas de Información y Tecnologia) 007_Servicios tecnológicos</v>
      </c>
      <c r="AE75" s="163" t="str">
        <f t="shared" si="3"/>
        <v>O23011745992024020711007</v>
      </c>
      <c r="AF75" s="163" t="str">
        <f>IFERROR(VLOOKUP(AD75,TD!$J$66:$K$89,2,0)," ")</f>
        <v>PM/0131/0111/45990070207</v>
      </c>
      <c r="AG75" s="118" t="s">
        <v>385</v>
      </c>
      <c r="AH75" s="162" t="s">
        <v>193</v>
      </c>
      <c r="AI75" s="165" t="str">
        <f>CONCATENATE(PAA[[#This Row],[Id Interno]],"-",PAA[[#This Row],[tipo de Contrato (TH talento humano - B/S bienes y/o servicios)]],"-",S75,"-",T75,"-",PAA[[#This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76" spans="2:35" ht="42" x14ac:dyDescent="0.35">
      <c r="B76" s="99">
        <v>20260032</v>
      </c>
      <c r="C76" s="99" t="s">
        <v>429</v>
      </c>
      <c r="D76" s="99" t="s">
        <v>88</v>
      </c>
      <c r="E76" s="99" t="s">
        <v>402</v>
      </c>
      <c r="F76" s="160" t="s">
        <v>89</v>
      </c>
      <c r="G76" s="160" t="s">
        <v>377</v>
      </c>
      <c r="H76" s="166">
        <v>9</v>
      </c>
      <c r="I76" s="166">
        <v>0</v>
      </c>
      <c r="J76" s="118">
        <v>103000000</v>
      </c>
      <c r="K76" s="126" t="s">
        <v>398</v>
      </c>
      <c r="L76" s="160" t="s">
        <v>151</v>
      </c>
      <c r="M76" s="167" t="s">
        <v>401</v>
      </c>
      <c r="N76" s="99" t="s">
        <v>197</v>
      </c>
      <c r="O76" s="150" t="s">
        <v>925</v>
      </c>
      <c r="P76" s="160" t="s">
        <v>348</v>
      </c>
      <c r="Q76" s="128" t="s">
        <v>439</v>
      </c>
      <c r="R76" s="167" t="s">
        <v>203</v>
      </c>
      <c r="S76" s="162" t="str">
        <f>MID(PAA[[#This Row],[Meta Proyecto de Inversión]],1,4)</f>
        <v>8126</v>
      </c>
      <c r="T76" s="162" t="str">
        <f>MID(PAA[[#This Row],[Meta Proyecto de Inversión]],6,1)</f>
        <v>4</v>
      </c>
      <c r="U76" s="168" t="str">
        <f>IFERROR(VLOOKUP(N76,TD!$B$50:$F$54,2,0)," ")</f>
        <v>O230117</v>
      </c>
      <c r="V76" s="168" t="str">
        <f>IFERROR(VLOOKUP(N76,TD!$B$50:$F$54,3,0)," ")</f>
        <v>4599</v>
      </c>
      <c r="W76" s="168">
        <f>IFERROR(VLOOKUP(N76,TD!$B$50:$F$54,4,0)," ")</f>
        <v>20240207</v>
      </c>
      <c r="X76" s="167" t="s">
        <v>168</v>
      </c>
      <c r="Y76" s="168" t="str">
        <f>IFERROR(VLOOKUP(X76,TD!$J$51:$K$64,2,0)," ")</f>
        <v>Infraestructura Tecnológica   (Sistemas de Información y Tecnologia)</v>
      </c>
      <c r="Z76" s="164" t="str">
        <f t="shared" ref="Z76:Z139" si="4">CONCATENATE(X76,"-",Y76)</f>
        <v>11-Infraestructura Tecnológica   (Sistemas de Información y Tecnologia)</v>
      </c>
      <c r="AA76" s="167" t="s">
        <v>228</v>
      </c>
      <c r="AB76" s="168" t="str">
        <f>IFERROR(VLOOKUP(AA76,TD!$N$51:$O$66,2,0)," ")</f>
        <v>Servicios tecnológicos</v>
      </c>
      <c r="AC76" s="164" t="str">
        <f t="shared" ref="AC76:AC139" si="5">CONCATENATE(AA76,"_",AB76)</f>
        <v>007_Servicios tecnológicos</v>
      </c>
      <c r="AD76" s="164" t="str">
        <f t="shared" ref="AD76:AD139" si="6">CONCATENATE(Z76," ",AC76)</f>
        <v>11-Infraestructura Tecnológica   (Sistemas de Información y Tecnologia) 007_Servicios tecnológicos</v>
      </c>
      <c r="AE76" s="168" t="str">
        <f t="shared" ref="AE76:AE139" si="7">CONCATENATE(U76,V76,W76,X76,AA76)</f>
        <v>O23011745992024020711007</v>
      </c>
      <c r="AF76" s="168" t="str">
        <f>IFERROR(VLOOKUP(AD76,TD!$J$66:$K$89,2,0)," ")</f>
        <v>PM/0131/0111/45990070207</v>
      </c>
      <c r="AG76" s="118" t="s">
        <v>116</v>
      </c>
      <c r="AH76" s="167" t="s">
        <v>193</v>
      </c>
      <c r="AI76" s="169" t="str">
        <f>CONCATENATE(PAA[[#This Row],[Id Interno]],"-",PAA[[#This Row],[tipo de Contrato (TH talento humano - B/S bienes y/o servicios)]],"-",S76,"-",T76,"-",PAA[[#This Row],[Objeto de la contratación]])</f>
        <v>20260032-BS-8126-4-Contratar la prestación del servicio de monitoreo, control y seguimiento satelital a los vehículos de propiedad de la U.A.E. Cuerpo Oficial de Bomberos de Bogotá - TIC</v>
      </c>
    </row>
    <row r="77" spans="2:35" ht="70" x14ac:dyDescent="0.35">
      <c r="B77" s="23">
        <v>20260033</v>
      </c>
      <c r="C77" s="99" t="s">
        <v>430</v>
      </c>
      <c r="D77" s="23" t="s">
        <v>83</v>
      </c>
      <c r="E77" s="23" t="s">
        <v>402</v>
      </c>
      <c r="F77" s="159" t="s">
        <v>89</v>
      </c>
      <c r="G77" s="160" t="s">
        <v>382</v>
      </c>
      <c r="H77" s="161">
        <v>6</v>
      </c>
      <c r="I77" s="161">
        <v>0</v>
      </c>
      <c r="J77" s="127">
        <v>1000</v>
      </c>
      <c r="K77" s="88" t="s">
        <v>398</v>
      </c>
      <c r="L77" s="159" t="s">
        <v>151</v>
      </c>
      <c r="M77" s="162" t="s">
        <v>401</v>
      </c>
      <c r="N77" s="23" t="s">
        <v>197</v>
      </c>
      <c r="O77" s="150" t="s">
        <v>925</v>
      </c>
      <c r="P77" s="159" t="s">
        <v>348</v>
      </c>
      <c r="Q77" s="53" t="s">
        <v>440</v>
      </c>
      <c r="R77" s="162" t="s">
        <v>204</v>
      </c>
      <c r="S77" s="162" t="str">
        <f>MID(PAA[[#This Row],[Meta Proyecto de Inversión]],1,4)</f>
        <v>8126</v>
      </c>
      <c r="T77" s="162" t="str">
        <f>MID(PAA[[#This Row],[Meta Proyecto de Inversión]],6,1)</f>
        <v>5</v>
      </c>
      <c r="U77" s="163" t="str">
        <f>IFERROR(VLOOKUP(N77,TD!$B$50:$F$54,2,0)," ")</f>
        <v>O230117</v>
      </c>
      <c r="V77" s="163" t="str">
        <f>IFERROR(VLOOKUP(N77,TD!$B$50:$F$54,3,0)," ")</f>
        <v>4599</v>
      </c>
      <c r="W77" s="163">
        <f>IFERROR(VLOOKUP(N77,TD!$B$50:$F$54,4,0)," ")</f>
        <v>20240207</v>
      </c>
      <c r="X77" s="162" t="s">
        <v>168</v>
      </c>
      <c r="Y77" s="163" t="str">
        <f>IFERROR(VLOOKUP(X77,TD!$J$51:$K$64,2,0)," ")</f>
        <v>Infraestructura Tecnológica   (Sistemas de Información y Tecnologia)</v>
      </c>
      <c r="Z77" s="164" t="str">
        <f t="shared" si="4"/>
        <v>11-Infraestructura Tecnológica   (Sistemas de Información y Tecnologia)</v>
      </c>
      <c r="AA77" s="162" t="s">
        <v>228</v>
      </c>
      <c r="AB77" s="163" t="str">
        <f>IFERROR(VLOOKUP(AA77,TD!$N$51:$O$66,2,0)," ")</f>
        <v>Servicios tecnológicos</v>
      </c>
      <c r="AC77" s="164" t="str">
        <f t="shared" si="5"/>
        <v>007_Servicios tecnológicos</v>
      </c>
      <c r="AD77" s="164" t="str">
        <f t="shared" si="6"/>
        <v>11-Infraestructura Tecnológica   (Sistemas de Información y Tecnologia) 007_Servicios tecnológicos</v>
      </c>
      <c r="AE77" s="163" t="str">
        <f t="shared" si="7"/>
        <v>O23011745992024020711007</v>
      </c>
      <c r="AF77" s="163" t="str">
        <f>IFERROR(VLOOKUP(AD77,TD!$J$66:$K$89,2,0)," ")</f>
        <v>PM/0131/0111/45990070207</v>
      </c>
      <c r="AG77" s="118" t="s">
        <v>121</v>
      </c>
      <c r="AH77" s="162" t="s">
        <v>193</v>
      </c>
      <c r="AI77" s="165" t="str">
        <f>CONCATENATE(PAA[[#This Row],[Id Interno]],"-",PAA[[#This Row],[tipo de Contrato (TH talento humano - B/S bienes y/o servicios)]],"-",S77,"-",T77,"-",PAA[[#This Row],[Objeto de la contratación]])</f>
        <v>20260033-BS-8126-5-Adquisición, actualización y configuración de la plataforma de comunicaciones de Voz IP compatible con la solución actual con la que cuenta la entidad.</v>
      </c>
    </row>
    <row r="78" spans="2:35" ht="70" x14ac:dyDescent="0.35">
      <c r="B78" s="23">
        <v>20260034</v>
      </c>
      <c r="C78" s="99" t="s">
        <v>431</v>
      </c>
      <c r="D78" s="23" t="s">
        <v>92</v>
      </c>
      <c r="E78" s="23" t="s">
        <v>402</v>
      </c>
      <c r="F78" s="159" t="s">
        <v>101</v>
      </c>
      <c r="G78" s="160" t="s">
        <v>382</v>
      </c>
      <c r="H78" s="161">
        <v>12</v>
      </c>
      <c r="I78" s="161">
        <v>0</v>
      </c>
      <c r="J78" s="127">
        <v>10000000</v>
      </c>
      <c r="K78" s="88" t="s">
        <v>398</v>
      </c>
      <c r="L78" s="159" t="s">
        <v>151</v>
      </c>
      <c r="M78" s="162" t="s">
        <v>401</v>
      </c>
      <c r="N78" s="23" t="s">
        <v>197</v>
      </c>
      <c r="O78" s="150" t="s">
        <v>925</v>
      </c>
      <c r="P78" s="159" t="s">
        <v>348</v>
      </c>
      <c r="Q78" s="53" t="s">
        <v>440</v>
      </c>
      <c r="R78" s="162" t="s">
        <v>203</v>
      </c>
      <c r="S78" s="162" t="str">
        <f>MID(PAA[[#This Row],[Meta Proyecto de Inversión]],1,4)</f>
        <v>8126</v>
      </c>
      <c r="T78" s="162" t="str">
        <f>MID(PAA[[#This Row],[Meta Proyecto de Inversión]],6,1)</f>
        <v>4</v>
      </c>
      <c r="U78" s="163" t="str">
        <f>IFERROR(VLOOKUP(N78,TD!$B$50:$F$54,2,0)," ")</f>
        <v>O230117</v>
      </c>
      <c r="V78" s="163" t="str">
        <f>IFERROR(VLOOKUP(N78,TD!$B$50:$F$54,3,0)," ")</f>
        <v>4599</v>
      </c>
      <c r="W78" s="163">
        <f>IFERROR(VLOOKUP(N78,TD!$B$50:$F$54,4,0)," ")</f>
        <v>20240207</v>
      </c>
      <c r="X78" s="162" t="s">
        <v>168</v>
      </c>
      <c r="Y78" s="163" t="str">
        <f>IFERROR(VLOOKUP(X78,TD!$J$51:$K$64,2,0)," ")</f>
        <v>Infraestructura Tecnológica   (Sistemas de Información y Tecnologia)</v>
      </c>
      <c r="Z78" s="164" t="str">
        <f t="shared" si="4"/>
        <v>11-Infraestructura Tecnológica   (Sistemas de Información y Tecnologia)</v>
      </c>
      <c r="AA78" s="162" t="s">
        <v>228</v>
      </c>
      <c r="AB78" s="163" t="str">
        <f>IFERROR(VLOOKUP(AA78,TD!$N$51:$O$66,2,0)," ")</f>
        <v>Servicios tecnológicos</v>
      </c>
      <c r="AC78" s="164" t="str">
        <f t="shared" si="5"/>
        <v>007_Servicios tecnológicos</v>
      </c>
      <c r="AD78" s="164" t="str">
        <f t="shared" si="6"/>
        <v>11-Infraestructura Tecnológica   (Sistemas de Información y Tecnologia) 007_Servicios tecnológicos</v>
      </c>
      <c r="AE78" s="163" t="str">
        <f t="shared" si="7"/>
        <v>O23011745992024020711007</v>
      </c>
      <c r="AF78" s="163" t="str">
        <f>IFERROR(VLOOKUP(AD78,TD!$J$66:$K$89,2,0)," ")</f>
        <v>PM/0131/0111/45990070207</v>
      </c>
      <c r="AG78" s="118" t="s">
        <v>116</v>
      </c>
      <c r="AH78" s="162" t="s">
        <v>193</v>
      </c>
      <c r="AI78" s="165" t="str">
        <f>CONCATENATE(PAA[[#This Row],[Id Interno]],"-",PAA[[#This Row],[tipo de Contrato (TH talento humano - B/S bienes y/o servicios)]],"-",S78,"-",T78,"-",PAA[[#This Row],[Objeto de la contratación]])</f>
        <v>20260034-BS-8126-4-Adquisición de un certificado digital servidor seguro SSL para múltiples subdominios y aplicaciones para los sistemas misionales de la UAE cuerpo oficial de bomberos de Bogotá</v>
      </c>
    </row>
    <row r="79" spans="2:35" ht="56" x14ac:dyDescent="0.35">
      <c r="B79" s="23">
        <v>20260036</v>
      </c>
      <c r="C79" s="99" t="s">
        <v>432</v>
      </c>
      <c r="D79" s="23" t="s">
        <v>92</v>
      </c>
      <c r="E79" s="23" t="s">
        <v>402</v>
      </c>
      <c r="F79" s="159" t="s">
        <v>142</v>
      </c>
      <c r="G79" s="160" t="s">
        <v>376</v>
      </c>
      <c r="H79" s="161">
        <v>9</v>
      </c>
      <c r="I79" s="161">
        <v>0</v>
      </c>
      <c r="J79" s="127">
        <v>30000000</v>
      </c>
      <c r="K79" s="88" t="s">
        <v>398</v>
      </c>
      <c r="L79" s="159" t="s">
        <v>151</v>
      </c>
      <c r="M79" s="162" t="s">
        <v>401</v>
      </c>
      <c r="N79" s="23" t="s">
        <v>197</v>
      </c>
      <c r="O79" s="150" t="s">
        <v>925</v>
      </c>
      <c r="P79" s="159" t="s">
        <v>348</v>
      </c>
      <c r="Q79" s="53">
        <v>81112401</v>
      </c>
      <c r="R79" s="162" t="s">
        <v>204</v>
      </c>
      <c r="S79" s="162" t="str">
        <f>MID(PAA[[#This Row],[Meta Proyecto de Inversión]],1,4)</f>
        <v>8126</v>
      </c>
      <c r="T79" s="162" t="str">
        <f>MID(PAA[[#This Row],[Meta Proyecto de Inversión]],6,1)</f>
        <v>5</v>
      </c>
      <c r="U79" s="163" t="str">
        <f>IFERROR(VLOOKUP(N79,TD!$B$50:$F$54,2,0)," ")</f>
        <v>O230117</v>
      </c>
      <c r="V79" s="163" t="str">
        <f>IFERROR(VLOOKUP(N79,TD!$B$50:$F$54,3,0)," ")</f>
        <v>4599</v>
      </c>
      <c r="W79" s="163">
        <f>IFERROR(VLOOKUP(N79,TD!$B$50:$F$54,4,0)," ")</f>
        <v>20240207</v>
      </c>
      <c r="X79" s="162" t="s">
        <v>168</v>
      </c>
      <c r="Y79" s="163" t="str">
        <f>IFERROR(VLOOKUP(X79,TD!$J$51:$K$64,2,0)," ")</f>
        <v>Infraestructura Tecnológica   (Sistemas de Información y Tecnologia)</v>
      </c>
      <c r="Z79" s="164" t="str">
        <f t="shared" si="4"/>
        <v>11-Infraestructura Tecnológica   (Sistemas de Información y Tecnologia)</v>
      </c>
      <c r="AA79" s="162" t="s">
        <v>228</v>
      </c>
      <c r="AB79" s="163" t="str">
        <f>IFERROR(VLOOKUP(AA79,TD!$N$51:$O$66,2,0)," ")</f>
        <v>Servicios tecnológicos</v>
      </c>
      <c r="AC79" s="164" t="str">
        <f t="shared" si="5"/>
        <v>007_Servicios tecnológicos</v>
      </c>
      <c r="AD79" s="164" t="str">
        <f t="shared" si="6"/>
        <v>11-Infraestructura Tecnológica   (Sistemas de Información y Tecnologia) 007_Servicios tecnológicos</v>
      </c>
      <c r="AE79" s="163" t="str">
        <f t="shared" si="7"/>
        <v>O23011745992024020711007</v>
      </c>
      <c r="AF79" s="163" t="str">
        <f>IFERROR(VLOOKUP(AD79,TD!$J$66:$K$89,2,0)," ")</f>
        <v>PM/0131/0111/45990070207</v>
      </c>
      <c r="AG79" s="118" t="s">
        <v>121</v>
      </c>
      <c r="AH79" s="162" t="s">
        <v>193</v>
      </c>
      <c r="AI79" s="165" t="str">
        <f>CONCATENATE(PAA[[#This Row],[Id Interno]],"-",PAA[[#This Row],[tipo de Contrato (TH talento humano - B/S bienes y/o servicios)]],"-",S79,"-",T79,"-",PAA[[#This Row],[Objeto de la contratación]])</f>
        <v>20260036-BS-8126-5-Contratar el alquiler de equipos tecnológicos, periféricos y servicios complementarios para la U.A.E. Cuerpo Oficial de Bomberos de Bogotá. - TIC</v>
      </c>
    </row>
    <row r="80" spans="2:35" ht="56" x14ac:dyDescent="0.35">
      <c r="B80" s="99">
        <v>20260037</v>
      </c>
      <c r="C80" s="99" t="s">
        <v>881</v>
      </c>
      <c r="D80" s="99" t="s">
        <v>88</v>
      </c>
      <c r="E80" s="99" t="s">
        <v>402</v>
      </c>
      <c r="F80" s="160" t="s">
        <v>143</v>
      </c>
      <c r="G80" s="160" t="s">
        <v>377</v>
      </c>
      <c r="H80" s="166">
        <v>12</v>
      </c>
      <c r="I80" s="166">
        <v>0</v>
      </c>
      <c r="J80" s="118">
        <v>200000000</v>
      </c>
      <c r="K80" s="126" t="s">
        <v>398</v>
      </c>
      <c r="L80" s="160" t="s">
        <v>151</v>
      </c>
      <c r="M80" s="167" t="s">
        <v>401</v>
      </c>
      <c r="N80" s="99" t="s">
        <v>197</v>
      </c>
      <c r="O80" s="150" t="s">
        <v>925</v>
      </c>
      <c r="P80" s="160" t="s">
        <v>348</v>
      </c>
      <c r="Q80" s="128" t="s">
        <v>882</v>
      </c>
      <c r="R80" s="167" t="s">
        <v>204</v>
      </c>
      <c r="S80" s="162" t="str">
        <f>MID(PAA[[#This Row],[Meta Proyecto de Inversión]],1,4)</f>
        <v>8126</v>
      </c>
      <c r="T80" s="162" t="str">
        <f>MID(PAA[[#This Row],[Meta Proyecto de Inversión]],6,1)</f>
        <v>5</v>
      </c>
      <c r="U80" s="168" t="str">
        <f>IFERROR(VLOOKUP(N80,TD!$B$50:$F$54,2,0)," ")</f>
        <v>O230117</v>
      </c>
      <c r="V80" s="168" t="str">
        <f>IFERROR(VLOOKUP(N80,TD!$B$50:$F$54,3,0)," ")</f>
        <v>4599</v>
      </c>
      <c r="W80" s="168">
        <f>IFERROR(VLOOKUP(N80,TD!$B$50:$F$54,4,0)," ")</f>
        <v>20240207</v>
      </c>
      <c r="X80" s="167" t="s">
        <v>168</v>
      </c>
      <c r="Y80" s="168" t="str">
        <f>IFERROR(VLOOKUP(X80,TD!$J$51:$K$64,2,0)," ")</f>
        <v>Infraestructura Tecnológica   (Sistemas de Información y Tecnologia)</v>
      </c>
      <c r="Z80" s="164" t="str">
        <f t="shared" si="4"/>
        <v>11-Infraestructura Tecnológica   (Sistemas de Información y Tecnologia)</v>
      </c>
      <c r="AA80" s="167" t="s">
        <v>228</v>
      </c>
      <c r="AB80" s="168" t="str">
        <f>IFERROR(VLOOKUP(AA80,TD!$N$51:$O$66,2,0)," ")</f>
        <v>Servicios tecnológicos</v>
      </c>
      <c r="AC80" s="164" t="str">
        <f t="shared" si="5"/>
        <v>007_Servicios tecnológicos</v>
      </c>
      <c r="AD80" s="164" t="str">
        <f t="shared" si="6"/>
        <v>11-Infraestructura Tecnológica   (Sistemas de Información y Tecnologia) 007_Servicios tecnológicos</v>
      </c>
      <c r="AE80" s="168" t="str">
        <f t="shared" si="7"/>
        <v>O23011745992024020711007</v>
      </c>
      <c r="AF80" s="168" t="str">
        <f>IFERROR(VLOOKUP(AD80,TD!$J$66:$K$89,2,0)," ")</f>
        <v>PM/0131/0111/45990070207</v>
      </c>
      <c r="AG80" s="118" t="s">
        <v>121</v>
      </c>
      <c r="AH80" s="167" t="s">
        <v>193</v>
      </c>
      <c r="AI80" s="169" t="str">
        <f>CONCATENATE(PAA[[#This Row],[Id Interno]],"-",PAA[[#This Row],[tipo de Contrato (TH talento humano - B/S bienes y/o servicios)]],"-",S80,"-",T80,"-",PAA[[#This Row],[Objeto de la contratación]])</f>
        <v>20260037-BS-8126-5-Contratar la adquisición de dispositivos para el fortalecimiento y modernización de la infraestructura tecnológica de la U.A.E. Cuerpo Oficial de Bomberos de Bogotá.</v>
      </c>
    </row>
    <row r="81" spans="2:35" ht="56" x14ac:dyDescent="0.35">
      <c r="B81" s="23">
        <v>20260038</v>
      </c>
      <c r="C81" s="99" t="s">
        <v>883</v>
      </c>
      <c r="D81" s="23" t="s">
        <v>105</v>
      </c>
      <c r="E81" s="23" t="s">
        <v>402</v>
      </c>
      <c r="F81" s="159" t="s">
        <v>89</v>
      </c>
      <c r="G81" s="160" t="s">
        <v>375</v>
      </c>
      <c r="H81" s="161">
        <v>12</v>
      </c>
      <c r="I81" s="161">
        <v>0</v>
      </c>
      <c r="J81" s="127">
        <v>100000000</v>
      </c>
      <c r="K81" s="88" t="s">
        <v>398</v>
      </c>
      <c r="L81" s="159" t="s">
        <v>151</v>
      </c>
      <c r="M81" s="162" t="s">
        <v>401</v>
      </c>
      <c r="N81" s="23" t="s">
        <v>197</v>
      </c>
      <c r="O81" s="150" t="s">
        <v>925</v>
      </c>
      <c r="P81" s="159" t="s">
        <v>348</v>
      </c>
      <c r="Q81" s="53" t="s">
        <v>441</v>
      </c>
      <c r="R81" s="162" t="s">
        <v>204</v>
      </c>
      <c r="S81" s="162" t="str">
        <f>MID(PAA[[#This Row],[Meta Proyecto de Inversión]],1,4)</f>
        <v>8126</v>
      </c>
      <c r="T81" s="162" t="str">
        <f>MID(PAA[[#This Row],[Meta Proyecto de Inversión]],6,1)</f>
        <v>5</v>
      </c>
      <c r="U81" s="163" t="str">
        <f>IFERROR(VLOOKUP(N81,TD!$B$50:$F$54,2,0)," ")</f>
        <v>O230117</v>
      </c>
      <c r="V81" s="163" t="str">
        <f>IFERROR(VLOOKUP(N81,TD!$B$50:$F$54,3,0)," ")</f>
        <v>4599</v>
      </c>
      <c r="W81" s="163">
        <f>IFERROR(VLOOKUP(N81,TD!$B$50:$F$54,4,0)," ")</f>
        <v>20240207</v>
      </c>
      <c r="X81" s="162" t="s">
        <v>168</v>
      </c>
      <c r="Y81" s="163" t="str">
        <f>IFERROR(VLOOKUP(X81,TD!$J$51:$K$64,2,0)," ")</f>
        <v>Infraestructura Tecnológica   (Sistemas de Información y Tecnologia)</v>
      </c>
      <c r="Z81" s="164" t="str">
        <f t="shared" si="4"/>
        <v>11-Infraestructura Tecnológica   (Sistemas de Información y Tecnologia)</v>
      </c>
      <c r="AA81" s="162" t="s">
        <v>228</v>
      </c>
      <c r="AB81" s="163" t="str">
        <f>IFERROR(VLOOKUP(AA81,TD!$N$51:$O$66,2,0)," ")</f>
        <v>Servicios tecnológicos</v>
      </c>
      <c r="AC81" s="164" t="str">
        <f t="shared" si="5"/>
        <v>007_Servicios tecnológicos</v>
      </c>
      <c r="AD81" s="164" t="str">
        <f t="shared" si="6"/>
        <v>11-Infraestructura Tecnológica   (Sistemas de Información y Tecnologia) 007_Servicios tecnológicos</v>
      </c>
      <c r="AE81" s="163" t="str">
        <f t="shared" si="7"/>
        <v>O23011745992024020711007</v>
      </c>
      <c r="AF81" s="163" t="str">
        <f>IFERROR(VLOOKUP(AD81,TD!$J$66:$K$89,2,0)," ")</f>
        <v>PM/0131/0111/45990070207</v>
      </c>
      <c r="AG81" s="118" t="s">
        <v>116</v>
      </c>
      <c r="AH81" s="162" t="s">
        <v>194</v>
      </c>
      <c r="AI81" s="165" t="str">
        <f>CONCATENATE(PAA[[#This Row],[Id Interno]],"-",PAA[[#This Row],[tipo de Contrato (TH talento humano - B/S bienes y/o servicios)]],"-",S81,"-",T81,"-",PAA[[#This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82" spans="2:35" ht="70" x14ac:dyDescent="0.35">
      <c r="B82" s="23">
        <v>20260039</v>
      </c>
      <c r="C82" s="99" t="s">
        <v>884</v>
      </c>
      <c r="D82" s="23" t="s">
        <v>88</v>
      </c>
      <c r="E82" s="23" t="s">
        <v>402</v>
      </c>
      <c r="F82" s="159" t="s">
        <v>89</v>
      </c>
      <c r="G82" s="160" t="s">
        <v>375</v>
      </c>
      <c r="H82" s="161">
        <v>12</v>
      </c>
      <c r="I82" s="161">
        <v>0</v>
      </c>
      <c r="J82" s="127">
        <v>100000000</v>
      </c>
      <c r="K82" s="88" t="s">
        <v>398</v>
      </c>
      <c r="L82" s="159" t="s">
        <v>151</v>
      </c>
      <c r="M82" s="162" t="s">
        <v>401</v>
      </c>
      <c r="N82" s="23" t="s">
        <v>197</v>
      </c>
      <c r="O82" s="150" t="s">
        <v>925</v>
      </c>
      <c r="P82" s="159" t="s">
        <v>348</v>
      </c>
      <c r="Q82" s="53" t="s">
        <v>442</v>
      </c>
      <c r="R82" s="162" t="s">
        <v>204</v>
      </c>
      <c r="S82" s="162" t="str">
        <f>MID(PAA[[#This Row],[Meta Proyecto de Inversión]],1,4)</f>
        <v>8126</v>
      </c>
      <c r="T82" s="162" t="str">
        <f>MID(PAA[[#This Row],[Meta Proyecto de Inversión]],6,1)</f>
        <v>5</v>
      </c>
      <c r="U82" s="163" t="str">
        <f>IFERROR(VLOOKUP(N82,TD!$B$50:$F$54,2,0)," ")</f>
        <v>O230117</v>
      </c>
      <c r="V82" s="163" t="str">
        <f>IFERROR(VLOOKUP(N82,TD!$B$50:$F$54,3,0)," ")</f>
        <v>4599</v>
      </c>
      <c r="W82" s="163">
        <f>IFERROR(VLOOKUP(N82,TD!$B$50:$F$54,4,0)," ")</f>
        <v>20240207</v>
      </c>
      <c r="X82" s="162" t="s">
        <v>168</v>
      </c>
      <c r="Y82" s="163" t="str">
        <f>IFERROR(VLOOKUP(X82,TD!$J$51:$K$64,2,0)," ")</f>
        <v>Infraestructura Tecnológica   (Sistemas de Información y Tecnologia)</v>
      </c>
      <c r="Z82" s="164" t="str">
        <f t="shared" si="4"/>
        <v>11-Infraestructura Tecnológica   (Sistemas de Información y Tecnologia)</v>
      </c>
      <c r="AA82" s="162" t="s">
        <v>228</v>
      </c>
      <c r="AB82" s="163" t="str">
        <f>IFERROR(VLOOKUP(AA82,TD!$N$51:$O$66,2,0)," ")</f>
        <v>Servicios tecnológicos</v>
      </c>
      <c r="AC82" s="164" t="str">
        <f t="shared" si="5"/>
        <v>007_Servicios tecnológicos</v>
      </c>
      <c r="AD82" s="164" t="str">
        <f t="shared" si="6"/>
        <v>11-Infraestructura Tecnológica   (Sistemas de Información y Tecnologia) 007_Servicios tecnológicos</v>
      </c>
      <c r="AE82" s="163" t="str">
        <f t="shared" si="7"/>
        <v>O23011745992024020711007</v>
      </c>
      <c r="AF82" s="163" t="str">
        <f>IFERROR(VLOOKUP(AD82,TD!$J$66:$K$89,2,0)," ")</f>
        <v>PM/0131/0111/45990070207</v>
      </c>
      <c r="AG82" s="118" t="s">
        <v>116</v>
      </c>
      <c r="AH82" s="162" t="s">
        <v>194</v>
      </c>
      <c r="AI82" s="165" t="str">
        <f>CONCATENATE(PAA[[#This Row],[Id Interno]],"-",PAA[[#This Row],[tipo de Contrato (TH talento humano - B/S bienes y/o servicios)]],"-",S82,"-",T82,"-",PAA[[#This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83" spans="2:35" ht="42" x14ac:dyDescent="0.35">
      <c r="B83" s="23">
        <v>20260040</v>
      </c>
      <c r="C83" s="99" t="s">
        <v>433</v>
      </c>
      <c r="D83" s="23" t="s">
        <v>105</v>
      </c>
      <c r="E83" s="23" t="s">
        <v>402</v>
      </c>
      <c r="F83" s="159" t="s">
        <v>138</v>
      </c>
      <c r="G83" s="160" t="s">
        <v>383</v>
      </c>
      <c r="H83" s="161">
        <v>12</v>
      </c>
      <c r="I83" s="161">
        <v>0</v>
      </c>
      <c r="J83" s="127">
        <v>1000</v>
      </c>
      <c r="K83" s="88" t="s">
        <v>398</v>
      </c>
      <c r="L83" s="159" t="s">
        <v>151</v>
      </c>
      <c r="M83" s="162" t="s">
        <v>401</v>
      </c>
      <c r="N83" s="23" t="s">
        <v>197</v>
      </c>
      <c r="O83" s="150" t="s">
        <v>925</v>
      </c>
      <c r="P83" s="159" t="s">
        <v>348</v>
      </c>
      <c r="Q83" s="53">
        <v>81112217</v>
      </c>
      <c r="R83" s="162" t="s">
        <v>203</v>
      </c>
      <c r="S83" s="162" t="str">
        <f>MID(PAA[[#This Row],[Meta Proyecto de Inversión]],1,4)</f>
        <v>8126</v>
      </c>
      <c r="T83" s="162" t="str">
        <f>MID(PAA[[#This Row],[Meta Proyecto de Inversión]],6,1)</f>
        <v>4</v>
      </c>
      <c r="U83" s="163" t="str">
        <f>IFERROR(VLOOKUP(N83,TD!$B$50:$F$54,2,0)," ")</f>
        <v>O230117</v>
      </c>
      <c r="V83" s="163" t="str">
        <f>IFERROR(VLOOKUP(N83,TD!$B$50:$F$54,3,0)," ")</f>
        <v>4599</v>
      </c>
      <c r="W83" s="163">
        <f>IFERROR(VLOOKUP(N83,TD!$B$50:$F$54,4,0)," ")</f>
        <v>20240207</v>
      </c>
      <c r="X83" s="162" t="s">
        <v>168</v>
      </c>
      <c r="Y83" s="163" t="str">
        <f>IFERROR(VLOOKUP(X83,TD!$J$51:$K$64,2,0)," ")</f>
        <v>Infraestructura Tecnológica   (Sistemas de Información y Tecnologia)</v>
      </c>
      <c r="Z83" s="164" t="str">
        <f t="shared" si="4"/>
        <v>11-Infraestructura Tecnológica   (Sistemas de Información y Tecnologia)</v>
      </c>
      <c r="AA83" s="162" t="s">
        <v>228</v>
      </c>
      <c r="AB83" s="163" t="str">
        <f>IFERROR(VLOOKUP(AA83,TD!$N$51:$O$66,2,0)," ")</f>
        <v>Servicios tecnológicos</v>
      </c>
      <c r="AC83" s="164" t="str">
        <f t="shared" si="5"/>
        <v>007_Servicios tecnológicos</v>
      </c>
      <c r="AD83" s="164" t="str">
        <f t="shared" si="6"/>
        <v>11-Infraestructura Tecnológica   (Sistemas de Información y Tecnologia) 007_Servicios tecnológicos</v>
      </c>
      <c r="AE83" s="163" t="str">
        <f t="shared" si="7"/>
        <v>O23011745992024020711007</v>
      </c>
      <c r="AF83" s="163" t="str">
        <f>IFERROR(VLOOKUP(AD83,TD!$J$66:$K$89,2,0)," ")</f>
        <v>PM/0131/0111/45990070207</v>
      </c>
      <c r="AG83" s="118" t="s">
        <v>116</v>
      </c>
      <c r="AH83" s="162" t="s">
        <v>193</v>
      </c>
      <c r="AI83" s="165" t="str">
        <f>CONCATENATE(PAA[[#This Row],[Id Interno]],"-",PAA[[#This Row],[tipo de Contrato (TH talento humano - B/S bienes y/o servicios)]],"-",S83,"-",T83,"-",PAA[[#This Row],[Objeto de la contratación]])</f>
        <v>20260040-BS-8126-4-Contratar el servicio de actualización y soporte de licenciamiento ArcGIS para la U.A.E. Cuerpo Oficial de Bomberos de Bogotá.- TIC</v>
      </c>
    </row>
    <row r="84" spans="2:35" ht="56" x14ac:dyDescent="0.35">
      <c r="B84" s="23">
        <v>20260041</v>
      </c>
      <c r="C84" s="99" t="s">
        <v>434</v>
      </c>
      <c r="D84" s="23" t="s">
        <v>92</v>
      </c>
      <c r="E84" s="23" t="s">
        <v>402</v>
      </c>
      <c r="F84" s="159" t="s">
        <v>89</v>
      </c>
      <c r="G84" s="160" t="s">
        <v>380</v>
      </c>
      <c r="H84" s="161">
        <v>12</v>
      </c>
      <c r="I84" s="161">
        <v>0</v>
      </c>
      <c r="J84" s="127">
        <v>15000000</v>
      </c>
      <c r="K84" s="88" t="s">
        <v>398</v>
      </c>
      <c r="L84" s="159" t="s">
        <v>151</v>
      </c>
      <c r="M84" s="162" t="s">
        <v>401</v>
      </c>
      <c r="N84" s="23" t="s">
        <v>197</v>
      </c>
      <c r="O84" s="150" t="s">
        <v>925</v>
      </c>
      <c r="P84" s="159" t="s">
        <v>348</v>
      </c>
      <c r="Q84" s="53" t="s">
        <v>443</v>
      </c>
      <c r="R84" s="162" t="s">
        <v>204</v>
      </c>
      <c r="S84" s="162" t="str">
        <f>MID(PAA[[#This Row],[Meta Proyecto de Inversión]],1,4)</f>
        <v>8126</v>
      </c>
      <c r="T84" s="162" t="str">
        <f>MID(PAA[[#This Row],[Meta Proyecto de Inversión]],6,1)</f>
        <v>5</v>
      </c>
      <c r="U84" s="163" t="str">
        <f>IFERROR(VLOOKUP(N84,TD!$B$50:$F$54,2,0)," ")</f>
        <v>O230117</v>
      </c>
      <c r="V84" s="163" t="str">
        <f>IFERROR(VLOOKUP(N84,TD!$B$50:$F$54,3,0)," ")</f>
        <v>4599</v>
      </c>
      <c r="W84" s="163">
        <f>IFERROR(VLOOKUP(N84,TD!$B$50:$F$54,4,0)," ")</f>
        <v>20240207</v>
      </c>
      <c r="X84" s="162" t="s">
        <v>168</v>
      </c>
      <c r="Y84" s="163" t="str">
        <f>IFERROR(VLOOKUP(X84,TD!$J$51:$K$64,2,0)," ")</f>
        <v>Infraestructura Tecnológica   (Sistemas de Información y Tecnologia)</v>
      </c>
      <c r="Z84" s="164" t="str">
        <f t="shared" si="4"/>
        <v>11-Infraestructura Tecnológica   (Sistemas de Información y Tecnologia)</v>
      </c>
      <c r="AA84" s="162" t="s">
        <v>228</v>
      </c>
      <c r="AB84" s="163" t="str">
        <f>IFERROR(VLOOKUP(AA84,TD!$N$51:$O$66,2,0)," ")</f>
        <v>Servicios tecnológicos</v>
      </c>
      <c r="AC84" s="164" t="str">
        <f t="shared" si="5"/>
        <v>007_Servicios tecnológicos</v>
      </c>
      <c r="AD84" s="164" t="str">
        <f t="shared" si="6"/>
        <v>11-Infraestructura Tecnológica   (Sistemas de Información y Tecnologia) 007_Servicios tecnológicos</v>
      </c>
      <c r="AE84" s="163" t="str">
        <f t="shared" si="7"/>
        <v>O23011745992024020711007</v>
      </c>
      <c r="AF84" s="163" t="str">
        <f>IFERROR(VLOOKUP(AD84,TD!$J$66:$K$89,2,0)," ")</f>
        <v>PM/0131/0111/45990070207</v>
      </c>
      <c r="AG84" s="118" t="s">
        <v>116</v>
      </c>
      <c r="AH84" s="162" t="s">
        <v>193</v>
      </c>
      <c r="AI84" s="165" t="str">
        <f>CONCATENATE(PAA[[#This Row],[Id Interno]],"-",PAA[[#This Row],[tipo de Contrato (TH talento humano - B/S bienes y/o servicios)]],"-",S84,"-",T84,"-",PAA[[#This Row],[Objeto de la contratación]])</f>
        <v xml:space="preserve">20260041-BS-8126-5-Contratar la adquisición de tarjetas de comunicación satelital de voz, para la U.A.E. Cuerpo Oficial de Bomberos de Bogotá. </v>
      </c>
    </row>
    <row r="85" spans="2:35" ht="56" x14ac:dyDescent="0.35">
      <c r="B85" s="23">
        <v>20260042</v>
      </c>
      <c r="C85" s="99" t="s">
        <v>435</v>
      </c>
      <c r="D85" s="23" t="s">
        <v>88</v>
      </c>
      <c r="E85" s="23" t="s">
        <v>402</v>
      </c>
      <c r="F85" s="159" t="s">
        <v>138</v>
      </c>
      <c r="G85" s="160" t="s">
        <v>382</v>
      </c>
      <c r="H85" s="161">
        <v>12</v>
      </c>
      <c r="I85" s="161">
        <v>0</v>
      </c>
      <c r="J85" s="127">
        <v>1000</v>
      </c>
      <c r="K85" s="88" t="s">
        <v>398</v>
      </c>
      <c r="L85" s="159" t="s">
        <v>151</v>
      </c>
      <c r="M85" s="162" t="s">
        <v>401</v>
      </c>
      <c r="N85" s="23" t="s">
        <v>197</v>
      </c>
      <c r="O85" s="150" t="s">
        <v>925</v>
      </c>
      <c r="P85" s="159" t="s">
        <v>348</v>
      </c>
      <c r="Q85" s="53">
        <v>43222635</v>
      </c>
      <c r="R85" s="162" t="s">
        <v>204</v>
      </c>
      <c r="S85" s="162" t="str">
        <f>MID(PAA[[#This Row],[Meta Proyecto de Inversión]],1,4)</f>
        <v>8126</v>
      </c>
      <c r="T85" s="162" t="str">
        <f>MID(PAA[[#This Row],[Meta Proyecto de Inversión]],6,1)</f>
        <v>5</v>
      </c>
      <c r="U85" s="163" t="str">
        <f>IFERROR(VLOOKUP(N85,TD!$B$50:$F$54,2,0)," ")</f>
        <v>O230117</v>
      </c>
      <c r="V85" s="163" t="str">
        <f>IFERROR(VLOOKUP(N85,TD!$B$50:$F$54,3,0)," ")</f>
        <v>4599</v>
      </c>
      <c r="W85" s="163">
        <f>IFERROR(VLOOKUP(N85,TD!$B$50:$F$54,4,0)," ")</f>
        <v>20240207</v>
      </c>
      <c r="X85" s="162" t="s">
        <v>168</v>
      </c>
      <c r="Y85" s="163" t="str">
        <f>IFERROR(VLOOKUP(X85,TD!$J$51:$K$64,2,0)," ")</f>
        <v>Infraestructura Tecnológica   (Sistemas de Información y Tecnologia)</v>
      </c>
      <c r="Z85" s="164" t="str">
        <f t="shared" si="4"/>
        <v>11-Infraestructura Tecnológica   (Sistemas de Información y Tecnologia)</v>
      </c>
      <c r="AA85" s="162" t="s">
        <v>228</v>
      </c>
      <c r="AB85" s="163" t="str">
        <f>IFERROR(VLOOKUP(AA85,TD!$N$51:$O$66,2,0)," ")</f>
        <v>Servicios tecnológicos</v>
      </c>
      <c r="AC85" s="164" t="str">
        <f t="shared" si="5"/>
        <v>007_Servicios tecnológicos</v>
      </c>
      <c r="AD85" s="164" t="str">
        <f t="shared" si="6"/>
        <v>11-Infraestructura Tecnológica   (Sistemas de Información y Tecnologia) 007_Servicios tecnológicos</v>
      </c>
      <c r="AE85" s="163" t="str">
        <f t="shared" si="7"/>
        <v>O23011745992024020711007</v>
      </c>
      <c r="AF85" s="163" t="str">
        <f>IFERROR(VLOOKUP(AD85,TD!$J$66:$K$89,2,0)," ")</f>
        <v>PM/0131/0111/45990070207</v>
      </c>
      <c r="AG85" s="118" t="s">
        <v>116</v>
      </c>
      <c r="AH85" s="162" t="s">
        <v>193</v>
      </c>
      <c r="AI85" s="165" t="str">
        <f>CONCATENATE(PAA[[#This Row],[Id Interno]],"-",PAA[[#This Row],[tipo de Contrato (TH talento humano - B/S bienes y/o servicios)]],"-",S85,"-",T85,"-",PAA[[#This Row],[Objeto de la contratación]])</f>
        <v>20260042-BS-8126-5-Contratar la renovación de garantía y soporte de fabrica de los equipos activos que hacen parte de la infraestructura tecnológica de la U.A.E. Cuerpo Oficial de Bomberos de Bogotá.</v>
      </c>
    </row>
    <row r="86" spans="2:35" ht="42" x14ac:dyDescent="0.35">
      <c r="B86" s="23">
        <v>20260044</v>
      </c>
      <c r="C86" s="99" t="s">
        <v>436</v>
      </c>
      <c r="D86" s="23" t="s">
        <v>105</v>
      </c>
      <c r="E86" s="23" t="s">
        <v>402</v>
      </c>
      <c r="F86" s="159" t="s">
        <v>143</v>
      </c>
      <c r="G86" s="160" t="s">
        <v>373</v>
      </c>
      <c r="H86" s="161">
        <v>12</v>
      </c>
      <c r="I86" s="161">
        <v>0</v>
      </c>
      <c r="J86" s="127">
        <v>25000000</v>
      </c>
      <c r="K86" s="88" t="s">
        <v>398</v>
      </c>
      <c r="L86" s="159" t="s">
        <v>151</v>
      </c>
      <c r="M86" s="162" t="s">
        <v>401</v>
      </c>
      <c r="N86" s="23" t="s">
        <v>197</v>
      </c>
      <c r="O86" s="150" t="s">
        <v>925</v>
      </c>
      <c r="P86" s="159" t="s">
        <v>348</v>
      </c>
      <c r="Q86" s="53" t="s">
        <v>444</v>
      </c>
      <c r="R86" s="162" t="s">
        <v>203</v>
      </c>
      <c r="S86" s="162" t="str">
        <f>MID(PAA[[#This Row],[Meta Proyecto de Inversión]],1,4)</f>
        <v>8126</v>
      </c>
      <c r="T86" s="162" t="str">
        <f>MID(PAA[[#This Row],[Meta Proyecto de Inversión]],6,1)</f>
        <v>4</v>
      </c>
      <c r="U86" s="163" t="str">
        <f>IFERROR(VLOOKUP(N86,TD!$B$50:$F$54,2,0)," ")</f>
        <v>O230117</v>
      </c>
      <c r="V86" s="163" t="str">
        <f>IFERROR(VLOOKUP(N86,TD!$B$50:$F$54,3,0)," ")</f>
        <v>4599</v>
      </c>
      <c r="W86" s="163">
        <f>IFERROR(VLOOKUP(N86,TD!$B$50:$F$54,4,0)," ")</f>
        <v>20240207</v>
      </c>
      <c r="X86" s="162" t="s">
        <v>168</v>
      </c>
      <c r="Y86" s="163" t="str">
        <f>IFERROR(VLOOKUP(X86,TD!$J$51:$K$64,2,0)," ")</f>
        <v>Infraestructura Tecnológica   (Sistemas de Información y Tecnologia)</v>
      </c>
      <c r="Z86" s="164" t="str">
        <f t="shared" si="4"/>
        <v>11-Infraestructura Tecnológica   (Sistemas de Información y Tecnologia)</v>
      </c>
      <c r="AA86" s="162" t="s">
        <v>228</v>
      </c>
      <c r="AB86" s="163" t="str">
        <f>IFERROR(VLOOKUP(AA86,TD!$N$51:$O$66,2,0)," ")</f>
        <v>Servicios tecnológicos</v>
      </c>
      <c r="AC86" s="164" t="str">
        <f t="shared" si="5"/>
        <v>007_Servicios tecnológicos</v>
      </c>
      <c r="AD86" s="164" t="str">
        <f t="shared" si="6"/>
        <v>11-Infraestructura Tecnológica   (Sistemas de Información y Tecnologia) 007_Servicios tecnológicos</v>
      </c>
      <c r="AE86" s="163" t="str">
        <f t="shared" si="7"/>
        <v>O23011745992024020711007</v>
      </c>
      <c r="AF86" s="163" t="str">
        <f>IFERROR(VLOOKUP(AD86,TD!$J$66:$K$89,2,0)," ")</f>
        <v>PM/0131/0111/45990070207</v>
      </c>
      <c r="AG86" s="118" t="s">
        <v>116</v>
      </c>
      <c r="AH86" s="162" t="s">
        <v>193</v>
      </c>
      <c r="AI86" s="165" t="str">
        <f>CONCATENATE(PAA[[#This Row],[Id Interno]],"-",PAA[[#This Row],[tipo de Contrato (TH talento humano - B/S bienes y/o servicios)]],"-",S86,"-",T86,"-",PAA[[#This Row],[Objeto de la contratación]])</f>
        <v>20260044-BS-8126-4-Contratar el servicio de mantenimiento, soporte técnico y actualización del aplicativo PCT, utilizado por la UAE Cuerpo Oficial de Bomberos de Bogota - TIC</v>
      </c>
    </row>
    <row r="87" spans="2:35" ht="42" x14ac:dyDescent="0.35">
      <c r="B87" s="23">
        <v>20260045</v>
      </c>
      <c r="C87" s="99" t="s">
        <v>1003</v>
      </c>
      <c r="D87" s="23" t="s">
        <v>105</v>
      </c>
      <c r="E87" s="23" t="s">
        <v>402</v>
      </c>
      <c r="F87" s="159" t="s">
        <v>138</v>
      </c>
      <c r="G87" s="160" t="s">
        <v>378</v>
      </c>
      <c r="H87" s="161">
        <v>12</v>
      </c>
      <c r="I87" s="161">
        <v>0</v>
      </c>
      <c r="J87" s="127">
        <v>200000000</v>
      </c>
      <c r="K87" s="88" t="s">
        <v>398</v>
      </c>
      <c r="L87" s="159" t="s">
        <v>151</v>
      </c>
      <c r="M87" s="162" t="s">
        <v>401</v>
      </c>
      <c r="N87" s="23" t="s">
        <v>197</v>
      </c>
      <c r="O87" s="150" t="s">
        <v>925</v>
      </c>
      <c r="P87" s="159" t="s">
        <v>348</v>
      </c>
      <c r="Q87" s="53" t="s">
        <v>445</v>
      </c>
      <c r="R87" s="162" t="s">
        <v>203</v>
      </c>
      <c r="S87" s="162" t="str">
        <f>MID(PAA[[#This Row],[Meta Proyecto de Inversión]],1,4)</f>
        <v>8126</v>
      </c>
      <c r="T87" s="162" t="str">
        <f>MID(PAA[[#This Row],[Meta Proyecto de Inversión]],6,1)</f>
        <v>4</v>
      </c>
      <c r="U87" s="163" t="str">
        <f>IFERROR(VLOOKUP(N87,TD!$B$50:$F$54,2,0)," ")</f>
        <v>O230117</v>
      </c>
      <c r="V87" s="163" t="str">
        <f>IFERROR(VLOOKUP(N87,TD!$B$50:$F$54,3,0)," ")</f>
        <v>4599</v>
      </c>
      <c r="W87" s="163">
        <f>IFERROR(VLOOKUP(N87,TD!$B$50:$F$54,4,0)," ")</f>
        <v>20240207</v>
      </c>
      <c r="X87" s="162" t="s">
        <v>168</v>
      </c>
      <c r="Y87" s="163" t="str">
        <f>IFERROR(VLOOKUP(X87,TD!$J$51:$K$64,2,0)," ")</f>
        <v>Infraestructura Tecnológica   (Sistemas de Información y Tecnologia)</v>
      </c>
      <c r="Z87" s="164" t="str">
        <f t="shared" si="4"/>
        <v>11-Infraestructura Tecnológica   (Sistemas de Información y Tecnologia)</v>
      </c>
      <c r="AA87" s="162" t="s">
        <v>228</v>
      </c>
      <c r="AB87" s="163" t="str">
        <f>IFERROR(VLOOKUP(AA87,TD!$N$51:$O$66,2,0)," ")</f>
        <v>Servicios tecnológicos</v>
      </c>
      <c r="AC87" s="164" t="str">
        <f t="shared" si="5"/>
        <v>007_Servicios tecnológicos</v>
      </c>
      <c r="AD87" s="164" t="str">
        <f t="shared" si="6"/>
        <v>11-Infraestructura Tecnológica   (Sistemas de Información y Tecnologia) 007_Servicios tecnológicos</v>
      </c>
      <c r="AE87" s="163" t="str">
        <f t="shared" si="7"/>
        <v>O23011745992024020711007</v>
      </c>
      <c r="AF87" s="163" t="str">
        <f>IFERROR(VLOOKUP(AD87,TD!$J$66:$K$89,2,0)," ")</f>
        <v>PM/0131/0111/45990070207</v>
      </c>
      <c r="AG87" s="118" t="s">
        <v>116</v>
      </c>
      <c r="AH87" s="162" t="s">
        <v>193</v>
      </c>
      <c r="AI87" s="165" t="str">
        <f>CONCATENATE(PAA[[#This Row],[Id Interno]],"-",PAA[[#This Row],[tipo de Contrato (TH talento humano - B/S bienes y/o servicios)]],"-",S87,"-",T87,"-",PAA[[#This Row],[Objeto de la contratación]])</f>
        <v>20260045-BS-8126-4-Contratar el servicio de actualización y soporte de licenciamiento para Motor de Base de Datos,  y Web Logic para la U.A.E. Cuerpo Oficial de Bomberos de Bogotá - TIC</v>
      </c>
    </row>
    <row r="88" spans="2:35" ht="56" x14ac:dyDescent="0.35">
      <c r="B88" s="23">
        <v>20260046</v>
      </c>
      <c r="C88" s="99" t="s">
        <v>437</v>
      </c>
      <c r="D88" s="23" t="s">
        <v>88</v>
      </c>
      <c r="E88" s="23" t="s">
        <v>402</v>
      </c>
      <c r="F88" s="159" t="s">
        <v>89</v>
      </c>
      <c r="G88" s="160" t="s">
        <v>379</v>
      </c>
      <c r="H88" s="161">
        <v>12</v>
      </c>
      <c r="I88" s="161">
        <v>0</v>
      </c>
      <c r="J88" s="127">
        <v>50000000</v>
      </c>
      <c r="K88" s="88" t="s">
        <v>398</v>
      </c>
      <c r="L88" s="159" t="s">
        <v>151</v>
      </c>
      <c r="M88" s="162" t="s">
        <v>401</v>
      </c>
      <c r="N88" s="23" t="s">
        <v>197</v>
      </c>
      <c r="O88" s="150" t="s">
        <v>925</v>
      </c>
      <c r="P88" s="159" t="s">
        <v>348</v>
      </c>
      <c r="Q88" s="53" t="s">
        <v>446</v>
      </c>
      <c r="R88" s="162" t="s">
        <v>204</v>
      </c>
      <c r="S88" s="162" t="str">
        <f>MID(PAA[[#This Row],[Meta Proyecto de Inversión]],1,4)</f>
        <v>8126</v>
      </c>
      <c r="T88" s="162" t="str">
        <f>MID(PAA[[#This Row],[Meta Proyecto de Inversión]],6,1)</f>
        <v>5</v>
      </c>
      <c r="U88" s="163" t="str">
        <f>IFERROR(VLOOKUP(N88,TD!$B$50:$F$54,2,0)," ")</f>
        <v>O230117</v>
      </c>
      <c r="V88" s="163" t="str">
        <f>IFERROR(VLOOKUP(N88,TD!$B$50:$F$54,3,0)," ")</f>
        <v>4599</v>
      </c>
      <c r="W88" s="163">
        <f>IFERROR(VLOOKUP(N88,TD!$B$50:$F$54,4,0)," ")</f>
        <v>20240207</v>
      </c>
      <c r="X88" s="162" t="s">
        <v>168</v>
      </c>
      <c r="Y88" s="163" t="str">
        <f>IFERROR(VLOOKUP(X88,TD!$J$51:$K$64,2,0)," ")</f>
        <v>Infraestructura Tecnológica   (Sistemas de Información y Tecnologia)</v>
      </c>
      <c r="Z88" s="164" t="str">
        <f t="shared" si="4"/>
        <v>11-Infraestructura Tecnológica   (Sistemas de Información y Tecnologia)</v>
      </c>
      <c r="AA88" s="162" t="s">
        <v>228</v>
      </c>
      <c r="AB88" s="163" t="str">
        <f>IFERROR(VLOOKUP(AA88,TD!$N$51:$O$66,2,0)," ")</f>
        <v>Servicios tecnológicos</v>
      </c>
      <c r="AC88" s="164" t="str">
        <f t="shared" si="5"/>
        <v>007_Servicios tecnológicos</v>
      </c>
      <c r="AD88" s="164" t="str">
        <f t="shared" si="6"/>
        <v>11-Infraestructura Tecnológica   (Sistemas de Información y Tecnologia) 007_Servicios tecnológicos</v>
      </c>
      <c r="AE88" s="163" t="str">
        <f t="shared" si="7"/>
        <v>O23011745992024020711007</v>
      </c>
      <c r="AF88" s="163" t="str">
        <f>IFERROR(VLOOKUP(AD88,TD!$J$66:$K$89,2,0)," ")</f>
        <v>PM/0131/0111/45990070207</v>
      </c>
      <c r="AG88" s="118" t="s">
        <v>116</v>
      </c>
      <c r="AH88" s="162" t="s">
        <v>193</v>
      </c>
      <c r="AI88" s="165" t="str">
        <f>CONCATENATE(PAA[[#This Row],[Id Interno]],"-",PAA[[#This Row],[tipo de Contrato (TH talento humano - B/S bienes y/o servicios)]],"-",S88,"-",T88,"-",PAA[[#This Row],[Objeto de la contratación]])</f>
        <v>20260046-BS-8126-5-Modernización y mantenimiento de la solución de control de acceso con reconocimiento facial para la U.A.E. Cuerpo Oficial Bomberos de Bogotá</v>
      </c>
    </row>
    <row r="89" spans="2:35" ht="42" x14ac:dyDescent="0.35">
      <c r="B89" s="23">
        <v>20260047</v>
      </c>
      <c r="C89" s="99" t="s">
        <v>438</v>
      </c>
      <c r="D89" s="23" t="s">
        <v>88</v>
      </c>
      <c r="E89" s="23" t="s">
        <v>402</v>
      </c>
      <c r="F89" s="159" t="s">
        <v>146</v>
      </c>
      <c r="G89" s="160" t="s">
        <v>378</v>
      </c>
      <c r="H89" s="161">
        <v>12</v>
      </c>
      <c r="I89" s="161">
        <v>0</v>
      </c>
      <c r="J89" s="127">
        <v>10000000</v>
      </c>
      <c r="K89" s="88" t="s">
        <v>398</v>
      </c>
      <c r="L89" s="159" t="s">
        <v>151</v>
      </c>
      <c r="M89" s="162" t="s">
        <v>401</v>
      </c>
      <c r="N89" s="23" t="s">
        <v>197</v>
      </c>
      <c r="O89" s="150" t="s">
        <v>925</v>
      </c>
      <c r="P89" s="159" t="s">
        <v>348</v>
      </c>
      <c r="Q89" s="53" t="s">
        <v>447</v>
      </c>
      <c r="R89" s="162" t="s">
        <v>203</v>
      </c>
      <c r="S89" s="162" t="str">
        <f>MID(PAA[[#This Row],[Meta Proyecto de Inversión]],1,4)</f>
        <v>8126</v>
      </c>
      <c r="T89" s="162" t="str">
        <f>MID(PAA[[#This Row],[Meta Proyecto de Inversión]],6,1)</f>
        <v>4</v>
      </c>
      <c r="U89" s="163" t="str">
        <f>IFERROR(VLOOKUP(N89,TD!$B$50:$F$54,2,0)," ")</f>
        <v>O230117</v>
      </c>
      <c r="V89" s="163" t="str">
        <f>IFERROR(VLOOKUP(N89,TD!$B$50:$F$54,3,0)," ")</f>
        <v>4599</v>
      </c>
      <c r="W89" s="163">
        <f>IFERROR(VLOOKUP(N89,TD!$B$50:$F$54,4,0)," ")</f>
        <v>20240207</v>
      </c>
      <c r="X89" s="162" t="s">
        <v>168</v>
      </c>
      <c r="Y89" s="163" t="str">
        <f>IFERROR(VLOOKUP(X89,TD!$J$51:$K$64,2,0)," ")</f>
        <v>Infraestructura Tecnológica   (Sistemas de Información y Tecnologia)</v>
      </c>
      <c r="Z89" s="164" t="str">
        <f t="shared" si="4"/>
        <v>11-Infraestructura Tecnológica   (Sistemas de Información y Tecnologia)</v>
      </c>
      <c r="AA89" s="162" t="s">
        <v>228</v>
      </c>
      <c r="AB89" s="163" t="str">
        <f>IFERROR(VLOOKUP(AA89,TD!$N$51:$O$66,2,0)," ")</f>
        <v>Servicios tecnológicos</v>
      </c>
      <c r="AC89" s="164" t="str">
        <f t="shared" si="5"/>
        <v>007_Servicios tecnológicos</v>
      </c>
      <c r="AD89" s="164" t="str">
        <f t="shared" si="6"/>
        <v>11-Infraestructura Tecnológica   (Sistemas de Información y Tecnologia) 007_Servicios tecnológicos</v>
      </c>
      <c r="AE89" s="163" t="str">
        <f t="shared" si="7"/>
        <v>O23011745992024020711007</v>
      </c>
      <c r="AF89" s="163" t="str">
        <f>IFERROR(VLOOKUP(AD89,TD!$J$66:$K$89,2,0)," ")</f>
        <v>PM/0131/0111/45990070207</v>
      </c>
      <c r="AG89" s="118" t="s">
        <v>116</v>
      </c>
      <c r="AH89" s="162" t="s">
        <v>193</v>
      </c>
      <c r="AI89" s="165" t="str">
        <f>CONCATENATE(PAA[[#This Row],[Id Interno]],"-",PAA[[#This Row],[tipo de Contrato (TH talento humano - B/S bienes y/o servicios)]],"-",S89,"-",T89,"-",PAA[[#This Row],[Objeto de la contratación]])</f>
        <v>20260047-BS-8126-4-Contratar el servicios de mantenimiento para el sistema de atención de turnos de la U.A.E. Cuerpo Ofical de Bomberos de Bogotá - TIC</v>
      </c>
    </row>
    <row r="90" spans="2:35" ht="70" x14ac:dyDescent="0.35">
      <c r="B90" s="99">
        <v>20260048</v>
      </c>
      <c r="C90" s="99" t="s">
        <v>1004</v>
      </c>
      <c r="D90" s="99" t="s">
        <v>88</v>
      </c>
      <c r="E90" s="99" t="s">
        <v>402</v>
      </c>
      <c r="F90" s="160" t="s">
        <v>89</v>
      </c>
      <c r="G90" s="160" t="s">
        <v>377</v>
      </c>
      <c r="H90" s="160">
        <v>12</v>
      </c>
      <c r="I90" s="160">
        <v>0</v>
      </c>
      <c r="J90" s="118">
        <v>628722414</v>
      </c>
      <c r="K90" s="126" t="s">
        <v>398</v>
      </c>
      <c r="L90" s="160" t="s">
        <v>151</v>
      </c>
      <c r="M90" s="167" t="s">
        <v>1005</v>
      </c>
      <c r="N90" s="99" t="s">
        <v>197</v>
      </c>
      <c r="O90" s="150" t="s">
        <v>925</v>
      </c>
      <c r="P90" s="160" t="s">
        <v>348</v>
      </c>
      <c r="Q90" s="128" t="s">
        <v>1012</v>
      </c>
      <c r="R90" s="167" t="s">
        <v>204</v>
      </c>
      <c r="S90" s="162" t="str">
        <f>MID(PAA[[#This Row],[Meta Proyecto de Inversión]],1,4)</f>
        <v>8126</v>
      </c>
      <c r="T90" s="162" t="str">
        <f>MID(PAA[[#This Row],[Meta Proyecto de Inversión]],6,1)</f>
        <v>5</v>
      </c>
      <c r="U90" s="168" t="str">
        <f>IFERROR(VLOOKUP(N90,TD!$B$50:$F$54,2,0)," ")</f>
        <v>O230117</v>
      </c>
      <c r="V90" s="168" t="str">
        <f>IFERROR(VLOOKUP(N90,TD!$B$50:$F$54,3,0)," ")</f>
        <v>4599</v>
      </c>
      <c r="W90" s="168">
        <f>IFERROR(VLOOKUP(N90,TD!$B$50:$F$54,4,0)," ")</f>
        <v>20240207</v>
      </c>
      <c r="X90" s="167" t="s">
        <v>168</v>
      </c>
      <c r="Y90" s="168" t="str">
        <f>IFERROR(VLOOKUP(X90,TD!$J$51:$K$64,2,0)," ")</f>
        <v>Infraestructura Tecnológica   (Sistemas de Información y Tecnologia)</v>
      </c>
      <c r="Z90" s="164" t="str">
        <f t="shared" si="4"/>
        <v>11-Infraestructura Tecnológica   (Sistemas de Información y Tecnologia)</v>
      </c>
      <c r="AA90" s="167" t="s">
        <v>228</v>
      </c>
      <c r="AB90" s="168" t="str">
        <f>IFERROR(VLOOKUP(AA90,TD!$N$51:$O$66,2,0)," ")</f>
        <v>Servicios tecnológicos</v>
      </c>
      <c r="AC90" s="164" t="str">
        <f t="shared" si="5"/>
        <v>007_Servicios tecnológicos</v>
      </c>
      <c r="AD90" s="164" t="str">
        <f t="shared" si="6"/>
        <v>11-Infraestructura Tecnológica   (Sistemas de Información y Tecnologia) 007_Servicios tecnológicos</v>
      </c>
      <c r="AE90" s="168" t="str">
        <f t="shared" si="7"/>
        <v>O23011745992024020711007</v>
      </c>
      <c r="AF90" s="168" t="str">
        <f>IFERROR(VLOOKUP(AD90,TD!$J$66:$K$89,2,0)," ")</f>
        <v>PM/0131/0111/45990070207</v>
      </c>
      <c r="AG90" s="118" t="s">
        <v>121</v>
      </c>
      <c r="AH90" s="167" t="s">
        <v>193</v>
      </c>
      <c r="AI90" s="169" t="str">
        <f>CONCATENATE(PAA[[#This Row],[Id Interno]],"-",PAA[[#This Row],[tipo de Contrato (TH talento humano - B/S bienes y/o servicios)]],"-",S90,"-",T90,"-",PAA[[#This Row],[Objeto de la contratación]])</f>
        <v>20260048-BS-8126-5-Modernización, mantenimiento y soporte de los componentes multimedia y tecnológicos para el equipamiento del auditorio de la sede principal de la U.A.E. Cuerpo Oficial de Bomberos Bogotá.</v>
      </c>
    </row>
    <row r="91" spans="2:35" ht="42" x14ac:dyDescent="0.35">
      <c r="B91" s="23">
        <v>20260052</v>
      </c>
      <c r="C91" s="99" t="s">
        <v>594</v>
      </c>
      <c r="D91" s="23" t="s">
        <v>114</v>
      </c>
      <c r="E91" s="23" t="s">
        <v>402</v>
      </c>
      <c r="F91" s="159" t="s">
        <v>138</v>
      </c>
      <c r="G91" s="160" t="s">
        <v>381</v>
      </c>
      <c r="H91" s="161">
        <v>12</v>
      </c>
      <c r="I91" s="161">
        <v>0</v>
      </c>
      <c r="J91" s="127">
        <v>50000000</v>
      </c>
      <c r="K91" s="88" t="s">
        <v>398</v>
      </c>
      <c r="L91" s="159" t="s">
        <v>151</v>
      </c>
      <c r="M91" s="162" t="s">
        <v>401</v>
      </c>
      <c r="N91" s="23" t="s">
        <v>330</v>
      </c>
      <c r="O91" s="150" t="s">
        <v>925</v>
      </c>
      <c r="P91" s="159" t="s">
        <v>161</v>
      </c>
      <c r="Q91" s="53" t="s">
        <v>597</v>
      </c>
      <c r="R91" s="162" t="s">
        <v>331</v>
      </c>
      <c r="S91" s="162" t="str">
        <f>MID(PAA[[#This Row],[Meta Proyecto de Inversión]],1,4)</f>
        <v>No a</v>
      </c>
      <c r="T91" s="162" t="str">
        <f>MID(PAA[[#This Row],[Meta Proyecto de Inversión]],6,1)</f>
        <v>l</v>
      </c>
      <c r="U91" s="163" t="str">
        <f>IFERROR(VLOOKUP(N91,TD!$B$50:$F$54,2,0)," ")</f>
        <v>NA</v>
      </c>
      <c r="V91" s="163" t="str">
        <f>IFERROR(VLOOKUP(N91,TD!$B$50:$F$54,3,0)," ")</f>
        <v>NA</v>
      </c>
      <c r="W91" s="163" t="str">
        <f>IFERROR(VLOOKUP(N91,TD!$B$50:$F$54,4,0)," ")</f>
        <v>NA</v>
      </c>
      <c r="X91" s="162" t="s">
        <v>335</v>
      </c>
      <c r="Y91" s="163" t="str">
        <f>IFERROR(VLOOKUP(X91,TD!$J$51:$K$64,2,0)," ")</f>
        <v>N/A</v>
      </c>
      <c r="Z91" s="164" t="str">
        <f t="shared" si="4"/>
        <v>N/A-N/A</v>
      </c>
      <c r="AA91" s="162" t="s">
        <v>335</v>
      </c>
      <c r="AB91" s="163" t="str">
        <f>IFERROR(VLOOKUP(AA91,TD!$N$51:$O$66,2,0)," ")</f>
        <v>N/A</v>
      </c>
      <c r="AC91" s="164" t="str">
        <f t="shared" si="5"/>
        <v>N/A_N/A</v>
      </c>
      <c r="AD91" s="164" t="str">
        <f t="shared" si="6"/>
        <v>N/A-N/A N/A_N/A</v>
      </c>
      <c r="AE91" s="163" t="str">
        <f t="shared" si="7"/>
        <v>NANANAN/AN/A</v>
      </c>
      <c r="AF91" s="163" t="str">
        <f>IFERROR(VLOOKUP(AD91,TD!$J$66:$K$89,2,0)," ")</f>
        <v>N/A</v>
      </c>
      <c r="AG91" s="118" t="s">
        <v>345</v>
      </c>
      <c r="AH91" s="162" t="s">
        <v>193</v>
      </c>
      <c r="AI91" s="165" t="str">
        <f>CONCATENATE(PAA[[#This Row],[Id Interno]],"-",PAA[[#This Row],[tipo de Contrato (TH talento humano - B/S bienes y/o servicios)]],"-",S91,"-",T91,"-",PAA[[#This Row],[Objeto de la contratación]])</f>
        <v>20260052-BS-No a-l-Contratar  la suscripción de licencias Suite Adobe para la UAE Cuerpo Oficial de Bomberos de Bogotá-TIC</v>
      </c>
    </row>
    <row r="92" spans="2:35" ht="112" x14ac:dyDescent="0.35">
      <c r="B92" s="23">
        <v>20260054</v>
      </c>
      <c r="C92" s="99" t="s">
        <v>886</v>
      </c>
      <c r="D92" s="23" t="s">
        <v>88</v>
      </c>
      <c r="E92" s="23" t="s">
        <v>402</v>
      </c>
      <c r="F92" s="159" t="s">
        <v>146</v>
      </c>
      <c r="G92" s="160" t="s">
        <v>376</v>
      </c>
      <c r="H92" s="161">
        <v>12</v>
      </c>
      <c r="I92" s="161">
        <v>0</v>
      </c>
      <c r="J92" s="127">
        <v>100000000</v>
      </c>
      <c r="K92" s="88" t="s">
        <v>398</v>
      </c>
      <c r="L92" s="159" t="s">
        <v>151</v>
      </c>
      <c r="M92" s="162" t="s">
        <v>401</v>
      </c>
      <c r="N92" s="23" t="s">
        <v>330</v>
      </c>
      <c r="O92" s="150" t="s">
        <v>925</v>
      </c>
      <c r="P92" s="159" t="s">
        <v>161</v>
      </c>
      <c r="Q92" s="53" t="s">
        <v>598</v>
      </c>
      <c r="R92" s="162" t="s">
        <v>331</v>
      </c>
      <c r="S92" s="162" t="str">
        <f>MID(PAA[[#This Row],[Meta Proyecto de Inversión]],1,4)</f>
        <v>No a</v>
      </c>
      <c r="T92" s="162" t="str">
        <f>MID(PAA[[#This Row],[Meta Proyecto de Inversión]],6,1)</f>
        <v>l</v>
      </c>
      <c r="U92" s="163" t="str">
        <f>IFERROR(VLOOKUP(N92,TD!$B$50:$F$54,2,0)," ")</f>
        <v>NA</v>
      </c>
      <c r="V92" s="163" t="str">
        <f>IFERROR(VLOOKUP(N92,TD!$B$50:$F$54,3,0)," ")</f>
        <v>NA</v>
      </c>
      <c r="W92" s="163" t="str">
        <f>IFERROR(VLOOKUP(N92,TD!$B$50:$F$54,4,0)," ")</f>
        <v>NA</v>
      </c>
      <c r="X92" s="162" t="s">
        <v>335</v>
      </c>
      <c r="Y92" s="163" t="str">
        <f>IFERROR(VLOOKUP(X92,TD!$J$51:$K$64,2,0)," ")</f>
        <v>N/A</v>
      </c>
      <c r="Z92" s="164" t="str">
        <f t="shared" si="4"/>
        <v>N/A-N/A</v>
      </c>
      <c r="AA92" s="162" t="s">
        <v>335</v>
      </c>
      <c r="AB92" s="163" t="str">
        <f>IFERROR(VLOOKUP(AA92,TD!$N$51:$O$66,2,0)," ")</f>
        <v>N/A</v>
      </c>
      <c r="AC92" s="164" t="str">
        <f t="shared" si="5"/>
        <v>N/A_N/A</v>
      </c>
      <c r="AD92" s="164" t="str">
        <f t="shared" si="6"/>
        <v>N/A-N/A N/A_N/A</v>
      </c>
      <c r="AE92" s="163" t="str">
        <f t="shared" si="7"/>
        <v>NANANAN/AN/A</v>
      </c>
      <c r="AF92" s="163" t="str">
        <f>IFERROR(VLOOKUP(AD92,TD!$J$66:$K$89,2,0)," ")</f>
        <v>N/A</v>
      </c>
      <c r="AG92" s="118" t="s">
        <v>343</v>
      </c>
      <c r="AH92" s="162" t="s">
        <v>194</v>
      </c>
      <c r="AI92" s="165" t="str">
        <f>CONCATENATE(PAA[[#This Row],[Id Interno]],"-",PAA[[#This Row],[tipo de Contrato (TH talento humano - B/S bienes y/o servicios)]],"-",S92,"-",T92,"-",PAA[[#This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93" spans="2:35" ht="70" x14ac:dyDescent="0.35">
      <c r="B93" s="23">
        <v>20260055</v>
      </c>
      <c r="C93" s="99" t="s">
        <v>990</v>
      </c>
      <c r="D93" s="23" t="s">
        <v>88</v>
      </c>
      <c r="E93" s="23" t="s">
        <v>402</v>
      </c>
      <c r="F93" s="159" t="s">
        <v>143</v>
      </c>
      <c r="G93" s="160" t="s">
        <v>378</v>
      </c>
      <c r="H93" s="161">
        <v>12</v>
      </c>
      <c r="I93" s="161">
        <v>0</v>
      </c>
      <c r="J93" s="127">
        <v>100000000</v>
      </c>
      <c r="K93" s="88" t="s">
        <v>398</v>
      </c>
      <c r="L93" s="159" t="s">
        <v>151</v>
      </c>
      <c r="M93" s="162" t="s">
        <v>401</v>
      </c>
      <c r="N93" s="23" t="s">
        <v>330</v>
      </c>
      <c r="O93" s="150" t="s">
        <v>925</v>
      </c>
      <c r="P93" s="159" t="s">
        <v>161</v>
      </c>
      <c r="Q93" s="53" t="s">
        <v>599</v>
      </c>
      <c r="R93" s="162" t="s">
        <v>331</v>
      </c>
      <c r="S93" s="162" t="str">
        <f>MID(PAA[[#This Row],[Meta Proyecto de Inversión]],1,4)</f>
        <v>No a</v>
      </c>
      <c r="T93" s="162" t="str">
        <f>MID(PAA[[#This Row],[Meta Proyecto de Inversión]],6,1)</f>
        <v>l</v>
      </c>
      <c r="U93" s="163" t="str">
        <f>IFERROR(VLOOKUP(N93,TD!$B$50:$F$54,2,0)," ")</f>
        <v>NA</v>
      </c>
      <c r="V93" s="163" t="str">
        <f>IFERROR(VLOOKUP(N93,TD!$B$50:$F$54,3,0)," ")</f>
        <v>NA</v>
      </c>
      <c r="W93" s="163" t="str">
        <f>IFERROR(VLOOKUP(N93,TD!$B$50:$F$54,4,0)," ")</f>
        <v>NA</v>
      </c>
      <c r="X93" s="162" t="s">
        <v>335</v>
      </c>
      <c r="Y93" s="163" t="str">
        <f>IFERROR(VLOOKUP(X93,TD!$J$51:$K$64,2,0)," ")</f>
        <v>N/A</v>
      </c>
      <c r="Z93" s="164" t="str">
        <f t="shared" si="4"/>
        <v>N/A-N/A</v>
      </c>
      <c r="AA93" s="162" t="s">
        <v>335</v>
      </c>
      <c r="AB93" s="163" t="str">
        <f>IFERROR(VLOOKUP(AA93,TD!$N$51:$O$66,2,0)," ")</f>
        <v>N/A</v>
      </c>
      <c r="AC93" s="164" t="str">
        <f t="shared" si="5"/>
        <v>N/A_N/A</v>
      </c>
      <c r="AD93" s="164" t="str">
        <f t="shared" si="6"/>
        <v>N/A-N/A N/A_N/A</v>
      </c>
      <c r="AE93" s="163" t="str">
        <f t="shared" si="7"/>
        <v>NANANAN/AN/A</v>
      </c>
      <c r="AF93" s="163" t="str">
        <f>IFERROR(VLOOKUP(AD93,TD!$J$66:$K$89,2,0)," ")</f>
        <v>N/A</v>
      </c>
      <c r="AG93" s="118" t="s">
        <v>332</v>
      </c>
      <c r="AH93" s="162" t="s">
        <v>194</v>
      </c>
      <c r="AI93" s="165" t="str">
        <f>CONCATENATE(PAA[[#This Row],[Id Interno]],"-",PAA[[#This Row],[tipo de Contrato (TH talento humano - B/S bienes y/o servicios)]],"-",S93,"-",T93,"-",PAA[[#This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94" spans="2:35" ht="28" x14ac:dyDescent="0.35">
      <c r="B94" s="23">
        <v>20260056</v>
      </c>
      <c r="C94" s="99" t="s">
        <v>596</v>
      </c>
      <c r="D94" s="23" t="s">
        <v>92</v>
      </c>
      <c r="E94" s="23" t="s">
        <v>402</v>
      </c>
      <c r="F94" s="159" t="s">
        <v>138</v>
      </c>
      <c r="G94" s="160" t="s">
        <v>375</v>
      </c>
      <c r="H94" s="161">
        <v>12</v>
      </c>
      <c r="I94" s="161">
        <v>0</v>
      </c>
      <c r="J94" s="127">
        <v>27600000</v>
      </c>
      <c r="K94" s="88" t="s">
        <v>398</v>
      </c>
      <c r="L94" s="159" t="s">
        <v>151</v>
      </c>
      <c r="M94" s="162" t="s">
        <v>401</v>
      </c>
      <c r="N94" s="23" t="s">
        <v>330</v>
      </c>
      <c r="O94" s="150" t="s">
        <v>925</v>
      </c>
      <c r="P94" s="159" t="s">
        <v>161</v>
      </c>
      <c r="Q94" s="53">
        <v>43233205</v>
      </c>
      <c r="R94" s="162" t="s">
        <v>331</v>
      </c>
      <c r="S94" s="162" t="str">
        <f>MID(PAA[[#This Row],[Meta Proyecto de Inversión]],1,4)</f>
        <v>No a</v>
      </c>
      <c r="T94" s="162" t="str">
        <f>MID(PAA[[#This Row],[Meta Proyecto de Inversión]],6,1)</f>
        <v>l</v>
      </c>
      <c r="U94" s="163" t="str">
        <f>IFERROR(VLOOKUP(N94,TD!$B$50:$F$54,2,0)," ")</f>
        <v>NA</v>
      </c>
      <c r="V94" s="163" t="str">
        <f>IFERROR(VLOOKUP(N94,TD!$B$50:$F$54,3,0)," ")</f>
        <v>NA</v>
      </c>
      <c r="W94" s="163" t="str">
        <f>IFERROR(VLOOKUP(N94,TD!$B$50:$F$54,4,0)," ")</f>
        <v>NA</v>
      </c>
      <c r="X94" s="162" t="s">
        <v>335</v>
      </c>
      <c r="Y94" s="163" t="str">
        <f>IFERROR(VLOOKUP(X94,TD!$J$51:$K$64,2,0)," ")</f>
        <v>N/A</v>
      </c>
      <c r="Z94" s="164" t="str">
        <f t="shared" si="4"/>
        <v>N/A-N/A</v>
      </c>
      <c r="AA94" s="162" t="s">
        <v>335</v>
      </c>
      <c r="AB94" s="163" t="str">
        <f>IFERROR(VLOOKUP(AA94,TD!$N$51:$O$66,2,0)," ")</f>
        <v>N/A</v>
      </c>
      <c r="AC94" s="164" t="str">
        <f t="shared" si="5"/>
        <v>N/A_N/A</v>
      </c>
      <c r="AD94" s="164" t="str">
        <f t="shared" si="6"/>
        <v>N/A-N/A N/A_N/A</v>
      </c>
      <c r="AE94" s="163" t="str">
        <f t="shared" si="7"/>
        <v>NANANAN/AN/A</v>
      </c>
      <c r="AF94" s="163" t="str">
        <f>IFERROR(VLOOKUP(AD94,TD!$J$66:$K$89,2,0)," ")</f>
        <v>N/A</v>
      </c>
      <c r="AG94" s="118" t="s">
        <v>332</v>
      </c>
      <c r="AH94" s="162" t="s">
        <v>193</v>
      </c>
      <c r="AI94" s="165" t="str">
        <f>CONCATENATE(PAA[[#This Row],[Id Interno]],"-",PAA[[#This Row],[tipo de Contrato (TH talento humano - B/S bienes y/o servicios)]],"-",S94,"-",T94,"-",PAA[[#This Row],[Objeto de la contratación]])</f>
        <v>20260056-BS-No a-l-Contratar la adquisición de firma digital (token) para la U.A.E. Cuerpo Oficial de Bomberos de Bogotá - TIC</v>
      </c>
    </row>
    <row r="95" spans="2:35" ht="70" x14ac:dyDescent="0.35">
      <c r="B95" s="23">
        <v>20260057</v>
      </c>
      <c r="C95" s="99" t="s">
        <v>825</v>
      </c>
      <c r="D95" s="23" t="s">
        <v>105</v>
      </c>
      <c r="E95" s="23" t="s">
        <v>363</v>
      </c>
      <c r="F95" s="159" t="s">
        <v>145</v>
      </c>
      <c r="G95" s="160" t="s">
        <v>373</v>
      </c>
      <c r="H95" s="161">
        <v>12</v>
      </c>
      <c r="I95" s="161">
        <v>0</v>
      </c>
      <c r="J95" s="127">
        <v>45042216</v>
      </c>
      <c r="K95" s="88" t="s">
        <v>398</v>
      </c>
      <c r="L95" s="159" t="s">
        <v>36</v>
      </c>
      <c r="M95" s="162" t="s">
        <v>480</v>
      </c>
      <c r="N95" s="23" t="s">
        <v>197</v>
      </c>
      <c r="O95" s="150" t="s">
        <v>925</v>
      </c>
      <c r="P95" s="159" t="s">
        <v>348</v>
      </c>
      <c r="Q95" s="53">
        <v>80111600</v>
      </c>
      <c r="R95" s="162" t="s">
        <v>200</v>
      </c>
      <c r="S95" s="162" t="str">
        <f>MID(PAA[[#This Row],[Meta Proyecto de Inversión]],1,4)</f>
        <v>8126</v>
      </c>
      <c r="T95" s="162" t="str">
        <f>MID(PAA[[#This Row],[Meta Proyecto de Inversión]],6,1)</f>
        <v>1</v>
      </c>
      <c r="U95" s="163" t="str">
        <f>IFERROR(VLOOKUP(N95,TD!$B$50:$F$54,2,0)," ")</f>
        <v>O230117</v>
      </c>
      <c r="V95" s="163" t="str">
        <f>IFERROR(VLOOKUP(N95,TD!$B$50:$F$54,3,0)," ")</f>
        <v>4599</v>
      </c>
      <c r="W95" s="163">
        <f>IFERROR(VLOOKUP(N95,TD!$B$50:$F$54,4,0)," ")</f>
        <v>20240207</v>
      </c>
      <c r="X95" s="162" t="s">
        <v>182</v>
      </c>
      <c r="Y95" s="163" t="str">
        <f>IFERROR(VLOOKUP(X95,TD!$J$51:$K$64,2,0)," ")</f>
        <v>Servicios para la planeación y sistemas de gestión y comunicación estratégica</v>
      </c>
      <c r="Z95" s="164" t="str">
        <f t="shared" si="4"/>
        <v>13-Servicios para la planeación y sistemas de gestión y comunicación estratégica</v>
      </c>
      <c r="AA95" s="162" t="s">
        <v>229</v>
      </c>
      <c r="AB95" s="163" t="str">
        <f>IFERROR(VLOOKUP(AA95,TD!$N$51:$O$66,2,0)," ")</f>
        <v>Servicio de asistencia técnica</v>
      </c>
      <c r="AC95" s="164" t="str">
        <f t="shared" si="5"/>
        <v>031_Servicio de asistencia técnica</v>
      </c>
      <c r="AD95" s="164" t="str">
        <f t="shared" si="6"/>
        <v>13-Servicios para la planeación y sistemas de gestión y comunicación estratégica 031_Servicio de asistencia técnica</v>
      </c>
      <c r="AE95" s="163" t="str">
        <f t="shared" si="7"/>
        <v>O23011745992024020713031</v>
      </c>
      <c r="AF95" s="163" t="str">
        <f>IFERROR(VLOOKUP(AD95,TD!$J$66:$K$89,2,0)," ")</f>
        <v>PM/0131/0113/45990310207</v>
      </c>
      <c r="AG95" s="118" t="s">
        <v>385</v>
      </c>
      <c r="AH95" s="162" t="s">
        <v>193</v>
      </c>
      <c r="AI95" s="165" t="str">
        <f>CONCATENATE(PAA[[#This Row],[Id Interno]],"-",PAA[[#This Row],[tipo de Contrato (TH talento humano - B/S bienes y/o servicios)]],"-",S95,"-",T95,"-",PAA[[#This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96" spans="2:35" ht="126" x14ac:dyDescent="0.35">
      <c r="B96" s="23">
        <v>20260058</v>
      </c>
      <c r="C96" s="99" t="s">
        <v>600</v>
      </c>
      <c r="D96" s="23" t="s">
        <v>105</v>
      </c>
      <c r="E96" s="23" t="s">
        <v>363</v>
      </c>
      <c r="F96" s="159" t="s">
        <v>144</v>
      </c>
      <c r="G96" s="160" t="s">
        <v>373</v>
      </c>
      <c r="H96" s="161">
        <v>6</v>
      </c>
      <c r="I96" s="161">
        <v>0</v>
      </c>
      <c r="J96" s="127">
        <v>39000000</v>
      </c>
      <c r="K96" s="88" t="s">
        <v>398</v>
      </c>
      <c r="L96" s="159" t="s">
        <v>36</v>
      </c>
      <c r="M96" s="162" t="s">
        <v>480</v>
      </c>
      <c r="N96" s="23" t="s">
        <v>197</v>
      </c>
      <c r="O96" s="150" t="s">
        <v>925</v>
      </c>
      <c r="P96" s="159" t="s">
        <v>348</v>
      </c>
      <c r="Q96" s="53">
        <v>80111600</v>
      </c>
      <c r="R96" s="162" t="s">
        <v>201</v>
      </c>
      <c r="S96" s="162" t="str">
        <f>MID(PAA[[#This Row],[Meta Proyecto de Inversión]],1,4)</f>
        <v>8126</v>
      </c>
      <c r="T96" s="162" t="str">
        <f>MID(PAA[[#This Row],[Meta Proyecto de Inversión]],6,1)</f>
        <v>2</v>
      </c>
      <c r="U96" s="163" t="str">
        <f>IFERROR(VLOOKUP(N96,TD!$B$50:$F$54,2,0)," ")</f>
        <v>O230117</v>
      </c>
      <c r="V96" s="163" t="str">
        <f>IFERROR(VLOOKUP(N96,TD!$B$50:$F$54,3,0)," ")</f>
        <v>4599</v>
      </c>
      <c r="W96" s="163">
        <f>IFERROR(VLOOKUP(N96,TD!$B$50:$F$54,4,0)," ")</f>
        <v>20240207</v>
      </c>
      <c r="X96" s="162" t="s">
        <v>182</v>
      </c>
      <c r="Y96" s="163" t="str">
        <f>IFERROR(VLOOKUP(X96,TD!$J$51:$K$64,2,0)," ")</f>
        <v>Servicios para la planeación y sistemas de gestión y comunicación estratégica</v>
      </c>
      <c r="Z96" s="164" t="str">
        <f t="shared" si="4"/>
        <v>13-Servicios para la planeación y sistemas de gestión y comunicación estratégica</v>
      </c>
      <c r="AA96" s="162" t="s">
        <v>229</v>
      </c>
      <c r="AB96" s="163" t="str">
        <f>IFERROR(VLOOKUP(AA96,TD!$N$51:$O$66,2,0)," ")</f>
        <v>Servicio de asistencia técnica</v>
      </c>
      <c r="AC96" s="164" t="str">
        <f t="shared" si="5"/>
        <v>031_Servicio de asistencia técnica</v>
      </c>
      <c r="AD96" s="164" t="str">
        <f t="shared" si="6"/>
        <v>13-Servicios para la planeación y sistemas de gestión y comunicación estratégica 031_Servicio de asistencia técnica</v>
      </c>
      <c r="AE96" s="163" t="str">
        <f t="shared" si="7"/>
        <v>O23011745992024020713031</v>
      </c>
      <c r="AF96" s="163" t="str">
        <f>IFERROR(VLOOKUP(AD96,TD!$J$66:$K$89,2,0)," ")</f>
        <v>PM/0131/0113/45990310207</v>
      </c>
      <c r="AG96" s="118" t="s">
        <v>385</v>
      </c>
      <c r="AH96" s="162" t="s">
        <v>193</v>
      </c>
      <c r="AI96" s="165" t="str">
        <f>CONCATENATE(PAA[[#This Row],[Id Interno]],"-",PAA[[#This Row],[tipo de Contrato (TH talento humano - B/S bienes y/o servicios)]],"-",S96,"-",T96,"-",PAA[[#This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97" spans="2:35" ht="70" x14ac:dyDescent="0.35">
      <c r="B97" s="23">
        <v>20260059</v>
      </c>
      <c r="C97" s="99" t="s">
        <v>826</v>
      </c>
      <c r="D97" s="23" t="s">
        <v>105</v>
      </c>
      <c r="E97" s="23" t="s">
        <v>363</v>
      </c>
      <c r="F97" s="159" t="s">
        <v>145</v>
      </c>
      <c r="G97" s="160" t="s">
        <v>373</v>
      </c>
      <c r="H97" s="161">
        <v>12</v>
      </c>
      <c r="I97" s="161">
        <v>0</v>
      </c>
      <c r="J97" s="127">
        <f>64612464-10722672</f>
        <v>53889792</v>
      </c>
      <c r="K97" s="88" t="s">
        <v>398</v>
      </c>
      <c r="L97" s="159" t="s">
        <v>36</v>
      </c>
      <c r="M97" s="162" t="s">
        <v>480</v>
      </c>
      <c r="N97" s="23" t="s">
        <v>197</v>
      </c>
      <c r="O97" s="150" t="s">
        <v>925</v>
      </c>
      <c r="P97" s="159" t="s">
        <v>348</v>
      </c>
      <c r="Q97" s="53">
        <v>80111600</v>
      </c>
      <c r="R97" s="162" t="s">
        <v>200</v>
      </c>
      <c r="S97" s="162" t="str">
        <f>MID(PAA[[#This Row],[Meta Proyecto de Inversión]],1,4)</f>
        <v>8126</v>
      </c>
      <c r="T97" s="162" t="str">
        <f>MID(PAA[[#This Row],[Meta Proyecto de Inversión]],6,1)</f>
        <v>1</v>
      </c>
      <c r="U97" s="163" t="str">
        <f>IFERROR(VLOOKUP(N97,TD!$B$50:$F$54,2,0)," ")</f>
        <v>O230117</v>
      </c>
      <c r="V97" s="163" t="str">
        <f>IFERROR(VLOOKUP(N97,TD!$B$50:$F$54,3,0)," ")</f>
        <v>4599</v>
      </c>
      <c r="W97" s="163">
        <f>IFERROR(VLOOKUP(N97,TD!$B$50:$F$54,4,0)," ")</f>
        <v>20240207</v>
      </c>
      <c r="X97" s="162" t="s">
        <v>182</v>
      </c>
      <c r="Y97" s="163" t="str">
        <f>IFERROR(VLOOKUP(X97,TD!$J$51:$K$64,2,0)," ")</f>
        <v>Servicios para la planeación y sistemas de gestión y comunicación estratégica</v>
      </c>
      <c r="Z97" s="164" t="str">
        <f t="shared" si="4"/>
        <v>13-Servicios para la planeación y sistemas de gestión y comunicación estratégica</v>
      </c>
      <c r="AA97" s="162" t="s">
        <v>229</v>
      </c>
      <c r="AB97" s="163" t="str">
        <f>IFERROR(VLOOKUP(AA97,TD!$N$51:$O$66,2,0)," ")</f>
        <v>Servicio de asistencia técnica</v>
      </c>
      <c r="AC97" s="164" t="str">
        <f t="shared" si="5"/>
        <v>031_Servicio de asistencia técnica</v>
      </c>
      <c r="AD97" s="164" t="str">
        <f t="shared" si="6"/>
        <v>13-Servicios para la planeación y sistemas de gestión y comunicación estratégica 031_Servicio de asistencia técnica</v>
      </c>
      <c r="AE97" s="163" t="str">
        <f t="shared" si="7"/>
        <v>O23011745992024020713031</v>
      </c>
      <c r="AF97" s="163" t="str">
        <f>IFERROR(VLOOKUP(AD97,TD!$J$66:$K$89,2,0)," ")</f>
        <v>PM/0131/0113/45990310207</v>
      </c>
      <c r="AG97" s="118" t="s">
        <v>385</v>
      </c>
      <c r="AH97" s="162" t="s">
        <v>193</v>
      </c>
      <c r="AI97" s="165" t="str">
        <f>CONCATENATE(PAA[[#This Row],[Id Interno]],"-",PAA[[#This Row],[tipo de Contrato (TH talento humano - B/S bienes y/o servicios)]],"-",S97,"-",T97,"-",PAA[[#This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98" spans="2:35" ht="70" x14ac:dyDescent="0.35">
      <c r="B98" s="23">
        <v>20260060</v>
      </c>
      <c r="C98" s="99" t="s">
        <v>827</v>
      </c>
      <c r="D98" s="23" t="s">
        <v>105</v>
      </c>
      <c r="E98" s="23" t="s">
        <v>363</v>
      </c>
      <c r="F98" s="159" t="s">
        <v>144</v>
      </c>
      <c r="G98" s="160" t="s">
        <v>373</v>
      </c>
      <c r="H98" s="161">
        <v>11</v>
      </c>
      <c r="I98" s="161">
        <v>0</v>
      </c>
      <c r="J98" s="127">
        <f>114000000-4000000</f>
        <v>110000000</v>
      </c>
      <c r="K98" s="88" t="s">
        <v>398</v>
      </c>
      <c r="L98" s="159" t="s">
        <v>36</v>
      </c>
      <c r="M98" s="162" t="s">
        <v>480</v>
      </c>
      <c r="N98" s="23" t="s">
        <v>197</v>
      </c>
      <c r="O98" s="150" t="s">
        <v>925</v>
      </c>
      <c r="P98" s="159" t="s">
        <v>348</v>
      </c>
      <c r="Q98" s="53">
        <v>80111600</v>
      </c>
      <c r="R98" s="162" t="s">
        <v>200</v>
      </c>
      <c r="S98" s="162" t="str">
        <f>MID(PAA[[#This Row],[Meta Proyecto de Inversión]],1,4)</f>
        <v>8126</v>
      </c>
      <c r="T98" s="162" t="str">
        <f>MID(PAA[[#This Row],[Meta Proyecto de Inversión]],6,1)</f>
        <v>1</v>
      </c>
      <c r="U98" s="163" t="str">
        <f>IFERROR(VLOOKUP(N98,TD!$B$50:$F$54,2,0)," ")</f>
        <v>O230117</v>
      </c>
      <c r="V98" s="163" t="str">
        <f>IFERROR(VLOOKUP(N98,TD!$B$50:$F$54,3,0)," ")</f>
        <v>4599</v>
      </c>
      <c r="W98" s="163">
        <f>IFERROR(VLOOKUP(N98,TD!$B$50:$F$54,4,0)," ")</f>
        <v>20240207</v>
      </c>
      <c r="X98" s="162" t="s">
        <v>182</v>
      </c>
      <c r="Y98" s="163" t="str">
        <f>IFERROR(VLOOKUP(X98,TD!$J$51:$K$64,2,0)," ")</f>
        <v>Servicios para la planeación y sistemas de gestión y comunicación estratégica</v>
      </c>
      <c r="Z98" s="164" t="str">
        <f t="shared" si="4"/>
        <v>13-Servicios para la planeación y sistemas de gestión y comunicación estratégica</v>
      </c>
      <c r="AA98" s="162" t="s">
        <v>229</v>
      </c>
      <c r="AB98" s="163" t="str">
        <f>IFERROR(VLOOKUP(AA98,TD!$N$51:$O$66,2,0)," ")</f>
        <v>Servicio de asistencia técnica</v>
      </c>
      <c r="AC98" s="164" t="str">
        <f t="shared" si="5"/>
        <v>031_Servicio de asistencia técnica</v>
      </c>
      <c r="AD98" s="164" t="str">
        <f t="shared" si="6"/>
        <v>13-Servicios para la planeación y sistemas de gestión y comunicación estratégica 031_Servicio de asistencia técnica</v>
      </c>
      <c r="AE98" s="163" t="str">
        <f t="shared" si="7"/>
        <v>O23011745992024020713031</v>
      </c>
      <c r="AF98" s="163" t="str">
        <f>IFERROR(VLOOKUP(AD98,TD!$J$66:$K$89,2,0)," ")</f>
        <v>PM/0131/0113/45990310207</v>
      </c>
      <c r="AG98" s="118" t="s">
        <v>385</v>
      </c>
      <c r="AH98" s="162" t="s">
        <v>193</v>
      </c>
      <c r="AI98" s="165" t="str">
        <f>CONCATENATE(PAA[[#This Row],[Id Interno]],"-",PAA[[#This Row],[tipo de Contrato (TH talento humano - B/S bienes y/o servicios)]],"-",S98,"-",T98,"-",PAA[[#This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99" spans="2:35" ht="98" x14ac:dyDescent="0.35">
      <c r="B99" s="23">
        <v>20260061</v>
      </c>
      <c r="C99" s="99" t="s">
        <v>828</v>
      </c>
      <c r="D99" s="23" t="s">
        <v>105</v>
      </c>
      <c r="E99" s="23" t="s">
        <v>363</v>
      </c>
      <c r="F99" s="159" t="s">
        <v>144</v>
      </c>
      <c r="G99" s="160" t="s">
        <v>373</v>
      </c>
      <c r="H99" s="161">
        <v>6</v>
      </c>
      <c r="I99" s="161">
        <v>0</v>
      </c>
      <c r="J99" s="127">
        <v>42000000</v>
      </c>
      <c r="K99" s="88" t="s">
        <v>398</v>
      </c>
      <c r="L99" s="159" t="s">
        <v>36</v>
      </c>
      <c r="M99" s="162" t="s">
        <v>480</v>
      </c>
      <c r="N99" s="23" t="s">
        <v>197</v>
      </c>
      <c r="O99" s="150" t="s">
        <v>925</v>
      </c>
      <c r="P99" s="159" t="s">
        <v>348</v>
      </c>
      <c r="Q99" s="53">
        <v>80111600</v>
      </c>
      <c r="R99" s="162" t="s">
        <v>200</v>
      </c>
      <c r="S99" s="162" t="str">
        <f>MID(PAA[[#This Row],[Meta Proyecto de Inversión]],1,4)</f>
        <v>8126</v>
      </c>
      <c r="T99" s="162" t="str">
        <f>MID(PAA[[#This Row],[Meta Proyecto de Inversión]],6,1)</f>
        <v>1</v>
      </c>
      <c r="U99" s="163" t="str">
        <f>IFERROR(VLOOKUP(N99,TD!$B$50:$F$54,2,0)," ")</f>
        <v>O230117</v>
      </c>
      <c r="V99" s="163" t="str">
        <f>IFERROR(VLOOKUP(N99,TD!$B$50:$F$54,3,0)," ")</f>
        <v>4599</v>
      </c>
      <c r="W99" s="163">
        <f>IFERROR(VLOOKUP(N99,TD!$B$50:$F$54,4,0)," ")</f>
        <v>20240207</v>
      </c>
      <c r="X99" s="162" t="s">
        <v>182</v>
      </c>
      <c r="Y99" s="163" t="str">
        <f>IFERROR(VLOOKUP(X99,TD!$J$51:$K$64,2,0)," ")</f>
        <v>Servicios para la planeación y sistemas de gestión y comunicación estratégica</v>
      </c>
      <c r="Z99" s="164" t="str">
        <f t="shared" si="4"/>
        <v>13-Servicios para la planeación y sistemas de gestión y comunicación estratégica</v>
      </c>
      <c r="AA99" s="162" t="s">
        <v>229</v>
      </c>
      <c r="AB99" s="163" t="str">
        <f>IFERROR(VLOOKUP(AA99,TD!$N$51:$O$66,2,0)," ")</f>
        <v>Servicio de asistencia técnica</v>
      </c>
      <c r="AC99" s="164" t="str">
        <f t="shared" si="5"/>
        <v>031_Servicio de asistencia técnica</v>
      </c>
      <c r="AD99" s="164" t="str">
        <f t="shared" si="6"/>
        <v>13-Servicios para la planeación y sistemas de gestión y comunicación estratégica 031_Servicio de asistencia técnica</v>
      </c>
      <c r="AE99" s="163" t="str">
        <f t="shared" si="7"/>
        <v>O23011745992024020713031</v>
      </c>
      <c r="AF99" s="163" t="str">
        <f>IFERROR(VLOOKUP(AD99,TD!$J$66:$K$89,2,0)," ")</f>
        <v>PM/0131/0113/45990310207</v>
      </c>
      <c r="AG99" s="118" t="s">
        <v>385</v>
      </c>
      <c r="AH99" s="162" t="s">
        <v>193</v>
      </c>
      <c r="AI99" s="165" t="str">
        <f>CONCATENATE(PAA[[#This Row],[Id Interno]],"-",PAA[[#This Row],[tipo de Contrato (TH talento humano - B/S bienes y/o servicios)]],"-",S99,"-",T99,"-",PAA[[#This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00" spans="2:35" ht="84" x14ac:dyDescent="0.35">
      <c r="B100" s="23">
        <v>20260062</v>
      </c>
      <c r="C100" s="99" t="s">
        <v>829</v>
      </c>
      <c r="D100" s="23" t="s">
        <v>105</v>
      </c>
      <c r="E100" s="23" t="s">
        <v>363</v>
      </c>
      <c r="F100" s="159" t="s">
        <v>144</v>
      </c>
      <c r="G100" s="160" t="s">
        <v>373</v>
      </c>
      <c r="H100" s="161">
        <v>12</v>
      </c>
      <c r="I100" s="161">
        <v>0</v>
      </c>
      <c r="J100" s="127">
        <v>96000000</v>
      </c>
      <c r="K100" s="88" t="s">
        <v>398</v>
      </c>
      <c r="L100" s="159" t="s">
        <v>36</v>
      </c>
      <c r="M100" s="162" t="s">
        <v>480</v>
      </c>
      <c r="N100" s="23" t="s">
        <v>197</v>
      </c>
      <c r="O100" s="150" t="s">
        <v>925</v>
      </c>
      <c r="P100" s="159" t="s">
        <v>348</v>
      </c>
      <c r="Q100" s="53">
        <v>80111600</v>
      </c>
      <c r="R100" s="162" t="s">
        <v>200</v>
      </c>
      <c r="S100" s="162" t="str">
        <f>MID(PAA[[#This Row],[Meta Proyecto de Inversión]],1,4)</f>
        <v>8126</v>
      </c>
      <c r="T100" s="162" t="str">
        <f>MID(PAA[[#This Row],[Meta Proyecto de Inversión]],6,1)</f>
        <v>1</v>
      </c>
      <c r="U100" s="163" t="str">
        <f>IFERROR(VLOOKUP(N100,TD!$B$50:$F$54,2,0)," ")</f>
        <v>O230117</v>
      </c>
      <c r="V100" s="163" t="str">
        <f>IFERROR(VLOOKUP(N100,TD!$B$50:$F$54,3,0)," ")</f>
        <v>4599</v>
      </c>
      <c r="W100" s="163">
        <f>IFERROR(VLOOKUP(N100,TD!$B$50:$F$54,4,0)," ")</f>
        <v>20240207</v>
      </c>
      <c r="X100" s="162" t="s">
        <v>182</v>
      </c>
      <c r="Y100" s="163" t="str">
        <f>IFERROR(VLOOKUP(X100,TD!$J$51:$K$64,2,0)," ")</f>
        <v>Servicios para la planeación y sistemas de gestión y comunicación estratégica</v>
      </c>
      <c r="Z100" s="164" t="str">
        <f t="shared" si="4"/>
        <v>13-Servicios para la planeación y sistemas de gestión y comunicación estratégica</v>
      </c>
      <c r="AA100" s="162" t="s">
        <v>229</v>
      </c>
      <c r="AB100" s="163" t="str">
        <f>IFERROR(VLOOKUP(AA100,TD!$N$51:$O$66,2,0)," ")</f>
        <v>Servicio de asistencia técnica</v>
      </c>
      <c r="AC100" s="164" t="str">
        <f t="shared" si="5"/>
        <v>031_Servicio de asistencia técnica</v>
      </c>
      <c r="AD100" s="164" t="str">
        <f t="shared" si="6"/>
        <v>13-Servicios para la planeación y sistemas de gestión y comunicación estratégica 031_Servicio de asistencia técnica</v>
      </c>
      <c r="AE100" s="163" t="str">
        <f t="shared" si="7"/>
        <v>O23011745992024020713031</v>
      </c>
      <c r="AF100" s="163" t="str">
        <f>IFERROR(VLOOKUP(AD100,TD!$J$66:$K$89,2,0)," ")</f>
        <v>PM/0131/0113/45990310207</v>
      </c>
      <c r="AG100" s="118" t="s">
        <v>385</v>
      </c>
      <c r="AH100" s="162" t="s">
        <v>193</v>
      </c>
      <c r="AI100" s="165" t="str">
        <f>CONCATENATE(PAA[[#This Row],[Id Interno]],"-",PAA[[#This Row],[tipo de Contrato (TH talento humano - B/S bienes y/o servicios)]],"-",S100,"-",T100,"-",PAA[[#This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01" spans="2:35" ht="84" x14ac:dyDescent="0.35">
      <c r="B101" s="23">
        <v>20260063</v>
      </c>
      <c r="C101" s="99" t="s">
        <v>830</v>
      </c>
      <c r="D101" s="23" t="s">
        <v>105</v>
      </c>
      <c r="E101" s="23" t="s">
        <v>363</v>
      </c>
      <c r="F101" s="159" t="s">
        <v>144</v>
      </c>
      <c r="G101" s="160" t="s">
        <v>373</v>
      </c>
      <c r="H101" s="161">
        <v>12</v>
      </c>
      <c r="I101" s="161">
        <v>0</v>
      </c>
      <c r="J101" s="127">
        <v>108000000</v>
      </c>
      <c r="K101" s="88" t="s">
        <v>398</v>
      </c>
      <c r="L101" s="159" t="s">
        <v>36</v>
      </c>
      <c r="M101" s="162" t="s">
        <v>480</v>
      </c>
      <c r="N101" s="23" t="s">
        <v>197</v>
      </c>
      <c r="O101" s="150" t="s">
        <v>925</v>
      </c>
      <c r="P101" s="159" t="s">
        <v>348</v>
      </c>
      <c r="Q101" s="53">
        <v>80111600</v>
      </c>
      <c r="R101" s="162" t="s">
        <v>200</v>
      </c>
      <c r="S101" s="162" t="str">
        <f>MID(PAA[[#This Row],[Meta Proyecto de Inversión]],1,4)</f>
        <v>8126</v>
      </c>
      <c r="T101" s="162" t="str">
        <f>MID(PAA[[#This Row],[Meta Proyecto de Inversión]],6,1)</f>
        <v>1</v>
      </c>
      <c r="U101" s="163" t="str">
        <f>IFERROR(VLOOKUP(N101,TD!$B$50:$F$54,2,0)," ")</f>
        <v>O230117</v>
      </c>
      <c r="V101" s="163" t="str">
        <f>IFERROR(VLOOKUP(N101,TD!$B$50:$F$54,3,0)," ")</f>
        <v>4599</v>
      </c>
      <c r="W101" s="163">
        <f>IFERROR(VLOOKUP(N101,TD!$B$50:$F$54,4,0)," ")</f>
        <v>20240207</v>
      </c>
      <c r="X101" s="162" t="s">
        <v>182</v>
      </c>
      <c r="Y101" s="163" t="str">
        <f>IFERROR(VLOOKUP(X101,TD!$J$51:$K$64,2,0)," ")</f>
        <v>Servicios para la planeación y sistemas de gestión y comunicación estratégica</v>
      </c>
      <c r="Z101" s="164" t="str">
        <f t="shared" si="4"/>
        <v>13-Servicios para la planeación y sistemas de gestión y comunicación estratégica</v>
      </c>
      <c r="AA101" s="162" t="s">
        <v>230</v>
      </c>
      <c r="AB101" s="163" t="str">
        <f>IFERROR(VLOOKUP(AA101,TD!$N$51:$O$66,2,0)," ")</f>
        <v>Servicio de Implementación Sistemas de Gestión</v>
      </c>
      <c r="AC101" s="164" t="str">
        <f t="shared" si="5"/>
        <v>023_Servicio de Implementación Sistemas de Gestión</v>
      </c>
      <c r="AD101" s="164" t="str">
        <f t="shared" si="6"/>
        <v>13-Servicios para la planeación y sistemas de gestión y comunicación estratégica 023_Servicio de Implementación Sistemas de Gestión</v>
      </c>
      <c r="AE101" s="163" t="str">
        <f t="shared" si="7"/>
        <v>O23011745992024020713023</v>
      </c>
      <c r="AF101" s="163" t="str">
        <f>IFERROR(VLOOKUP(AD101,TD!$J$66:$K$89,2,0)," ")</f>
        <v>PM/0131/0113/45990230207</v>
      </c>
      <c r="AG101" s="118" t="s">
        <v>385</v>
      </c>
      <c r="AH101" s="162" t="s">
        <v>193</v>
      </c>
      <c r="AI101" s="165" t="str">
        <f>CONCATENATE(PAA[[#This Row],[Id Interno]],"-",PAA[[#This Row],[tipo de Contrato (TH talento humano - B/S bienes y/o servicios)]],"-",S101,"-",T101,"-",PAA[[#This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02" spans="2:35" ht="126" x14ac:dyDescent="0.35">
      <c r="B102" s="23">
        <v>20260064</v>
      </c>
      <c r="C102" s="99" t="s">
        <v>831</v>
      </c>
      <c r="D102" s="23" t="s">
        <v>105</v>
      </c>
      <c r="E102" s="23" t="s">
        <v>363</v>
      </c>
      <c r="F102" s="159" t="s">
        <v>144</v>
      </c>
      <c r="G102" s="160" t="s">
        <v>373</v>
      </c>
      <c r="H102" s="161">
        <v>12</v>
      </c>
      <c r="I102" s="161">
        <v>0</v>
      </c>
      <c r="J102" s="127">
        <v>90000000</v>
      </c>
      <c r="K102" s="88" t="s">
        <v>398</v>
      </c>
      <c r="L102" s="159" t="s">
        <v>36</v>
      </c>
      <c r="M102" s="162" t="s">
        <v>480</v>
      </c>
      <c r="N102" s="23" t="s">
        <v>197</v>
      </c>
      <c r="O102" s="150" t="s">
        <v>925</v>
      </c>
      <c r="P102" s="159" t="s">
        <v>348</v>
      </c>
      <c r="Q102" s="53">
        <v>80111600</v>
      </c>
      <c r="R102" s="162" t="s">
        <v>201</v>
      </c>
      <c r="S102" s="162" t="str">
        <f>MID(PAA[[#This Row],[Meta Proyecto de Inversión]],1,4)</f>
        <v>8126</v>
      </c>
      <c r="T102" s="162" t="str">
        <f>MID(PAA[[#This Row],[Meta Proyecto de Inversión]],6,1)</f>
        <v>2</v>
      </c>
      <c r="U102" s="163" t="str">
        <f>IFERROR(VLOOKUP(N102,TD!$B$50:$F$54,2,0)," ")</f>
        <v>O230117</v>
      </c>
      <c r="V102" s="163" t="str">
        <f>IFERROR(VLOOKUP(N102,TD!$B$50:$F$54,3,0)," ")</f>
        <v>4599</v>
      </c>
      <c r="W102" s="163">
        <f>IFERROR(VLOOKUP(N102,TD!$B$50:$F$54,4,0)," ")</f>
        <v>20240207</v>
      </c>
      <c r="X102" s="162" t="s">
        <v>182</v>
      </c>
      <c r="Y102" s="163" t="str">
        <f>IFERROR(VLOOKUP(X102,TD!$J$51:$K$64,2,0)," ")</f>
        <v>Servicios para la planeación y sistemas de gestión y comunicación estratégica</v>
      </c>
      <c r="Z102" s="164" t="str">
        <f t="shared" si="4"/>
        <v>13-Servicios para la planeación y sistemas de gestión y comunicación estratégica</v>
      </c>
      <c r="AA102" s="162" t="s">
        <v>230</v>
      </c>
      <c r="AB102" s="163" t="str">
        <f>IFERROR(VLOOKUP(AA102,TD!$N$51:$O$66,2,0)," ")</f>
        <v>Servicio de Implementación Sistemas de Gestión</v>
      </c>
      <c r="AC102" s="164" t="str">
        <f t="shared" si="5"/>
        <v>023_Servicio de Implementación Sistemas de Gestión</v>
      </c>
      <c r="AD102" s="164" t="str">
        <f t="shared" si="6"/>
        <v>13-Servicios para la planeación y sistemas de gestión y comunicación estratégica 023_Servicio de Implementación Sistemas de Gestión</v>
      </c>
      <c r="AE102" s="163" t="str">
        <f t="shared" si="7"/>
        <v>O23011745992024020713023</v>
      </c>
      <c r="AF102" s="163" t="str">
        <f>IFERROR(VLOOKUP(AD102,TD!$J$66:$K$89,2,0)," ")</f>
        <v>PM/0131/0113/45990230207</v>
      </c>
      <c r="AG102" s="118" t="s">
        <v>385</v>
      </c>
      <c r="AH102" s="162" t="s">
        <v>193</v>
      </c>
      <c r="AI102" s="165" t="str">
        <f>CONCATENATE(PAA[[#This Row],[Id Interno]],"-",PAA[[#This Row],[tipo de Contrato (TH talento humano - B/S bienes y/o servicios)]],"-",S102,"-",T102,"-",PAA[[#This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03" spans="2:35" ht="70" x14ac:dyDescent="0.35">
      <c r="B103" s="23">
        <v>20260065</v>
      </c>
      <c r="C103" s="99" t="s">
        <v>832</v>
      </c>
      <c r="D103" s="23" t="s">
        <v>105</v>
      </c>
      <c r="E103" s="23" t="s">
        <v>363</v>
      </c>
      <c r="F103" s="159" t="s">
        <v>144</v>
      </c>
      <c r="G103" s="160" t="s">
        <v>373</v>
      </c>
      <c r="H103" s="161">
        <v>8</v>
      </c>
      <c r="I103" s="161">
        <v>0</v>
      </c>
      <c r="J103" s="127">
        <v>33600000</v>
      </c>
      <c r="K103" s="88" t="s">
        <v>398</v>
      </c>
      <c r="L103" s="159" t="s">
        <v>36</v>
      </c>
      <c r="M103" s="162" t="s">
        <v>480</v>
      </c>
      <c r="N103" s="23" t="s">
        <v>197</v>
      </c>
      <c r="O103" s="150" t="s">
        <v>925</v>
      </c>
      <c r="P103" s="159" t="s">
        <v>348</v>
      </c>
      <c r="Q103" s="53">
        <v>80111600</v>
      </c>
      <c r="R103" s="162" t="s">
        <v>200</v>
      </c>
      <c r="S103" s="162" t="str">
        <f>MID(PAA[[#This Row],[Meta Proyecto de Inversión]],1,4)</f>
        <v>8126</v>
      </c>
      <c r="T103" s="162" t="str">
        <f>MID(PAA[[#This Row],[Meta Proyecto de Inversión]],6,1)</f>
        <v>1</v>
      </c>
      <c r="U103" s="163" t="str">
        <f>IFERROR(VLOOKUP(N103,TD!$B$50:$F$54,2,0)," ")</f>
        <v>O230117</v>
      </c>
      <c r="V103" s="163" t="str">
        <f>IFERROR(VLOOKUP(N103,TD!$B$50:$F$54,3,0)," ")</f>
        <v>4599</v>
      </c>
      <c r="W103" s="163">
        <f>IFERROR(VLOOKUP(N103,TD!$B$50:$F$54,4,0)," ")</f>
        <v>20240207</v>
      </c>
      <c r="X103" s="162" t="s">
        <v>182</v>
      </c>
      <c r="Y103" s="163" t="str">
        <f>IFERROR(VLOOKUP(X103,TD!$J$51:$K$64,2,0)," ")</f>
        <v>Servicios para la planeación y sistemas de gestión y comunicación estratégica</v>
      </c>
      <c r="Z103" s="164" t="str">
        <f t="shared" si="4"/>
        <v>13-Servicios para la planeación y sistemas de gestión y comunicación estratégica</v>
      </c>
      <c r="AA103" s="162" t="s">
        <v>229</v>
      </c>
      <c r="AB103" s="163" t="str">
        <f>IFERROR(VLOOKUP(AA103,TD!$N$51:$O$66,2,0)," ")</f>
        <v>Servicio de asistencia técnica</v>
      </c>
      <c r="AC103" s="164" t="str">
        <f t="shared" si="5"/>
        <v>031_Servicio de asistencia técnica</v>
      </c>
      <c r="AD103" s="164" t="str">
        <f t="shared" si="6"/>
        <v>13-Servicios para la planeación y sistemas de gestión y comunicación estratégica 031_Servicio de asistencia técnica</v>
      </c>
      <c r="AE103" s="163" t="str">
        <f t="shared" si="7"/>
        <v>O23011745992024020713031</v>
      </c>
      <c r="AF103" s="163" t="str">
        <f>IFERROR(VLOOKUP(AD103,TD!$J$66:$K$89,2,0)," ")</f>
        <v>PM/0131/0113/45990310207</v>
      </c>
      <c r="AG103" s="118" t="s">
        <v>385</v>
      </c>
      <c r="AH103" s="162" t="s">
        <v>193</v>
      </c>
      <c r="AI103" s="165" t="str">
        <f>CONCATENATE(PAA[[#This Row],[Id Interno]],"-",PAA[[#This Row],[tipo de Contrato (TH talento humano - B/S bienes y/o servicios)]],"-",S103,"-",T103,"-",PAA[[#This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04" spans="2:35" ht="84" x14ac:dyDescent="0.35">
      <c r="B104" s="23">
        <v>20260066</v>
      </c>
      <c r="C104" s="99" t="s">
        <v>833</v>
      </c>
      <c r="D104" s="23" t="s">
        <v>105</v>
      </c>
      <c r="E104" s="23" t="s">
        <v>363</v>
      </c>
      <c r="F104" s="159" t="s">
        <v>144</v>
      </c>
      <c r="G104" s="160" t="s">
        <v>373</v>
      </c>
      <c r="H104" s="161">
        <v>11</v>
      </c>
      <c r="I104" s="161">
        <v>0</v>
      </c>
      <c r="J104" s="127">
        <v>99000000</v>
      </c>
      <c r="K104" s="88" t="s">
        <v>398</v>
      </c>
      <c r="L104" s="159" t="s">
        <v>36</v>
      </c>
      <c r="M104" s="162" t="s">
        <v>480</v>
      </c>
      <c r="N104" s="23" t="s">
        <v>197</v>
      </c>
      <c r="O104" s="150" t="s">
        <v>925</v>
      </c>
      <c r="P104" s="159" t="s">
        <v>348</v>
      </c>
      <c r="Q104" s="53">
        <v>80111600</v>
      </c>
      <c r="R104" s="162" t="s">
        <v>200</v>
      </c>
      <c r="S104" s="162" t="str">
        <f>MID(PAA[[#This Row],[Meta Proyecto de Inversión]],1,4)</f>
        <v>8126</v>
      </c>
      <c r="T104" s="162" t="str">
        <f>MID(PAA[[#This Row],[Meta Proyecto de Inversión]],6,1)</f>
        <v>1</v>
      </c>
      <c r="U104" s="163" t="str">
        <f>IFERROR(VLOOKUP(N104,TD!$B$50:$F$54,2,0)," ")</f>
        <v>O230117</v>
      </c>
      <c r="V104" s="163" t="str">
        <f>IFERROR(VLOOKUP(N104,TD!$B$50:$F$54,3,0)," ")</f>
        <v>4599</v>
      </c>
      <c r="W104" s="163">
        <f>IFERROR(VLOOKUP(N104,TD!$B$50:$F$54,4,0)," ")</f>
        <v>20240207</v>
      </c>
      <c r="X104" s="162" t="s">
        <v>182</v>
      </c>
      <c r="Y104" s="163" t="str">
        <f>IFERROR(VLOOKUP(X104,TD!$J$51:$K$64,2,0)," ")</f>
        <v>Servicios para la planeación y sistemas de gestión y comunicación estratégica</v>
      </c>
      <c r="Z104" s="164" t="str">
        <f t="shared" si="4"/>
        <v>13-Servicios para la planeación y sistemas de gestión y comunicación estratégica</v>
      </c>
      <c r="AA104" s="162" t="s">
        <v>229</v>
      </c>
      <c r="AB104" s="163" t="str">
        <f>IFERROR(VLOOKUP(AA104,TD!$N$51:$O$66,2,0)," ")</f>
        <v>Servicio de asistencia técnica</v>
      </c>
      <c r="AC104" s="164" t="str">
        <f t="shared" si="5"/>
        <v>031_Servicio de asistencia técnica</v>
      </c>
      <c r="AD104" s="164" t="str">
        <f t="shared" si="6"/>
        <v>13-Servicios para la planeación y sistemas de gestión y comunicación estratégica 031_Servicio de asistencia técnica</v>
      </c>
      <c r="AE104" s="163" t="str">
        <f t="shared" si="7"/>
        <v>O23011745992024020713031</v>
      </c>
      <c r="AF104" s="163" t="str">
        <f>IFERROR(VLOOKUP(AD104,TD!$J$66:$K$89,2,0)," ")</f>
        <v>PM/0131/0113/45990310207</v>
      </c>
      <c r="AG104" s="118" t="s">
        <v>385</v>
      </c>
      <c r="AH104" s="162" t="s">
        <v>193</v>
      </c>
      <c r="AI104" s="165" t="str">
        <f>CONCATENATE(PAA[[#This Row],[Id Interno]],"-",PAA[[#This Row],[tipo de Contrato (TH talento humano - B/S bienes y/o servicios)]],"-",S104,"-",T104,"-",PAA[[#This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05" spans="2:35" ht="70" x14ac:dyDescent="0.35">
      <c r="B105" s="23">
        <v>20260067</v>
      </c>
      <c r="C105" s="99" t="s">
        <v>834</v>
      </c>
      <c r="D105" s="23" t="s">
        <v>105</v>
      </c>
      <c r="E105" s="23" t="s">
        <v>363</v>
      </c>
      <c r="F105" s="159" t="s">
        <v>144</v>
      </c>
      <c r="G105" s="160" t="s">
        <v>373</v>
      </c>
      <c r="H105" s="161">
        <v>11</v>
      </c>
      <c r="I105" s="161">
        <v>0</v>
      </c>
      <c r="J105" s="127">
        <v>88000000</v>
      </c>
      <c r="K105" s="88" t="s">
        <v>398</v>
      </c>
      <c r="L105" s="159" t="s">
        <v>36</v>
      </c>
      <c r="M105" s="162" t="s">
        <v>480</v>
      </c>
      <c r="N105" s="23" t="s">
        <v>197</v>
      </c>
      <c r="O105" s="150" t="s">
        <v>925</v>
      </c>
      <c r="P105" s="159" t="s">
        <v>348</v>
      </c>
      <c r="Q105" s="53">
        <v>80111600</v>
      </c>
      <c r="R105" s="162" t="s">
        <v>200</v>
      </c>
      <c r="S105" s="162" t="str">
        <f>MID(PAA[[#This Row],[Meta Proyecto de Inversión]],1,4)</f>
        <v>8126</v>
      </c>
      <c r="T105" s="162" t="str">
        <f>MID(PAA[[#This Row],[Meta Proyecto de Inversión]],6,1)</f>
        <v>1</v>
      </c>
      <c r="U105" s="163" t="str">
        <f>IFERROR(VLOOKUP(N105,TD!$B$50:$F$54,2,0)," ")</f>
        <v>O230117</v>
      </c>
      <c r="V105" s="163" t="str">
        <f>IFERROR(VLOOKUP(N105,TD!$B$50:$F$54,3,0)," ")</f>
        <v>4599</v>
      </c>
      <c r="W105" s="163">
        <f>IFERROR(VLOOKUP(N105,TD!$B$50:$F$54,4,0)," ")</f>
        <v>20240207</v>
      </c>
      <c r="X105" s="162" t="s">
        <v>182</v>
      </c>
      <c r="Y105" s="163" t="str">
        <f>IFERROR(VLOOKUP(X105,TD!$J$51:$K$64,2,0)," ")</f>
        <v>Servicios para la planeación y sistemas de gestión y comunicación estratégica</v>
      </c>
      <c r="Z105" s="164" t="str">
        <f t="shared" si="4"/>
        <v>13-Servicios para la planeación y sistemas de gestión y comunicación estratégica</v>
      </c>
      <c r="AA105" s="162" t="s">
        <v>229</v>
      </c>
      <c r="AB105" s="163" t="str">
        <f>IFERROR(VLOOKUP(AA105,TD!$N$51:$O$66,2,0)," ")</f>
        <v>Servicio de asistencia técnica</v>
      </c>
      <c r="AC105" s="164" t="str">
        <f t="shared" si="5"/>
        <v>031_Servicio de asistencia técnica</v>
      </c>
      <c r="AD105" s="164" t="str">
        <f t="shared" si="6"/>
        <v>13-Servicios para la planeación y sistemas de gestión y comunicación estratégica 031_Servicio de asistencia técnica</v>
      </c>
      <c r="AE105" s="163" t="str">
        <f t="shared" si="7"/>
        <v>O23011745992024020713031</v>
      </c>
      <c r="AF105" s="163" t="str">
        <f>IFERROR(VLOOKUP(AD105,TD!$J$66:$K$89,2,0)," ")</f>
        <v>PM/0131/0113/45990310207</v>
      </c>
      <c r="AG105" s="118" t="s">
        <v>385</v>
      </c>
      <c r="AH105" s="162" t="s">
        <v>193</v>
      </c>
      <c r="AI105" s="165" t="str">
        <f>CONCATENATE(PAA[[#This Row],[Id Interno]],"-",PAA[[#This Row],[tipo de Contrato (TH talento humano - B/S bienes y/o servicios)]],"-",S105,"-",T105,"-",PAA[[#This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06" spans="2:35" ht="70" x14ac:dyDescent="0.35">
      <c r="B106" s="23">
        <v>20260068</v>
      </c>
      <c r="C106" s="99" t="s">
        <v>835</v>
      </c>
      <c r="D106" s="23" t="s">
        <v>105</v>
      </c>
      <c r="E106" s="23" t="s">
        <v>363</v>
      </c>
      <c r="F106" s="159" t="s">
        <v>144</v>
      </c>
      <c r="G106" s="160" t="s">
        <v>373</v>
      </c>
      <c r="H106" s="161">
        <v>6</v>
      </c>
      <c r="I106" s="161">
        <v>0</v>
      </c>
      <c r="J106" s="127">
        <v>42000000</v>
      </c>
      <c r="K106" s="88" t="s">
        <v>398</v>
      </c>
      <c r="L106" s="159" t="s">
        <v>36</v>
      </c>
      <c r="M106" s="162" t="s">
        <v>480</v>
      </c>
      <c r="N106" s="23" t="s">
        <v>197</v>
      </c>
      <c r="O106" s="150" t="s">
        <v>925</v>
      </c>
      <c r="P106" s="159" t="s">
        <v>348</v>
      </c>
      <c r="Q106" s="53">
        <v>80111600</v>
      </c>
      <c r="R106" s="162" t="s">
        <v>200</v>
      </c>
      <c r="S106" s="162" t="str">
        <f>MID(PAA[[#This Row],[Meta Proyecto de Inversión]],1,4)</f>
        <v>8126</v>
      </c>
      <c r="T106" s="162" t="str">
        <f>MID(PAA[[#This Row],[Meta Proyecto de Inversión]],6,1)</f>
        <v>1</v>
      </c>
      <c r="U106" s="163" t="str">
        <f>IFERROR(VLOOKUP(N106,TD!$B$50:$F$54,2,0)," ")</f>
        <v>O230117</v>
      </c>
      <c r="V106" s="163" t="str">
        <f>IFERROR(VLOOKUP(N106,TD!$B$50:$F$54,3,0)," ")</f>
        <v>4599</v>
      </c>
      <c r="W106" s="163">
        <f>IFERROR(VLOOKUP(N106,TD!$B$50:$F$54,4,0)," ")</f>
        <v>20240207</v>
      </c>
      <c r="X106" s="162" t="s">
        <v>182</v>
      </c>
      <c r="Y106" s="163" t="str">
        <f>IFERROR(VLOOKUP(X106,TD!$J$51:$K$64,2,0)," ")</f>
        <v>Servicios para la planeación y sistemas de gestión y comunicación estratégica</v>
      </c>
      <c r="Z106" s="164" t="str">
        <f t="shared" si="4"/>
        <v>13-Servicios para la planeación y sistemas de gestión y comunicación estratégica</v>
      </c>
      <c r="AA106" s="162" t="s">
        <v>229</v>
      </c>
      <c r="AB106" s="163" t="str">
        <f>IFERROR(VLOOKUP(AA106,TD!$N$51:$O$66,2,0)," ")</f>
        <v>Servicio de asistencia técnica</v>
      </c>
      <c r="AC106" s="164" t="str">
        <f t="shared" si="5"/>
        <v>031_Servicio de asistencia técnica</v>
      </c>
      <c r="AD106" s="164" t="str">
        <f t="shared" si="6"/>
        <v>13-Servicios para la planeación y sistemas de gestión y comunicación estratégica 031_Servicio de asistencia técnica</v>
      </c>
      <c r="AE106" s="163" t="str">
        <f t="shared" si="7"/>
        <v>O23011745992024020713031</v>
      </c>
      <c r="AF106" s="163" t="str">
        <f>IFERROR(VLOOKUP(AD106,TD!$J$66:$K$89,2,0)," ")</f>
        <v>PM/0131/0113/45990310207</v>
      </c>
      <c r="AG106" s="118" t="s">
        <v>385</v>
      </c>
      <c r="AH106" s="162" t="s">
        <v>193</v>
      </c>
      <c r="AI106" s="165" t="str">
        <f>CONCATENATE(PAA[[#This Row],[Id Interno]],"-",PAA[[#This Row],[tipo de Contrato (TH talento humano - B/S bienes y/o servicios)]],"-",S106,"-",T106,"-",PAA[[#This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07" spans="2:35" ht="70" x14ac:dyDescent="0.35">
      <c r="B107" s="23">
        <v>20260069</v>
      </c>
      <c r="C107" s="99" t="s">
        <v>836</v>
      </c>
      <c r="D107" s="23" t="s">
        <v>105</v>
      </c>
      <c r="E107" s="23" t="s">
        <v>363</v>
      </c>
      <c r="F107" s="159" t="s">
        <v>144</v>
      </c>
      <c r="G107" s="160" t="s">
        <v>373</v>
      </c>
      <c r="H107" s="161">
        <v>12</v>
      </c>
      <c r="I107" s="161">
        <v>0</v>
      </c>
      <c r="J107" s="127">
        <v>126000000</v>
      </c>
      <c r="K107" s="88" t="s">
        <v>398</v>
      </c>
      <c r="L107" s="159" t="s">
        <v>36</v>
      </c>
      <c r="M107" s="162" t="s">
        <v>480</v>
      </c>
      <c r="N107" s="23" t="s">
        <v>197</v>
      </c>
      <c r="O107" s="150" t="s">
        <v>925</v>
      </c>
      <c r="P107" s="159" t="s">
        <v>348</v>
      </c>
      <c r="Q107" s="53">
        <v>80111600</v>
      </c>
      <c r="R107" s="162" t="s">
        <v>200</v>
      </c>
      <c r="S107" s="162" t="str">
        <f>MID(PAA[[#This Row],[Meta Proyecto de Inversión]],1,4)</f>
        <v>8126</v>
      </c>
      <c r="T107" s="162" t="str">
        <f>MID(PAA[[#This Row],[Meta Proyecto de Inversión]],6,1)</f>
        <v>1</v>
      </c>
      <c r="U107" s="163" t="str">
        <f>IFERROR(VLOOKUP(N107,TD!$B$50:$F$54,2,0)," ")</f>
        <v>O230117</v>
      </c>
      <c r="V107" s="163" t="str">
        <f>IFERROR(VLOOKUP(N107,TD!$B$50:$F$54,3,0)," ")</f>
        <v>4599</v>
      </c>
      <c r="W107" s="163">
        <f>IFERROR(VLOOKUP(N107,TD!$B$50:$F$54,4,0)," ")</f>
        <v>20240207</v>
      </c>
      <c r="X107" s="162" t="s">
        <v>182</v>
      </c>
      <c r="Y107" s="163" t="str">
        <f>IFERROR(VLOOKUP(X107,TD!$J$51:$K$64,2,0)," ")</f>
        <v>Servicios para la planeación y sistemas de gestión y comunicación estratégica</v>
      </c>
      <c r="Z107" s="164" t="str">
        <f t="shared" si="4"/>
        <v>13-Servicios para la planeación y sistemas de gestión y comunicación estratégica</v>
      </c>
      <c r="AA107" s="162" t="s">
        <v>229</v>
      </c>
      <c r="AB107" s="163" t="str">
        <f>IFERROR(VLOOKUP(AA107,TD!$N$51:$O$66,2,0)," ")</f>
        <v>Servicio de asistencia técnica</v>
      </c>
      <c r="AC107" s="164" t="str">
        <f t="shared" si="5"/>
        <v>031_Servicio de asistencia técnica</v>
      </c>
      <c r="AD107" s="164" t="str">
        <f t="shared" si="6"/>
        <v>13-Servicios para la planeación y sistemas de gestión y comunicación estratégica 031_Servicio de asistencia técnica</v>
      </c>
      <c r="AE107" s="163" t="str">
        <f t="shared" si="7"/>
        <v>O23011745992024020713031</v>
      </c>
      <c r="AF107" s="163" t="str">
        <f>IFERROR(VLOOKUP(AD107,TD!$J$66:$K$89,2,0)," ")</f>
        <v>PM/0131/0113/45990310207</v>
      </c>
      <c r="AG107" s="118" t="s">
        <v>385</v>
      </c>
      <c r="AH107" s="162" t="s">
        <v>193</v>
      </c>
      <c r="AI107" s="165" t="str">
        <f>CONCATENATE(PAA[[#This Row],[Id Interno]],"-",PAA[[#This Row],[tipo de Contrato (TH talento humano - B/S bienes y/o servicios)]],"-",S107,"-",T107,"-",PAA[[#This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08" spans="2:35" ht="84" x14ac:dyDescent="0.35">
      <c r="B108" s="23">
        <v>20260070</v>
      </c>
      <c r="C108" s="99" t="s">
        <v>837</v>
      </c>
      <c r="D108" s="23" t="s">
        <v>105</v>
      </c>
      <c r="E108" s="23" t="s">
        <v>363</v>
      </c>
      <c r="F108" s="159" t="s">
        <v>144</v>
      </c>
      <c r="G108" s="160" t="s">
        <v>373</v>
      </c>
      <c r="H108" s="161">
        <v>6</v>
      </c>
      <c r="I108" s="161">
        <v>0</v>
      </c>
      <c r="J108" s="127">
        <v>42000000</v>
      </c>
      <c r="K108" s="88" t="s">
        <v>398</v>
      </c>
      <c r="L108" s="159" t="s">
        <v>36</v>
      </c>
      <c r="M108" s="162" t="s">
        <v>480</v>
      </c>
      <c r="N108" s="23" t="s">
        <v>197</v>
      </c>
      <c r="O108" s="150" t="s">
        <v>925</v>
      </c>
      <c r="P108" s="159" t="s">
        <v>348</v>
      </c>
      <c r="Q108" s="53">
        <v>80111600</v>
      </c>
      <c r="R108" s="162" t="s">
        <v>200</v>
      </c>
      <c r="S108" s="162" t="str">
        <f>MID(PAA[[#This Row],[Meta Proyecto de Inversión]],1,4)</f>
        <v>8126</v>
      </c>
      <c r="T108" s="162" t="str">
        <f>MID(PAA[[#This Row],[Meta Proyecto de Inversión]],6,1)</f>
        <v>1</v>
      </c>
      <c r="U108" s="163" t="str">
        <f>IFERROR(VLOOKUP(N108,TD!$B$50:$F$54,2,0)," ")</f>
        <v>O230117</v>
      </c>
      <c r="V108" s="163" t="str">
        <f>IFERROR(VLOOKUP(N108,TD!$B$50:$F$54,3,0)," ")</f>
        <v>4599</v>
      </c>
      <c r="W108" s="163">
        <f>IFERROR(VLOOKUP(N108,TD!$B$50:$F$54,4,0)," ")</f>
        <v>20240207</v>
      </c>
      <c r="X108" s="162" t="s">
        <v>182</v>
      </c>
      <c r="Y108" s="163" t="str">
        <f>IFERROR(VLOOKUP(X108,TD!$J$51:$K$64,2,0)," ")</f>
        <v>Servicios para la planeación y sistemas de gestión y comunicación estratégica</v>
      </c>
      <c r="Z108" s="164" t="str">
        <f t="shared" si="4"/>
        <v>13-Servicios para la planeación y sistemas de gestión y comunicación estratégica</v>
      </c>
      <c r="AA108" s="162" t="s">
        <v>229</v>
      </c>
      <c r="AB108" s="163" t="str">
        <f>IFERROR(VLOOKUP(AA108,TD!$N$51:$O$66,2,0)," ")</f>
        <v>Servicio de asistencia técnica</v>
      </c>
      <c r="AC108" s="164" t="str">
        <f t="shared" si="5"/>
        <v>031_Servicio de asistencia técnica</v>
      </c>
      <c r="AD108" s="164" t="str">
        <f t="shared" si="6"/>
        <v>13-Servicios para la planeación y sistemas de gestión y comunicación estratégica 031_Servicio de asistencia técnica</v>
      </c>
      <c r="AE108" s="163" t="str">
        <f t="shared" si="7"/>
        <v>O23011745992024020713031</v>
      </c>
      <c r="AF108" s="163" t="str">
        <f>IFERROR(VLOOKUP(AD108,TD!$J$66:$K$89,2,0)," ")</f>
        <v>PM/0131/0113/45990310207</v>
      </c>
      <c r="AG108" s="118" t="s">
        <v>385</v>
      </c>
      <c r="AH108" s="162" t="s">
        <v>193</v>
      </c>
      <c r="AI108" s="165" t="str">
        <f>CONCATENATE(PAA[[#This Row],[Id Interno]],"-",PAA[[#This Row],[tipo de Contrato (TH talento humano - B/S bienes y/o servicios)]],"-",S108,"-",T108,"-",PAA[[#This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09" spans="2:35" ht="84" x14ac:dyDescent="0.35">
      <c r="B109" s="23">
        <v>20260071</v>
      </c>
      <c r="C109" s="99" t="s">
        <v>838</v>
      </c>
      <c r="D109" s="23" t="s">
        <v>105</v>
      </c>
      <c r="E109" s="23" t="s">
        <v>363</v>
      </c>
      <c r="F109" s="159" t="s">
        <v>144</v>
      </c>
      <c r="G109" s="160" t="s">
        <v>373</v>
      </c>
      <c r="H109" s="161">
        <v>11</v>
      </c>
      <c r="I109" s="161">
        <v>0</v>
      </c>
      <c r="J109" s="127">
        <f>102000000-800000</f>
        <v>101200000</v>
      </c>
      <c r="K109" s="88" t="s">
        <v>398</v>
      </c>
      <c r="L109" s="159" t="s">
        <v>36</v>
      </c>
      <c r="M109" s="162" t="s">
        <v>480</v>
      </c>
      <c r="N109" s="23" t="s">
        <v>197</v>
      </c>
      <c r="O109" s="150" t="s">
        <v>925</v>
      </c>
      <c r="P109" s="159" t="s">
        <v>348</v>
      </c>
      <c r="Q109" s="53">
        <v>80111600</v>
      </c>
      <c r="R109" s="162" t="s">
        <v>202</v>
      </c>
      <c r="S109" s="162" t="str">
        <f>MID(PAA[[#This Row],[Meta Proyecto de Inversión]],1,4)</f>
        <v>8126</v>
      </c>
      <c r="T109" s="162" t="str">
        <f>MID(PAA[[#This Row],[Meta Proyecto de Inversión]],6,1)</f>
        <v>3</v>
      </c>
      <c r="U109" s="163" t="str">
        <f>IFERROR(VLOOKUP(N109,TD!$B$50:$F$54,2,0)," ")</f>
        <v>O230117</v>
      </c>
      <c r="V109" s="163" t="str">
        <f>IFERROR(VLOOKUP(N109,TD!$B$50:$F$54,3,0)," ")</f>
        <v>4599</v>
      </c>
      <c r="W109" s="163">
        <f>IFERROR(VLOOKUP(N109,TD!$B$50:$F$54,4,0)," ")</f>
        <v>20240207</v>
      </c>
      <c r="X109" s="162" t="s">
        <v>182</v>
      </c>
      <c r="Y109" s="163" t="str">
        <f>IFERROR(VLOOKUP(X109,TD!$J$51:$K$64,2,0)," ")</f>
        <v>Servicios para la planeación y sistemas de gestión y comunicación estratégica</v>
      </c>
      <c r="Z109" s="164" t="str">
        <f t="shared" si="4"/>
        <v>13-Servicios para la planeación y sistemas de gestión y comunicación estratégica</v>
      </c>
      <c r="AA109" s="162" t="s">
        <v>229</v>
      </c>
      <c r="AB109" s="163" t="str">
        <f>IFERROR(VLOOKUP(AA109,TD!$N$51:$O$66,2,0)," ")</f>
        <v>Servicio de asistencia técnica</v>
      </c>
      <c r="AC109" s="164" t="str">
        <f t="shared" si="5"/>
        <v>031_Servicio de asistencia técnica</v>
      </c>
      <c r="AD109" s="164" t="str">
        <f t="shared" si="6"/>
        <v>13-Servicios para la planeación y sistemas de gestión y comunicación estratégica 031_Servicio de asistencia técnica</v>
      </c>
      <c r="AE109" s="163" t="str">
        <f t="shared" si="7"/>
        <v>O23011745992024020713031</v>
      </c>
      <c r="AF109" s="163" t="str">
        <f>IFERROR(VLOOKUP(AD109,TD!$J$66:$K$89,2,0)," ")</f>
        <v>PM/0131/0113/45990310207</v>
      </c>
      <c r="AG109" s="118" t="s">
        <v>385</v>
      </c>
      <c r="AH109" s="162" t="s">
        <v>193</v>
      </c>
      <c r="AI109" s="165" t="str">
        <f>CONCATENATE(PAA[[#This Row],[Id Interno]],"-",PAA[[#This Row],[tipo de Contrato (TH talento humano - B/S bienes y/o servicios)]],"-",S109,"-",T109,"-",PAA[[#This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10" spans="2:35" ht="70" x14ac:dyDescent="0.35">
      <c r="B110" s="23">
        <v>20260072</v>
      </c>
      <c r="C110" s="99" t="s">
        <v>909</v>
      </c>
      <c r="D110" s="23" t="s">
        <v>105</v>
      </c>
      <c r="E110" s="23" t="s">
        <v>363</v>
      </c>
      <c r="F110" s="159" t="s">
        <v>144</v>
      </c>
      <c r="G110" s="160" t="s">
        <v>373</v>
      </c>
      <c r="H110" s="161">
        <v>8</v>
      </c>
      <c r="I110" s="161">
        <v>0</v>
      </c>
      <c r="J110" s="127">
        <f>53889792-1889792</f>
        <v>52000000</v>
      </c>
      <c r="K110" s="88" t="s">
        <v>398</v>
      </c>
      <c r="L110" s="159" t="s">
        <v>36</v>
      </c>
      <c r="M110" s="162" t="s">
        <v>480</v>
      </c>
      <c r="N110" s="23" t="s">
        <v>197</v>
      </c>
      <c r="O110" s="150" t="s">
        <v>925</v>
      </c>
      <c r="P110" s="159" t="s">
        <v>348</v>
      </c>
      <c r="Q110" s="53">
        <v>80111600</v>
      </c>
      <c r="R110" s="162" t="s">
        <v>200</v>
      </c>
      <c r="S110" s="162" t="str">
        <f>MID(PAA[[#This Row],[Meta Proyecto de Inversión]],1,4)</f>
        <v>8126</v>
      </c>
      <c r="T110" s="162" t="str">
        <f>MID(PAA[[#This Row],[Meta Proyecto de Inversión]],6,1)</f>
        <v>1</v>
      </c>
      <c r="U110" s="163" t="str">
        <f>IFERROR(VLOOKUP(N110,TD!$B$50:$F$54,2,0)," ")</f>
        <v>O230117</v>
      </c>
      <c r="V110" s="163" t="str">
        <f>IFERROR(VLOOKUP(N110,TD!$B$50:$F$54,3,0)," ")</f>
        <v>4599</v>
      </c>
      <c r="W110" s="163">
        <f>IFERROR(VLOOKUP(N110,TD!$B$50:$F$54,4,0)," ")</f>
        <v>20240207</v>
      </c>
      <c r="X110" s="162" t="s">
        <v>182</v>
      </c>
      <c r="Y110" s="163" t="str">
        <f>IFERROR(VLOOKUP(X110,TD!$J$51:$K$64,2,0)," ")</f>
        <v>Servicios para la planeación y sistemas de gestión y comunicación estratégica</v>
      </c>
      <c r="Z110" s="164" t="str">
        <f t="shared" si="4"/>
        <v>13-Servicios para la planeación y sistemas de gestión y comunicación estratégica</v>
      </c>
      <c r="AA110" s="162" t="s">
        <v>229</v>
      </c>
      <c r="AB110" s="163" t="str">
        <f>IFERROR(VLOOKUP(AA110,TD!$N$51:$O$66,2,0)," ")</f>
        <v>Servicio de asistencia técnica</v>
      </c>
      <c r="AC110" s="164" t="str">
        <f t="shared" si="5"/>
        <v>031_Servicio de asistencia técnica</v>
      </c>
      <c r="AD110" s="164" t="str">
        <f t="shared" si="6"/>
        <v>13-Servicios para la planeación y sistemas de gestión y comunicación estratégica 031_Servicio de asistencia técnica</v>
      </c>
      <c r="AE110" s="163" t="str">
        <f t="shared" si="7"/>
        <v>O23011745992024020713031</v>
      </c>
      <c r="AF110" s="163" t="str">
        <f>IFERROR(VLOOKUP(AD110,TD!$J$66:$K$89,2,0)," ")</f>
        <v>PM/0131/0113/45990310207</v>
      </c>
      <c r="AG110" s="118" t="s">
        <v>385</v>
      </c>
      <c r="AH110" s="162" t="s">
        <v>193</v>
      </c>
      <c r="AI110" s="165" t="str">
        <f>CONCATENATE(PAA[[#This Row],[Id Interno]],"-",PAA[[#This Row],[tipo de Contrato (TH talento humano - B/S bienes y/o servicios)]],"-",S110,"-",T110,"-",PAA[[#This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11" spans="2:35" ht="56" x14ac:dyDescent="0.35">
      <c r="B111" s="23">
        <v>20260073</v>
      </c>
      <c r="C111" s="99" t="s">
        <v>839</v>
      </c>
      <c r="D111" s="23" t="s">
        <v>105</v>
      </c>
      <c r="E111" s="23" t="s">
        <v>363</v>
      </c>
      <c r="F111" s="159" t="s">
        <v>144</v>
      </c>
      <c r="G111" s="160" t="s">
        <v>373</v>
      </c>
      <c r="H111" s="161">
        <v>6</v>
      </c>
      <c r="I111" s="161">
        <v>0</v>
      </c>
      <c r="J111" s="127">
        <v>39000000</v>
      </c>
      <c r="K111" s="88" t="s">
        <v>398</v>
      </c>
      <c r="L111" s="159" t="s">
        <v>36</v>
      </c>
      <c r="M111" s="162" t="s">
        <v>480</v>
      </c>
      <c r="N111" s="23" t="s">
        <v>197</v>
      </c>
      <c r="O111" s="150" t="s">
        <v>925</v>
      </c>
      <c r="P111" s="159" t="s">
        <v>348</v>
      </c>
      <c r="Q111" s="53">
        <v>80111600</v>
      </c>
      <c r="R111" s="162" t="s">
        <v>200</v>
      </c>
      <c r="S111" s="162" t="str">
        <f>MID(PAA[[#This Row],[Meta Proyecto de Inversión]],1,4)</f>
        <v>8126</v>
      </c>
      <c r="T111" s="162" t="str">
        <f>MID(PAA[[#This Row],[Meta Proyecto de Inversión]],6,1)</f>
        <v>1</v>
      </c>
      <c r="U111" s="163" t="str">
        <f>IFERROR(VLOOKUP(N111,TD!$B$50:$F$54,2,0)," ")</f>
        <v>O230117</v>
      </c>
      <c r="V111" s="163" t="str">
        <f>IFERROR(VLOOKUP(N111,TD!$B$50:$F$54,3,0)," ")</f>
        <v>4599</v>
      </c>
      <c r="W111" s="163">
        <f>IFERROR(VLOOKUP(N111,TD!$B$50:$F$54,4,0)," ")</f>
        <v>20240207</v>
      </c>
      <c r="X111" s="162" t="s">
        <v>182</v>
      </c>
      <c r="Y111" s="163" t="str">
        <f>IFERROR(VLOOKUP(X111,TD!$J$51:$K$64,2,0)," ")</f>
        <v>Servicios para la planeación y sistemas de gestión y comunicación estratégica</v>
      </c>
      <c r="Z111" s="164" t="str">
        <f t="shared" si="4"/>
        <v>13-Servicios para la planeación y sistemas de gestión y comunicación estratégica</v>
      </c>
      <c r="AA111" s="162" t="s">
        <v>229</v>
      </c>
      <c r="AB111" s="163" t="str">
        <f>IFERROR(VLOOKUP(AA111,TD!$N$51:$O$66,2,0)," ")</f>
        <v>Servicio de asistencia técnica</v>
      </c>
      <c r="AC111" s="164" t="str">
        <f t="shared" si="5"/>
        <v>031_Servicio de asistencia técnica</v>
      </c>
      <c r="AD111" s="164" t="str">
        <f t="shared" si="6"/>
        <v>13-Servicios para la planeación y sistemas de gestión y comunicación estratégica 031_Servicio de asistencia técnica</v>
      </c>
      <c r="AE111" s="163" t="str">
        <f t="shared" si="7"/>
        <v>O23011745992024020713031</v>
      </c>
      <c r="AF111" s="163" t="str">
        <f>IFERROR(VLOOKUP(AD111,TD!$J$66:$K$89,2,0)," ")</f>
        <v>PM/0131/0113/45990310207</v>
      </c>
      <c r="AG111" s="118" t="s">
        <v>385</v>
      </c>
      <c r="AH111" s="162" t="s">
        <v>193</v>
      </c>
      <c r="AI111" s="165" t="str">
        <f>CONCATENATE(PAA[[#This Row],[Id Interno]],"-",PAA[[#This Row],[tipo de Contrato (TH talento humano - B/S bienes y/o servicios)]],"-",S111,"-",T111,"-",PAA[[#This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12" spans="2:35" ht="126" x14ac:dyDescent="0.35">
      <c r="B112" s="23">
        <v>20260074</v>
      </c>
      <c r="C112" s="99" t="s">
        <v>840</v>
      </c>
      <c r="D112" s="23" t="s">
        <v>105</v>
      </c>
      <c r="E112" s="23" t="s">
        <v>363</v>
      </c>
      <c r="F112" s="159" t="s">
        <v>144</v>
      </c>
      <c r="G112" s="160" t="s">
        <v>373</v>
      </c>
      <c r="H112" s="161">
        <v>6</v>
      </c>
      <c r="I112" s="161">
        <v>0</v>
      </c>
      <c r="J112" s="127">
        <f>60000000</f>
        <v>60000000</v>
      </c>
      <c r="K112" s="88" t="s">
        <v>398</v>
      </c>
      <c r="L112" s="159" t="s">
        <v>36</v>
      </c>
      <c r="M112" s="162" t="s">
        <v>480</v>
      </c>
      <c r="N112" s="23" t="s">
        <v>197</v>
      </c>
      <c r="O112" s="150" t="s">
        <v>925</v>
      </c>
      <c r="P112" s="159" t="s">
        <v>348</v>
      </c>
      <c r="Q112" s="53">
        <v>80111600</v>
      </c>
      <c r="R112" s="162" t="s">
        <v>201</v>
      </c>
      <c r="S112" s="162" t="str">
        <f>MID(PAA[[#This Row],[Meta Proyecto de Inversión]],1,4)</f>
        <v>8126</v>
      </c>
      <c r="T112" s="162" t="str">
        <f>MID(PAA[[#This Row],[Meta Proyecto de Inversión]],6,1)</f>
        <v>2</v>
      </c>
      <c r="U112" s="163" t="str">
        <f>IFERROR(VLOOKUP(N112,TD!$B$50:$F$54,2,0)," ")</f>
        <v>O230117</v>
      </c>
      <c r="V112" s="163" t="str">
        <f>IFERROR(VLOOKUP(N112,TD!$B$50:$F$54,3,0)," ")</f>
        <v>4599</v>
      </c>
      <c r="W112" s="163">
        <f>IFERROR(VLOOKUP(N112,TD!$B$50:$F$54,4,0)," ")</f>
        <v>20240207</v>
      </c>
      <c r="X112" s="162" t="s">
        <v>182</v>
      </c>
      <c r="Y112" s="163" t="str">
        <f>IFERROR(VLOOKUP(X112,TD!$J$51:$K$64,2,0)," ")</f>
        <v>Servicios para la planeación y sistemas de gestión y comunicación estratégica</v>
      </c>
      <c r="Z112" s="164" t="str">
        <f t="shared" si="4"/>
        <v>13-Servicios para la planeación y sistemas de gestión y comunicación estratégica</v>
      </c>
      <c r="AA112" s="162" t="s">
        <v>230</v>
      </c>
      <c r="AB112" s="163" t="str">
        <f>IFERROR(VLOOKUP(AA112,TD!$N$51:$O$66,2,0)," ")</f>
        <v>Servicio de Implementación Sistemas de Gestión</v>
      </c>
      <c r="AC112" s="164" t="str">
        <f t="shared" si="5"/>
        <v>023_Servicio de Implementación Sistemas de Gestión</v>
      </c>
      <c r="AD112" s="164" t="str">
        <f t="shared" si="6"/>
        <v>13-Servicios para la planeación y sistemas de gestión y comunicación estratégica 023_Servicio de Implementación Sistemas de Gestión</v>
      </c>
      <c r="AE112" s="163" t="str">
        <f t="shared" si="7"/>
        <v>O23011745992024020713023</v>
      </c>
      <c r="AF112" s="163" t="str">
        <f>IFERROR(VLOOKUP(AD112,TD!$J$66:$K$89,2,0)," ")</f>
        <v>PM/0131/0113/45990230207</v>
      </c>
      <c r="AG112" s="118" t="s">
        <v>385</v>
      </c>
      <c r="AH112" s="162" t="s">
        <v>193</v>
      </c>
      <c r="AI112" s="165" t="str">
        <f>CONCATENATE(PAA[[#This Row],[Id Interno]],"-",PAA[[#This Row],[tipo de Contrato (TH talento humano - B/S bienes y/o servicios)]],"-",S112,"-",T112,"-",PAA[[#This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13" spans="2:35" ht="126" x14ac:dyDescent="0.35">
      <c r="B113" s="23">
        <v>20260075</v>
      </c>
      <c r="C113" s="99" t="s">
        <v>841</v>
      </c>
      <c r="D113" s="23" t="s">
        <v>105</v>
      </c>
      <c r="E113" s="23" t="s">
        <v>363</v>
      </c>
      <c r="F113" s="159" t="s">
        <v>144</v>
      </c>
      <c r="G113" s="160" t="s">
        <v>373</v>
      </c>
      <c r="H113" s="161">
        <v>6</v>
      </c>
      <c r="I113" s="161">
        <v>0</v>
      </c>
      <c r="J113" s="127">
        <v>40200000</v>
      </c>
      <c r="K113" s="88" t="s">
        <v>398</v>
      </c>
      <c r="L113" s="159" t="s">
        <v>36</v>
      </c>
      <c r="M113" s="162" t="s">
        <v>480</v>
      </c>
      <c r="N113" s="23" t="s">
        <v>197</v>
      </c>
      <c r="O113" s="150" t="s">
        <v>925</v>
      </c>
      <c r="P113" s="159" t="s">
        <v>348</v>
      </c>
      <c r="Q113" s="53">
        <v>80111600</v>
      </c>
      <c r="R113" s="162" t="s">
        <v>201</v>
      </c>
      <c r="S113" s="162" t="str">
        <f>MID(PAA[[#This Row],[Meta Proyecto de Inversión]],1,4)</f>
        <v>8126</v>
      </c>
      <c r="T113" s="162" t="str">
        <f>MID(PAA[[#This Row],[Meta Proyecto de Inversión]],6,1)</f>
        <v>2</v>
      </c>
      <c r="U113" s="163" t="str">
        <f>IFERROR(VLOOKUP(N113,TD!$B$50:$F$54,2,0)," ")</f>
        <v>O230117</v>
      </c>
      <c r="V113" s="163" t="str">
        <f>IFERROR(VLOOKUP(N113,TD!$B$50:$F$54,3,0)," ")</f>
        <v>4599</v>
      </c>
      <c r="W113" s="163">
        <f>IFERROR(VLOOKUP(N113,TD!$B$50:$F$54,4,0)," ")</f>
        <v>20240207</v>
      </c>
      <c r="X113" s="162" t="s">
        <v>182</v>
      </c>
      <c r="Y113" s="163" t="str">
        <f>IFERROR(VLOOKUP(X113,TD!$J$51:$K$64,2,0)," ")</f>
        <v>Servicios para la planeación y sistemas de gestión y comunicación estratégica</v>
      </c>
      <c r="Z113" s="164" t="str">
        <f t="shared" si="4"/>
        <v>13-Servicios para la planeación y sistemas de gestión y comunicación estratégica</v>
      </c>
      <c r="AA113" s="162" t="s">
        <v>230</v>
      </c>
      <c r="AB113" s="163" t="str">
        <f>IFERROR(VLOOKUP(AA113,TD!$N$51:$O$66,2,0)," ")</f>
        <v>Servicio de Implementación Sistemas de Gestión</v>
      </c>
      <c r="AC113" s="164" t="str">
        <f t="shared" si="5"/>
        <v>023_Servicio de Implementación Sistemas de Gestión</v>
      </c>
      <c r="AD113" s="164" t="str">
        <f t="shared" si="6"/>
        <v>13-Servicios para la planeación y sistemas de gestión y comunicación estratégica 023_Servicio de Implementación Sistemas de Gestión</v>
      </c>
      <c r="AE113" s="163" t="str">
        <f t="shared" si="7"/>
        <v>O23011745992024020713023</v>
      </c>
      <c r="AF113" s="163" t="str">
        <f>IFERROR(VLOOKUP(AD113,TD!$J$66:$K$89,2,0)," ")</f>
        <v>PM/0131/0113/45990230207</v>
      </c>
      <c r="AG113" s="118" t="s">
        <v>385</v>
      </c>
      <c r="AH113" s="162" t="s">
        <v>193</v>
      </c>
      <c r="AI113" s="165" t="str">
        <f>CONCATENATE(PAA[[#This Row],[Id Interno]],"-",PAA[[#This Row],[tipo de Contrato (TH talento humano - B/S bienes y/o servicios)]],"-",S113,"-",T113,"-",PAA[[#This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14" spans="2:35" ht="56" x14ac:dyDescent="0.35">
      <c r="B114" s="23">
        <v>20260076</v>
      </c>
      <c r="C114" s="99" t="s">
        <v>842</v>
      </c>
      <c r="D114" s="23" t="s">
        <v>105</v>
      </c>
      <c r="E114" s="23" t="s">
        <v>363</v>
      </c>
      <c r="F114" s="159" t="s">
        <v>144</v>
      </c>
      <c r="G114" s="160" t="s">
        <v>373</v>
      </c>
      <c r="H114" s="161">
        <v>6</v>
      </c>
      <c r="I114" s="161">
        <v>0</v>
      </c>
      <c r="J114" s="127">
        <v>39000000</v>
      </c>
      <c r="K114" s="88" t="s">
        <v>398</v>
      </c>
      <c r="L114" s="159" t="s">
        <v>36</v>
      </c>
      <c r="M114" s="162" t="s">
        <v>480</v>
      </c>
      <c r="N114" s="23" t="s">
        <v>197</v>
      </c>
      <c r="O114" s="150" t="s">
        <v>925</v>
      </c>
      <c r="P114" s="159" t="s">
        <v>348</v>
      </c>
      <c r="Q114" s="53">
        <v>80111600</v>
      </c>
      <c r="R114" s="162" t="s">
        <v>200</v>
      </c>
      <c r="S114" s="162" t="str">
        <f>MID(PAA[[#This Row],[Meta Proyecto de Inversión]],1,4)</f>
        <v>8126</v>
      </c>
      <c r="T114" s="162" t="str">
        <f>MID(PAA[[#This Row],[Meta Proyecto de Inversión]],6,1)</f>
        <v>1</v>
      </c>
      <c r="U114" s="163" t="str">
        <f>IFERROR(VLOOKUP(N114,TD!$B$50:$F$54,2,0)," ")</f>
        <v>O230117</v>
      </c>
      <c r="V114" s="163" t="str">
        <f>IFERROR(VLOOKUP(N114,TD!$B$50:$F$54,3,0)," ")</f>
        <v>4599</v>
      </c>
      <c r="W114" s="163">
        <f>IFERROR(VLOOKUP(N114,TD!$B$50:$F$54,4,0)," ")</f>
        <v>20240207</v>
      </c>
      <c r="X114" s="162" t="s">
        <v>182</v>
      </c>
      <c r="Y114" s="163" t="str">
        <f>IFERROR(VLOOKUP(X114,TD!$J$51:$K$64,2,0)," ")</f>
        <v>Servicios para la planeación y sistemas de gestión y comunicación estratégica</v>
      </c>
      <c r="Z114" s="164" t="str">
        <f t="shared" si="4"/>
        <v>13-Servicios para la planeación y sistemas de gestión y comunicación estratégica</v>
      </c>
      <c r="AA114" s="162" t="s">
        <v>229</v>
      </c>
      <c r="AB114" s="163" t="str">
        <f>IFERROR(VLOOKUP(AA114,TD!$N$51:$O$66,2,0)," ")</f>
        <v>Servicio de asistencia técnica</v>
      </c>
      <c r="AC114" s="164" t="str">
        <f t="shared" si="5"/>
        <v>031_Servicio de asistencia técnica</v>
      </c>
      <c r="AD114" s="164" t="str">
        <f t="shared" si="6"/>
        <v>13-Servicios para la planeación y sistemas de gestión y comunicación estratégica 031_Servicio de asistencia técnica</v>
      </c>
      <c r="AE114" s="163" t="str">
        <f t="shared" si="7"/>
        <v>O23011745992024020713031</v>
      </c>
      <c r="AF114" s="163" t="str">
        <f>IFERROR(VLOOKUP(AD114,TD!$J$66:$K$89,2,0)," ")</f>
        <v>PM/0131/0113/45990310207</v>
      </c>
      <c r="AG114" s="118" t="s">
        <v>385</v>
      </c>
      <c r="AH114" s="162" t="s">
        <v>193</v>
      </c>
      <c r="AI114" s="165" t="str">
        <f>CONCATENATE(PAA[[#This Row],[Id Interno]],"-",PAA[[#This Row],[tipo de Contrato (TH talento humano - B/S bienes y/o servicios)]],"-",S114,"-",T114,"-",PAA[[#This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15" spans="2:35" ht="84" x14ac:dyDescent="0.35">
      <c r="B115" s="23">
        <v>20260077</v>
      </c>
      <c r="C115" s="99" t="s">
        <v>843</v>
      </c>
      <c r="D115" s="23" t="s">
        <v>105</v>
      </c>
      <c r="E115" s="23" t="s">
        <v>363</v>
      </c>
      <c r="F115" s="159" t="s">
        <v>145</v>
      </c>
      <c r="G115" s="160" t="s">
        <v>373</v>
      </c>
      <c r="H115" s="161">
        <v>8</v>
      </c>
      <c r="I115" s="161">
        <v>0</v>
      </c>
      <c r="J115" s="127">
        <v>35926528</v>
      </c>
      <c r="K115" s="88" t="s">
        <v>398</v>
      </c>
      <c r="L115" s="159" t="s">
        <v>36</v>
      </c>
      <c r="M115" s="162" t="s">
        <v>480</v>
      </c>
      <c r="N115" s="23" t="s">
        <v>197</v>
      </c>
      <c r="O115" s="150" t="s">
        <v>925</v>
      </c>
      <c r="P115" s="159" t="s">
        <v>348</v>
      </c>
      <c r="Q115" s="53">
        <v>80111600</v>
      </c>
      <c r="R115" s="162" t="s">
        <v>200</v>
      </c>
      <c r="S115" s="162" t="str">
        <f>MID(PAA[[#This Row],[Meta Proyecto de Inversión]],1,4)</f>
        <v>8126</v>
      </c>
      <c r="T115" s="162" t="str">
        <f>MID(PAA[[#This Row],[Meta Proyecto de Inversión]],6,1)</f>
        <v>1</v>
      </c>
      <c r="U115" s="163" t="str">
        <f>IFERROR(VLOOKUP(N115,TD!$B$50:$F$54,2,0)," ")</f>
        <v>O230117</v>
      </c>
      <c r="V115" s="163" t="str">
        <f>IFERROR(VLOOKUP(N115,TD!$B$50:$F$54,3,0)," ")</f>
        <v>4599</v>
      </c>
      <c r="W115" s="163">
        <f>IFERROR(VLOOKUP(N115,TD!$B$50:$F$54,4,0)," ")</f>
        <v>20240207</v>
      </c>
      <c r="X115" s="162" t="s">
        <v>182</v>
      </c>
      <c r="Y115" s="163" t="str">
        <f>IFERROR(VLOOKUP(X115,TD!$J$51:$K$64,2,0)," ")</f>
        <v>Servicios para la planeación y sistemas de gestión y comunicación estratégica</v>
      </c>
      <c r="Z115" s="164" t="str">
        <f t="shared" si="4"/>
        <v>13-Servicios para la planeación y sistemas de gestión y comunicación estratégica</v>
      </c>
      <c r="AA115" s="162" t="s">
        <v>230</v>
      </c>
      <c r="AB115" s="163" t="str">
        <f>IFERROR(VLOOKUP(AA115,TD!$N$51:$O$66,2,0)," ")</f>
        <v>Servicio de Implementación Sistemas de Gestión</v>
      </c>
      <c r="AC115" s="164" t="str">
        <f t="shared" si="5"/>
        <v>023_Servicio de Implementación Sistemas de Gestión</v>
      </c>
      <c r="AD115" s="164" t="str">
        <f t="shared" si="6"/>
        <v>13-Servicios para la planeación y sistemas de gestión y comunicación estratégica 023_Servicio de Implementación Sistemas de Gestión</v>
      </c>
      <c r="AE115" s="163" t="str">
        <f t="shared" si="7"/>
        <v>O23011745992024020713023</v>
      </c>
      <c r="AF115" s="163" t="str">
        <f>IFERROR(VLOOKUP(AD115,TD!$J$66:$K$89,2,0)," ")</f>
        <v>PM/0131/0113/45990230207</v>
      </c>
      <c r="AG115" s="118" t="s">
        <v>385</v>
      </c>
      <c r="AH115" s="162" t="s">
        <v>193</v>
      </c>
      <c r="AI115" s="165" t="str">
        <f>CONCATENATE(PAA[[#This Row],[Id Interno]],"-",PAA[[#This Row],[tipo de Contrato (TH talento humano - B/S bienes y/o servicios)]],"-",S115,"-",T115,"-",PAA[[#This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16" spans="2:35" ht="70" x14ac:dyDescent="0.35">
      <c r="B116" s="23">
        <v>20260078</v>
      </c>
      <c r="C116" s="99" t="s">
        <v>879</v>
      </c>
      <c r="D116" s="23" t="s">
        <v>105</v>
      </c>
      <c r="E116" s="23" t="s">
        <v>363</v>
      </c>
      <c r="F116" s="159" t="s">
        <v>144</v>
      </c>
      <c r="G116" s="160" t="s">
        <v>373</v>
      </c>
      <c r="H116" s="161">
        <v>8</v>
      </c>
      <c r="I116" s="161">
        <v>0</v>
      </c>
      <c r="J116" s="127">
        <f>56000000</f>
        <v>56000000</v>
      </c>
      <c r="K116" s="88" t="s">
        <v>398</v>
      </c>
      <c r="L116" s="159" t="s">
        <v>36</v>
      </c>
      <c r="M116" s="162" t="s">
        <v>480</v>
      </c>
      <c r="N116" s="23" t="s">
        <v>197</v>
      </c>
      <c r="O116" s="150" t="s">
        <v>925</v>
      </c>
      <c r="P116" s="159" t="s">
        <v>348</v>
      </c>
      <c r="Q116" s="53">
        <v>80111600</v>
      </c>
      <c r="R116" s="162" t="s">
        <v>200</v>
      </c>
      <c r="S116" s="162" t="str">
        <f>MID(PAA[[#This Row],[Meta Proyecto de Inversión]],1,4)</f>
        <v>8126</v>
      </c>
      <c r="T116" s="162" t="str">
        <f>MID(PAA[[#This Row],[Meta Proyecto de Inversión]],6,1)</f>
        <v>1</v>
      </c>
      <c r="U116" s="163" t="str">
        <f>IFERROR(VLOOKUP(N116,TD!$B$50:$F$54,2,0)," ")</f>
        <v>O230117</v>
      </c>
      <c r="V116" s="163" t="str">
        <f>IFERROR(VLOOKUP(N116,TD!$B$50:$F$54,3,0)," ")</f>
        <v>4599</v>
      </c>
      <c r="W116" s="163">
        <f>IFERROR(VLOOKUP(N116,TD!$B$50:$F$54,4,0)," ")</f>
        <v>20240207</v>
      </c>
      <c r="X116" s="162" t="s">
        <v>182</v>
      </c>
      <c r="Y116" s="163" t="str">
        <f>IFERROR(VLOOKUP(X116,TD!$J$51:$K$64,2,0)," ")</f>
        <v>Servicios para la planeación y sistemas de gestión y comunicación estratégica</v>
      </c>
      <c r="Z116" s="164" t="str">
        <f t="shared" si="4"/>
        <v>13-Servicios para la planeación y sistemas de gestión y comunicación estratégica</v>
      </c>
      <c r="AA116" s="162" t="s">
        <v>229</v>
      </c>
      <c r="AB116" s="163" t="str">
        <f>IFERROR(VLOOKUP(AA116,TD!$N$51:$O$66,2,0)," ")</f>
        <v>Servicio de asistencia técnica</v>
      </c>
      <c r="AC116" s="164" t="str">
        <f t="shared" si="5"/>
        <v>031_Servicio de asistencia técnica</v>
      </c>
      <c r="AD116" s="164" t="str">
        <f t="shared" si="6"/>
        <v>13-Servicios para la planeación y sistemas de gestión y comunicación estratégica 031_Servicio de asistencia técnica</v>
      </c>
      <c r="AE116" s="163" t="str">
        <f t="shared" si="7"/>
        <v>O23011745992024020713031</v>
      </c>
      <c r="AF116" s="163" t="str">
        <f>IFERROR(VLOOKUP(AD116,TD!$J$66:$K$89,2,0)," ")</f>
        <v>PM/0131/0113/45990310207</v>
      </c>
      <c r="AG116" s="118" t="s">
        <v>385</v>
      </c>
      <c r="AH116" s="162" t="s">
        <v>193</v>
      </c>
      <c r="AI116" s="165" t="str">
        <f>CONCATENATE(PAA[[#This Row],[Id Interno]],"-",PAA[[#This Row],[tipo de Contrato (TH talento humano - B/S bienes y/o servicios)]],"-",S116,"-",T116,"-",PAA[[#This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17" spans="2:35" ht="56" x14ac:dyDescent="0.35">
      <c r="B117" s="23">
        <v>20260079</v>
      </c>
      <c r="C117" s="99" t="s">
        <v>887</v>
      </c>
      <c r="D117" s="23" t="s">
        <v>105</v>
      </c>
      <c r="E117" s="23" t="s">
        <v>363</v>
      </c>
      <c r="F117" s="159" t="s">
        <v>145</v>
      </c>
      <c r="G117" s="160" t="s">
        <v>373</v>
      </c>
      <c r="H117" s="161">
        <v>7</v>
      </c>
      <c r="I117" s="161">
        <v>0</v>
      </c>
      <c r="J117" s="127">
        <v>49000000</v>
      </c>
      <c r="K117" s="88" t="s">
        <v>398</v>
      </c>
      <c r="L117" s="159" t="s">
        <v>36</v>
      </c>
      <c r="M117" s="162" t="s">
        <v>480</v>
      </c>
      <c r="N117" s="23" t="s">
        <v>197</v>
      </c>
      <c r="O117" s="150" t="s">
        <v>925</v>
      </c>
      <c r="P117" s="159" t="s">
        <v>348</v>
      </c>
      <c r="Q117" s="53">
        <v>80111600</v>
      </c>
      <c r="R117" s="162" t="s">
        <v>200</v>
      </c>
      <c r="S117" s="162" t="str">
        <f>MID(PAA[[#This Row],[Meta Proyecto de Inversión]],1,4)</f>
        <v>8126</v>
      </c>
      <c r="T117" s="162" t="str">
        <f>MID(PAA[[#This Row],[Meta Proyecto de Inversión]],6,1)</f>
        <v>1</v>
      </c>
      <c r="U117" s="163" t="str">
        <f>IFERROR(VLOOKUP(N117,TD!$B$50:$F$54,2,0)," ")</f>
        <v>O230117</v>
      </c>
      <c r="V117" s="163" t="str">
        <f>IFERROR(VLOOKUP(N117,TD!$B$50:$F$54,3,0)," ")</f>
        <v>4599</v>
      </c>
      <c r="W117" s="163">
        <f>IFERROR(VLOOKUP(N117,TD!$B$50:$F$54,4,0)," ")</f>
        <v>20240207</v>
      </c>
      <c r="X117" s="162" t="s">
        <v>182</v>
      </c>
      <c r="Y117" s="163" t="str">
        <f>IFERROR(VLOOKUP(X117,TD!$J$51:$K$64,2,0)," ")</f>
        <v>Servicios para la planeación y sistemas de gestión y comunicación estratégica</v>
      </c>
      <c r="Z117" s="164" t="str">
        <f t="shared" si="4"/>
        <v>13-Servicios para la planeación y sistemas de gestión y comunicación estratégica</v>
      </c>
      <c r="AA117" s="162" t="s">
        <v>229</v>
      </c>
      <c r="AB117" s="163" t="str">
        <f>IFERROR(VLOOKUP(AA117,TD!$N$51:$O$66,2,0)," ")</f>
        <v>Servicio de asistencia técnica</v>
      </c>
      <c r="AC117" s="164" t="str">
        <f t="shared" si="5"/>
        <v>031_Servicio de asistencia técnica</v>
      </c>
      <c r="AD117" s="164" t="str">
        <f t="shared" si="6"/>
        <v>13-Servicios para la planeación y sistemas de gestión y comunicación estratégica 031_Servicio de asistencia técnica</v>
      </c>
      <c r="AE117" s="163" t="str">
        <f t="shared" si="7"/>
        <v>O23011745992024020713031</v>
      </c>
      <c r="AF117" s="163" t="str">
        <f>IFERROR(VLOOKUP(AD117,TD!$J$66:$K$89,2,0)," ")</f>
        <v>PM/0131/0113/45990310207</v>
      </c>
      <c r="AG117" s="118" t="s">
        <v>385</v>
      </c>
      <c r="AH117" s="162" t="s">
        <v>194</v>
      </c>
      <c r="AI117" s="165" t="str">
        <f>CONCATENATE(PAA[[#This Row],[Id Interno]],"-",PAA[[#This Row],[tipo de Contrato (TH talento humano - B/S bienes y/o servicios)]],"-",S117,"-",T117,"-",PAA[[#This Row],[Objeto de la contratación]])</f>
        <v>20260079-TH-8126-1-Prestar servicios profesionales para apoyar al Jefe de la Oficina de Planeación en asuntos estratégicos de la gestión administrativa</v>
      </c>
    </row>
    <row r="118" spans="2:35" ht="56" x14ac:dyDescent="0.35">
      <c r="B118" s="23">
        <v>20260080</v>
      </c>
      <c r="C118" s="99" t="s">
        <v>885</v>
      </c>
      <c r="D118" s="23" t="s">
        <v>105</v>
      </c>
      <c r="E118" s="23" t="s">
        <v>363</v>
      </c>
      <c r="F118" s="159" t="s">
        <v>144</v>
      </c>
      <c r="G118" s="160" t="s">
        <v>373</v>
      </c>
      <c r="H118" s="161">
        <v>7</v>
      </c>
      <c r="I118" s="161">
        <v>0</v>
      </c>
      <c r="J118" s="127">
        <v>49000000</v>
      </c>
      <c r="K118" s="88" t="s">
        <v>398</v>
      </c>
      <c r="L118" s="159" t="s">
        <v>36</v>
      </c>
      <c r="M118" s="162" t="s">
        <v>480</v>
      </c>
      <c r="N118" s="23" t="s">
        <v>197</v>
      </c>
      <c r="O118" s="150" t="s">
        <v>925</v>
      </c>
      <c r="P118" s="159" t="s">
        <v>348</v>
      </c>
      <c r="Q118" s="53">
        <v>80111600</v>
      </c>
      <c r="R118" s="162" t="s">
        <v>200</v>
      </c>
      <c r="S118" s="162" t="str">
        <f>MID(PAA[[#This Row],[Meta Proyecto de Inversión]],1,4)</f>
        <v>8126</v>
      </c>
      <c r="T118" s="162" t="str">
        <f>MID(PAA[[#This Row],[Meta Proyecto de Inversión]],6,1)</f>
        <v>1</v>
      </c>
      <c r="U118" s="163" t="str">
        <f>IFERROR(VLOOKUP(N118,TD!$B$50:$F$54,2,0)," ")</f>
        <v>O230117</v>
      </c>
      <c r="V118" s="163" t="str">
        <f>IFERROR(VLOOKUP(N118,TD!$B$50:$F$54,3,0)," ")</f>
        <v>4599</v>
      </c>
      <c r="W118" s="163">
        <f>IFERROR(VLOOKUP(N118,TD!$B$50:$F$54,4,0)," ")</f>
        <v>20240207</v>
      </c>
      <c r="X118" s="162" t="s">
        <v>182</v>
      </c>
      <c r="Y118" s="163" t="str">
        <f>IFERROR(VLOOKUP(X118,TD!$J$51:$K$64,2,0)," ")</f>
        <v>Servicios para la planeación y sistemas de gestión y comunicación estratégica</v>
      </c>
      <c r="Z118" s="164" t="str">
        <f t="shared" si="4"/>
        <v>13-Servicios para la planeación y sistemas de gestión y comunicación estratégica</v>
      </c>
      <c r="AA118" s="162" t="s">
        <v>229</v>
      </c>
      <c r="AB118" s="163" t="str">
        <f>IFERROR(VLOOKUP(AA118,TD!$N$51:$O$66,2,0)," ")</f>
        <v>Servicio de asistencia técnica</v>
      </c>
      <c r="AC118" s="164" t="str">
        <f t="shared" si="5"/>
        <v>031_Servicio de asistencia técnica</v>
      </c>
      <c r="AD118" s="164" t="str">
        <f t="shared" si="6"/>
        <v>13-Servicios para la planeación y sistemas de gestión y comunicación estratégica 031_Servicio de asistencia técnica</v>
      </c>
      <c r="AE118" s="163" t="str">
        <f t="shared" si="7"/>
        <v>O23011745992024020713031</v>
      </c>
      <c r="AF118" s="163" t="str">
        <f>IFERROR(VLOOKUP(AD118,TD!$J$66:$K$89,2,0)," ")</f>
        <v>PM/0131/0113/45990310207</v>
      </c>
      <c r="AG118" s="118" t="s">
        <v>385</v>
      </c>
      <c r="AH118" s="162" t="s">
        <v>193</v>
      </c>
      <c r="AI118" s="165" t="str">
        <f>CONCATENATE(PAA[[#This Row],[Id Interno]],"-",PAA[[#This Row],[tipo de Contrato (TH talento humano - B/S bienes y/o servicios)]],"-",S118,"-",T118,"-",PAA[[#This Row],[Objeto de la contratación]])</f>
        <v>20260080-TH-8126-1-Prestar servicios profesionales a la Oficina Asesora de Planeación en los asuntos concernientes que se le asignen para la implementación del Modelo Integrado de Planeación y Gestión MIPG.</v>
      </c>
    </row>
    <row r="119" spans="2:35" ht="56" x14ac:dyDescent="0.35">
      <c r="B119" s="23">
        <v>20260081</v>
      </c>
      <c r="C119" s="99" t="s">
        <v>601</v>
      </c>
      <c r="D119" s="23" t="s">
        <v>105</v>
      </c>
      <c r="E119" s="23" t="s">
        <v>363</v>
      </c>
      <c r="F119" s="159" t="s">
        <v>144</v>
      </c>
      <c r="G119" s="160" t="s">
        <v>374</v>
      </c>
      <c r="H119" s="161">
        <v>10</v>
      </c>
      <c r="I119" s="161">
        <v>0</v>
      </c>
      <c r="J119" s="127">
        <v>78000000</v>
      </c>
      <c r="K119" s="88" t="s">
        <v>398</v>
      </c>
      <c r="L119" s="159" t="s">
        <v>46</v>
      </c>
      <c r="M119" s="162" t="s">
        <v>421</v>
      </c>
      <c r="N119" s="23" t="s">
        <v>197</v>
      </c>
      <c r="O119" s="150" t="s">
        <v>925</v>
      </c>
      <c r="P119" s="159" t="s">
        <v>348</v>
      </c>
      <c r="Q119" s="53">
        <v>80111600</v>
      </c>
      <c r="R119" s="162" t="s">
        <v>208</v>
      </c>
      <c r="S119" s="162" t="str">
        <f>MID(PAA[[#This Row],[Meta Proyecto de Inversión]],1,4)</f>
        <v>8126</v>
      </c>
      <c r="T119" s="162" t="str">
        <f>MID(PAA[[#This Row],[Meta Proyecto de Inversión]],6,1)</f>
        <v>9</v>
      </c>
      <c r="U119" s="163" t="str">
        <f>IFERROR(VLOOKUP(N119,TD!$B$50:$F$54,2,0)," ")</f>
        <v>O230117</v>
      </c>
      <c r="V119" s="163" t="str">
        <f>IFERROR(VLOOKUP(N119,TD!$B$50:$F$54,3,0)," ")</f>
        <v>4599</v>
      </c>
      <c r="W119" s="163">
        <f>IFERROR(VLOOKUP(N119,TD!$B$50:$F$54,4,0)," ")</f>
        <v>20240207</v>
      </c>
      <c r="X119" s="162" t="s">
        <v>174</v>
      </c>
      <c r="Y119" s="163" t="str">
        <f>IFERROR(VLOOKUP(X119,TD!$J$51:$K$64,2,0)," ")</f>
        <v>Infraestructura física, mantenimiento y dotación (Sedes construidas, mantenidas reforzadas)</v>
      </c>
      <c r="Z119" s="164" t="str">
        <f t="shared" si="4"/>
        <v>08-Infraestructura física, mantenimiento y dotación (Sedes construidas, mantenidas reforzadas)</v>
      </c>
      <c r="AA119" s="162" t="s">
        <v>227</v>
      </c>
      <c r="AB119" s="163" t="str">
        <f>IFERROR(VLOOKUP(AA119,TD!$N$51:$O$66,2,0)," ")</f>
        <v>Sedes mantenidas</v>
      </c>
      <c r="AC119" s="164" t="str">
        <f t="shared" si="5"/>
        <v>016_Sedes mantenidas</v>
      </c>
      <c r="AD119" s="164" t="str">
        <f t="shared" si="6"/>
        <v>08-Infraestructura física, mantenimiento y dotación (Sedes construidas, mantenidas reforzadas) 016_Sedes mantenidas</v>
      </c>
      <c r="AE119" s="163" t="str">
        <f t="shared" si="7"/>
        <v>O23011745992024020708016</v>
      </c>
      <c r="AF119" s="163" t="str">
        <f>IFERROR(VLOOKUP(AD119,TD!$J$66:$K$89,2,0)," ")</f>
        <v>PM/0131/0108/45990160207</v>
      </c>
      <c r="AG119" s="118" t="s">
        <v>385</v>
      </c>
      <c r="AH119" s="162" t="s">
        <v>193</v>
      </c>
      <c r="AI119" s="165" t="str">
        <f>CONCATENATE(PAA[[#This Row],[Id Interno]],"-",PAA[[#This Row],[tipo de Contrato (TH talento humano - B/S bienes y/o servicios)]],"-",S119,"-",T119,"-",PAA[[#This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20" spans="2:35" ht="70" x14ac:dyDescent="0.35">
      <c r="B120" s="23">
        <v>20260082</v>
      </c>
      <c r="C120" s="99" t="s">
        <v>878</v>
      </c>
      <c r="D120" s="23" t="s">
        <v>105</v>
      </c>
      <c r="E120" s="23" t="s">
        <v>363</v>
      </c>
      <c r="F120" s="159" t="s">
        <v>144</v>
      </c>
      <c r="G120" s="160" t="s">
        <v>374</v>
      </c>
      <c r="H120" s="161">
        <v>10</v>
      </c>
      <c r="I120" s="161">
        <v>0</v>
      </c>
      <c r="J120" s="127">
        <v>85000000</v>
      </c>
      <c r="K120" s="88" t="s">
        <v>398</v>
      </c>
      <c r="L120" s="159" t="s">
        <v>46</v>
      </c>
      <c r="M120" s="162" t="s">
        <v>421</v>
      </c>
      <c r="N120" s="23" t="s">
        <v>197</v>
      </c>
      <c r="O120" s="150" t="s">
        <v>925</v>
      </c>
      <c r="P120" s="159" t="s">
        <v>348</v>
      </c>
      <c r="Q120" s="53">
        <v>80111600</v>
      </c>
      <c r="R120" s="162" t="s">
        <v>208</v>
      </c>
      <c r="S120" s="162" t="str">
        <f>MID(PAA[[#This Row],[Meta Proyecto de Inversión]],1,4)</f>
        <v>8126</v>
      </c>
      <c r="T120" s="162" t="str">
        <f>MID(PAA[[#This Row],[Meta Proyecto de Inversión]],6,1)</f>
        <v>9</v>
      </c>
      <c r="U120" s="163" t="str">
        <f>IFERROR(VLOOKUP(N120,TD!$B$50:$F$54,2,0)," ")</f>
        <v>O230117</v>
      </c>
      <c r="V120" s="163" t="str">
        <f>IFERROR(VLOOKUP(N120,TD!$B$50:$F$54,3,0)," ")</f>
        <v>4599</v>
      </c>
      <c r="W120" s="163">
        <f>IFERROR(VLOOKUP(N120,TD!$B$50:$F$54,4,0)," ")</f>
        <v>20240207</v>
      </c>
      <c r="X120" s="162" t="s">
        <v>174</v>
      </c>
      <c r="Y120" s="163" t="str">
        <f>IFERROR(VLOOKUP(X120,TD!$J$51:$K$64,2,0)," ")</f>
        <v>Infraestructura física, mantenimiento y dotación (Sedes construidas, mantenidas reforzadas)</v>
      </c>
      <c r="Z120" s="164" t="str">
        <f t="shared" si="4"/>
        <v>08-Infraestructura física, mantenimiento y dotación (Sedes construidas, mantenidas reforzadas)</v>
      </c>
      <c r="AA120" s="162" t="s">
        <v>227</v>
      </c>
      <c r="AB120" s="163" t="str">
        <f>IFERROR(VLOOKUP(AA120,TD!$N$51:$O$66,2,0)," ")</f>
        <v>Sedes mantenidas</v>
      </c>
      <c r="AC120" s="164" t="str">
        <f t="shared" si="5"/>
        <v>016_Sedes mantenidas</v>
      </c>
      <c r="AD120" s="164" t="str">
        <f t="shared" si="6"/>
        <v>08-Infraestructura física, mantenimiento y dotación (Sedes construidas, mantenidas reforzadas) 016_Sedes mantenidas</v>
      </c>
      <c r="AE120" s="163" t="str">
        <f t="shared" si="7"/>
        <v>O23011745992024020708016</v>
      </c>
      <c r="AF120" s="163" t="str">
        <f>IFERROR(VLOOKUP(AD120,TD!$J$66:$K$89,2,0)," ")</f>
        <v>PM/0131/0108/45990160207</v>
      </c>
      <c r="AG120" s="118" t="s">
        <v>385</v>
      </c>
      <c r="AH120" s="162" t="s">
        <v>193</v>
      </c>
      <c r="AI120" s="165" t="str">
        <f>CONCATENATE(PAA[[#This Row],[Id Interno]],"-",PAA[[#This Row],[tipo de Contrato (TH talento humano - B/S bienes y/o servicios)]],"-",S120,"-",T120,"-",PAA[[#This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21" spans="2:35" ht="56" x14ac:dyDescent="0.35">
      <c r="B121" s="23">
        <v>20260083</v>
      </c>
      <c r="C121" s="99" t="s">
        <v>602</v>
      </c>
      <c r="D121" s="23" t="s">
        <v>105</v>
      </c>
      <c r="E121" s="23" t="s">
        <v>363</v>
      </c>
      <c r="F121" s="159" t="s">
        <v>144</v>
      </c>
      <c r="G121" s="160" t="s">
        <v>374</v>
      </c>
      <c r="H121" s="161">
        <v>10</v>
      </c>
      <c r="I121" s="161">
        <v>0</v>
      </c>
      <c r="J121" s="127">
        <v>80000000</v>
      </c>
      <c r="K121" s="88" t="s">
        <v>398</v>
      </c>
      <c r="L121" s="159" t="s">
        <v>46</v>
      </c>
      <c r="M121" s="162" t="s">
        <v>421</v>
      </c>
      <c r="N121" s="23" t="s">
        <v>197</v>
      </c>
      <c r="O121" s="150" t="s">
        <v>925</v>
      </c>
      <c r="P121" s="159" t="s">
        <v>348</v>
      </c>
      <c r="Q121" s="53">
        <v>80111600</v>
      </c>
      <c r="R121" s="162" t="s">
        <v>208</v>
      </c>
      <c r="S121" s="162" t="str">
        <f>MID(PAA[[#This Row],[Meta Proyecto de Inversión]],1,4)</f>
        <v>8126</v>
      </c>
      <c r="T121" s="162" t="str">
        <f>MID(PAA[[#This Row],[Meta Proyecto de Inversión]],6,1)</f>
        <v>9</v>
      </c>
      <c r="U121" s="163" t="str">
        <f>IFERROR(VLOOKUP(N121,TD!$B$50:$F$54,2,0)," ")</f>
        <v>O230117</v>
      </c>
      <c r="V121" s="163" t="str">
        <f>IFERROR(VLOOKUP(N121,TD!$B$50:$F$54,3,0)," ")</f>
        <v>4599</v>
      </c>
      <c r="W121" s="163">
        <f>IFERROR(VLOOKUP(N121,TD!$B$50:$F$54,4,0)," ")</f>
        <v>20240207</v>
      </c>
      <c r="X121" s="162" t="s">
        <v>174</v>
      </c>
      <c r="Y121" s="163" t="str">
        <f>IFERROR(VLOOKUP(X121,TD!$J$51:$K$64,2,0)," ")</f>
        <v>Infraestructura física, mantenimiento y dotación (Sedes construidas, mantenidas reforzadas)</v>
      </c>
      <c r="Z121" s="164" t="str">
        <f t="shared" si="4"/>
        <v>08-Infraestructura física, mantenimiento y dotación (Sedes construidas, mantenidas reforzadas)</v>
      </c>
      <c r="AA121" s="162" t="s">
        <v>227</v>
      </c>
      <c r="AB121" s="163" t="str">
        <f>IFERROR(VLOOKUP(AA121,TD!$N$51:$O$66,2,0)," ")</f>
        <v>Sedes mantenidas</v>
      </c>
      <c r="AC121" s="164" t="str">
        <f t="shared" si="5"/>
        <v>016_Sedes mantenidas</v>
      </c>
      <c r="AD121" s="164" t="str">
        <f t="shared" si="6"/>
        <v>08-Infraestructura física, mantenimiento y dotación (Sedes construidas, mantenidas reforzadas) 016_Sedes mantenidas</v>
      </c>
      <c r="AE121" s="163" t="str">
        <f t="shared" si="7"/>
        <v>O23011745992024020708016</v>
      </c>
      <c r="AF121" s="163" t="str">
        <f>IFERROR(VLOOKUP(AD121,TD!$J$66:$K$89,2,0)," ")</f>
        <v>PM/0131/0108/45990160207</v>
      </c>
      <c r="AG121" s="118" t="s">
        <v>385</v>
      </c>
      <c r="AH121" s="162" t="s">
        <v>193</v>
      </c>
      <c r="AI121" s="165" t="str">
        <f>CONCATENATE(PAA[[#This Row],[Id Interno]],"-",PAA[[#This Row],[tipo de Contrato (TH talento humano - B/S bienes y/o servicios)]],"-",S121,"-",T121,"-",PAA[[#This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22" spans="2:35" ht="56" x14ac:dyDescent="0.35">
      <c r="B122" s="23">
        <v>20260084</v>
      </c>
      <c r="C122" s="99" t="s">
        <v>423</v>
      </c>
      <c r="D122" s="23" t="s">
        <v>105</v>
      </c>
      <c r="E122" s="23" t="s">
        <v>363</v>
      </c>
      <c r="F122" s="159" t="s">
        <v>144</v>
      </c>
      <c r="G122" s="160" t="s">
        <v>374</v>
      </c>
      <c r="H122" s="161">
        <v>10</v>
      </c>
      <c r="I122" s="161">
        <v>0</v>
      </c>
      <c r="J122" s="127">
        <v>70000000</v>
      </c>
      <c r="K122" s="88" t="s">
        <v>398</v>
      </c>
      <c r="L122" s="159" t="s">
        <v>46</v>
      </c>
      <c r="M122" s="162" t="s">
        <v>421</v>
      </c>
      <c r="N122" s="23" t="s">
        <v>197</v>
      </c>
      <c r="O122" s="150" t="s">
        <v>925</v>
      </c>
      <c r="P122" s="159" t="s">
        <v>348</v>
      </c>
      <c r="Q122" s="53">
        <v>80111600</v>
      </c>
      <c r="R122" s="162" t="s">
        <v>208</v>
      </c>
      <c r="S122" s="162" t="str">
        <f>MID(PAA[[#This Row],[Meta Proyecto de Inversión]],1,4)</f>
        <v>8126</v>
      </c>
      <c r="T122" s="162" t="str">
        <f>MID(PAA[[#This Row],[Meta Proyecto de Inversión]],6,1)</f>
        <v>9</v>
      </c>
      <c r="U122" s="163" t="str">
        <f>IFERROR(VLOOKUP(N122,TD!$B$50:$F$54,2,0)," ")</f>
        <v>O230117</v>
      </c>
      <c r="V122" s="163" t="str">
        <f>IFERROR(VLOOKUP(N122,TD!$B$50:$F$54,3,0)," ")</f>
        <v>4599</v>
      </c>
      <c r="W122" s="163">
        <f>IFERROR(VLOOKUP(N122,TD!$B$50:$F$54,4,0)," ")</f>
        <v>20240207</v>
      </c>
      <c r="X122" s="162" t="s">
        <v>174</v>
      </c>
      <c r="Y122" s="163" t="str">
        <f>IFERROR(VLOOKUP(X122,TD!$J$51:$K$64,2,0)," ")</f>
        <v>Infraestructura física, mantenimiento y dotación (Sedes construidas, mantenidas reforzadas)</v>
      </c>
      <c r="Z122" s="164" t="str">
        <f t="shared" si="4"/>
        <v>08-Infraestructura física, mantenimiento y dotación (Sedes construidas, mantenidas reforzadas)</v>
      </c>
      <c r="AA122" s="162" t="s">
        <v>227</v>
      </c>
      <c r="AB122" s="163" t="str">
        <f>IFERROR(VLOOKUP(AA122,TD!$N$51:$O$66,2,0)," ")</f>
        <v>Sedes mantenidas</v>
      </c>
      <c r="AC122" s="164" t="str">
        <f t="shared" si="5"/>
        <v>016_Sedes mantenidas</v>
      </c>
      <c r="AD122" s="164" t="str">
        <f t="shared" si="6"/>
        <v>08-Infraestructura física, mantenimiento y dotación (Sedes construidas, mantenidas reforzadas) 016_Sedes mantenidas</v>
      </c>
      <c r="AE122" s="163" t="str">
        <f t="shared" si="7"/>
        <v>O23011745992024020708016</v>
      </c>
      <c r="AF122" s="163" t="str">
        <f>IFERROR(VLOOKUP(AD122,TD!$J$66:$K$89,2,0)," ")</f>
        <v>PM/0131/0108/45990160207</v>
      </c>
      <c r="AG122" s="118" t="s">
        <v>385</v>
      </c>
      <c r="AH122" s="162" t="s">
        <v>193</v>
      </c>
      <c r="AI122" s="165" t="str">
        <f>CONCATENATE(PAA[[#This Row],[Id Interno]],"-",PAA[[#This Row],[tipo de Contrato (TH talento humano - B/S bienes y/o servicios)]],"-",S122,"-",T122,"-",PAA[[#This Row],[Objeto de la contratación]])</f>
        <v>20260084-TH-8126-9-Prestar servicios profesionales jurídicos para apoyar la instrucción y demás actuaciones que deban surtirse en los procesos disciplinarios adelantados por la Oficina de Control Disciplinario Interno.</v>
      </c>
    </row>
    <row r="123" spans="2:35" ht="56" x14ac:dyDescent="0.35">
      <c r="B123" s="23">
        <v>20260085</v>
      </c>
      <c r="C123" s="99" t="s">
        <v>423</v>
      </c>
      <c r="D123" s="23" t="s">
        <v>105</v>
      </c>
      <c r="E123" s="23" t="s">
        <v>363</v>
      </c>
      <c r="F123" s="159" t="s">
        <v>144</v>
      </c>
      <c r="G123" s="160" t="s">
        <v>374</v>
      </c>
      <c r="H123" s="161">
        <v>10</v>
      </c>
      <c r="I123" s="161">
        <v>0</v>
      </c>
      <c r="J123" s="127">
        <v>70000000</v>
      </c>
      <c r="K123" s="88" t="s">
        <v>398</v>
      </c>
      <c r="L123" s="159" t="s">
        <v>46</v>
      </c>
      <c r="M123" s="162" t="s">
        <v>421</v>
      </c>
      <c r="N123" s="23" t="s">
        <v>197</v>
      </c>
      <c r="O123" s="150" t="s">
        <v>925</v>
      </c>
      <c r="P123" s="159" t="s">
        <v>348</v>
      </c>
      <c r="Q123" s="53">
        <v>80111600</v>
      </c>
      <c r="R123" s="162" t="s">
        <v>208</v>
      </c>
      <c r="S123" s="162" t="str">
        <f>MID(PAA[[#This Row],[Meta Proyecto de Inversión]],1,4)</f>
        <v>8126</v>
      </c>
      <c r="T123" s="162" t="str">
        <f>MID(PAA[[#This Row],[Meta Proyecto de Inversión]],6,1)</f>
        <v>9</v>
      </c>
      <c r="U123" s="163" t="str">
        <f>IFERROR(VLOOKUP(N123,TD!$B$50:$F$54,2,0)," ")</f>
        <v>O230117</v>
      </c>
      <c r="V123" s="163" t="str">
        <f>IFERROR(VLOOKUP(N123,TD!$B$50:$F$54,3,0)," ")</f>
        <v>4599</v>
      </c>
      <c r="W123" s="163">
        <f>IFERROR(VLOOKUP(N123,TD!$B$50:$F$54,4,0)," ")</f>
        <v>20240207</v>
      </c>
      <c r="X123" s="162" t="s">
        <v>174</v>
      </c>
      <c r="Y123" s="163" t="str">
        <f>IFERROR(VLOOKUP(X123,TD!$J$51:$K$64,2,0)," ")</f>
        <v>Infraestructura física, mantenimiento y dotación (Sedes construidas, mantenidas reforzadas)</v>
      </c>
      <c r="Z123" s="164" t="str">
        <f t="shared" si="4"/>
        <v>08-Infraestructura física, mantenimiento y dotación (Sedes construidas, mantenidas reforzadas)</v>
      </c>
      <c r="AA123" s="162" t="s">
        <v>227</v>
      </c>
      <c r="AB123" s="163" t="str">
        <f>IFERROR(VLOOKUP(AA123,TD!$N$51:$O$66,2,0)," ")</f>
        <v>Sedes mantenidas</v>
      </c>
      <c r="AC123" s="164" t="str">
        <f t="shared" si="5"/>
        <v>016_Sedes mantenidas</v>
      </c>
      <c r="AD123" s="164" t="str">
        <f t="shared" si="6"/>
        <v>08-Infraestructura física, mantenimiento y dotación (Sedes construidas, mantenidas reforzadas) 016_Sedes mantenidas</v>
      </c>
      <c r="AE123" s="163" t="str">
        <f t="shared" si="7"/>
        <v>O23011745992024020708016</v>
      </c>
      <c r="AF123" s="163" t="str">
        <f>IFERROR(VLOOKUP(AD123,TD!$J$66:$K$89,2,0)," ")</f>
        <v>PM/0131/0108/45990160207</v>
      </c>
      <c r="AG123" s="118" t="s">
        <v>385</v>
      </c>
      <c r="AH123" s="162" t="s">
        <v>193</v>
      </c>
      <c r="AI123" s="165" t="str">
        <f>CONCATENATE(PAA[[#This Row],[Id Interno]],"-",PAA[[#This Row],[tipo de Contrato (TH talento humano - B/S bienes y/o servicios)]],"-",S123,"-",T123,"-",PAA[[#This Row],[Objeto de la contratación]])</f>
        <v>20260085-TH-8126-9-Prestar servicios profesionales jurídicos para apoyar la instrucción y demás actuaciones que deban surtirse en los procesos disciplinarios adelantados por la Oficina de Control Disciplinario Interno.</v>
      </c>
    </row>
    <row r="124" spans="2:35" ht="56" x14ac:dyDescent="0.35">
      <c r="B124" s="23">
        <v>20260086</v>
      </c>
      <c r="C124" s="99" t="s">
        <v>423</v>
      </c>
      <c r="D124" s="23" t="s">
        <v>105</v>
      </c>
      <c r="E124" s="23" t="s">
        <v>363</v>
      </c>
      <c r="F124" s="159" t="s">
        <v>144</v>
      </c>
      <c r="G124" s="160" t="s">
        <v>374</v>
      </c>
      <c r="H124" s="161">
        <v>10</v>
      </c>
      <c r="I124" s="161">
        <v>0</v>
      </c>
      <c r="J124" s="127">
        <v>70000000</v>
      </c>
      <c r="K124" s="88" t="s">
        <v>398</v>
      </c>
      <c r="L124" s="159" t="s">
        <v>46</v>
      </c>
      <c r="M124" s="162" t="s">
        <v>421</v>
      </c>
      <c r="N124" s="23" t="s">
        <v>197</v>
      </c>
      <c r="O124" s="150" t="s">
        <v>925</v>
      </c>
      <c r="P124" s="159" t="s">
        <v>348</v>
      </c>
      <c r="Q124" s="53">
        <v>80111600</v>
      </c>
      <c r="R124" s="162" t="s">
        <v>208</v>
      </c>
      <c r="S124" s="162" t="str">
        <f>MID(PAA[[#This Row],[Meta Proyecto de Inversión]],1,4)</f>
        <v>8126</v>
      </c>
      <c r="T124" s="162" t="str">
        <f>MID(PAA[[#This Row],[Meta Proyecto de Inversión]],6,1)</f>
        <v>9</v>
      </c>
      <c r="U124" s="163" t="str">
        <f>IFERROR(VLOOKUP(N124,TD!$B$50:$F$54,2,0)," ")</f>
        <v>O230117</v>
      </c>
      <c r="V124" s="163" t="str">
        <f>IFERROR(VLOOKUP(N124,TD!$B$50:$F$54,3,0)," ")</f>
        <v>4599</v>
      </c>
      <c r="W124" s="163">
        <f>IFERROR(VLOOKUP(N124,TD!$B$50:$F$54,4,0)," ")</f>
        <v>20240207</v>
      </c>
      <c r="X124" s="162" t="s">
        <v>174</v>
      </c>
      <c r="Y124" s="163" t="str">
        <f>IFERROR(VLOOKUP(X124,TD!$J$51:$K$64,2,0)," ")</f>
        <v>Infraestructura física, mantenimiento y dotación (Sedes construidas, mantenidas reforzadas)</v>
      </c>
      <c r="Z124" s="164" t="str">
        <f t="shared" si="4"/>
        <v>08-Infraestructura física, mantenimiento y dotación (Sedes construidas, mantenidas reforzadas)</v>
      </c>
      <c r="AA124" s="162" t="s">
        <v>227</v>
      </c>
      <c r="AB124" s="163" t="str">
        <f>IFERROR(VLOOKUP(AA124,TD!$N$51:$O$66,2,0)," ")</f>
        <v>Sedes mantenidas</v>
      </c>
      <c r="AC124" s="164" t="str">
        <f t="shared" si="5"/>
        <v>016_Sedes mantenidas</v>
      </c>
      <c r="AD124" s="164" t="str">
        <f t="shared" si="6"/>
        <v>08-Infraestructura física, mantenimiento y dotación (Sedes construidas, mantenidas reforzadas) 016_Sedes mantenidas</v>
      </c>
      <c r="AE124" s="163" t="str">
        <f t="shared" si="7"/>
        <v>O23011745992024020708016</v>
      </c>
      <c r="AF124" s="163" t="str">
        <f>IFERROR(VLOOKUP(AD124,TD!$J$66:$K$89,2,0)," ")</f>
        <v>PM/0131/0108/45990160207</v>
      </c>
      <c r="AG124" s="118" t="s">
        <v>385</v>
      </c>
      <c r="AH124" s="162" t="s">
        <v>193</v>
      </c>
      <c r="AI124" s="165" t="str">
        <f>CONCATENATE(PAA[[#This Row],[Id Interno]],"-",PAA[[#This Row],[tipo de Contrato (TH talento humano - B/S bienes y/o servicios)]],"-",S124,"-",T124,"-",PAA[[#This Row],[Objeto de la contratación]])</f>
        <v>20260086-TH-8126-9-Prestar servicios profesionales jurídicos para apoyar la instrucción y demás actuaciones que deban surtirse en los procesos disciplinarios adelantados por la Oficina de Control Disciplinario Interno.</v>
      </c>
    </row>
    <row r="125" spans="2:35" ht="56" x14ac:dyDescent="0.35">
      <c r="B125" s="23">
        <v>20260087</v>
      </c>
      <c r="C125" s="99" t="s">
        <v>423</v>
      </c>
      <c r="D125" s="23" t="s">
        <v>105</v>
      </c>
      <c r="E125" s="23" t="s">
        <v>363</v>
      </c>
      <c r="F125" s="159" t="s">
        <v>144</v>
      </c>
      <c r="G125" s="160" t="s">
        <v>374</v>
      </c>
      <c r="H125" s="161">
        <v>10</v>
      </c>
      <c r="I125" s="161">
        <v>0</v>
      </c>
      <c r="J125" s="127">
        <v>70000000</v>
      </c>
      <c r="K125" s="88" t="s">
        <v>398</v>
      </c>
      <c r="L125" s="159" t="s">
        <v>46</v>
      </c>
      <c r="M125" s="162" t="s">
        <v>421</v>
      </c>
      <c r="N125" s="23" t="s">
        <v>197</v>
      </c>
      <c r="O125" s="150" t="s">
        <v>925</v>
      </c>
      <c r="P125" s="159" t="s">
        <v>348</v>
      </c>
      <c r="Q125" s="53">
        <v>80111600</v>
      </c>
      <c r="R125" s="162" t="s">
        <v>208</v>
      </c>
      <c r="S125" s="162" t="str">
        <f>MID(PAA[[#This Row],[Meta Proyecto de Inversión]],1,4)</f>
        <v>8126</v>
      </c>
      <c r="T125" s="162" t="str">
        <f>MID(PAA[[#This Row],[Meta Proyecto de Inversión]],6,1)</f>
        <v>9</v>
      </c>
      <c r="U125" s="163" t="str">
        <f>IFERROR(VLOOKUP(N125,TD!$B$50:$F$54,2,0)," ")</f>
        <v>O230117</v>
      </c>
      <c r="V125" s="163" t="str">
        <f>IFERROR(VLOOKUP(N125,TD!$B$50:$F$54,3,0)," ")</f>
        <v>4599</v>
      </c>
      <c r="W125" s="163">
        <f>IFERROR(VLOOKUP(N125,TD!$B$50:$F$54,4,0)," ")</f>
        <v>20240207</v>
      </c>
      <c r="X125" s="162" t="s">
        <v>174</v>
      </c>
      <c r="Y125" s="163" t="str">
        <f>IFERROR(VLOOKUP(X125,TD!$J$51:$K$64,2,0)," ")</f>
        <v>Infraestructura física, mantenimiento y dotación (Sedes construidas, mantenidas reforzadas)</v>
      </c>
      <c r="Z125" s="164" t="str">
        <f t="shared" si="4"/>
        <v>08-Infraestructura física, mantenimiento y dotación (Sedes construidas, mantenidas reforzadas)</v>
      </c>
      <c r="AA125" s="162" t="s">
        <v>227</v>
      </c>
      <c r="AB125" s="163" t="str">
        <f>IFERROR(VLOOKUP(AA125,TD!$N$51:$O$66,2,0)," ")</f>
        <v>Sedes mantenidas</v>
      </c>
      <c r="AC125" s="164" t="str">
        <f t="shared" si="5"/>
        <v>016_Sedes mantenidas</v>
      </c>
      <c r="AD125" s="164" t="str">
        <f t="shared" si="6"/>
        <v>08-Infraestructura física, mantenimiento y dotación (Sedes construidas, mantenidas reforzadas) 016_Sedes mantenidas</v>
      </c>
      <c r="AE125" s="163" t="str">
        <f t="shared" si="7"/>
        <v>O23011745992024020708016</v>
      </c>
      <c r="AF125" s="163" t="str">
        <f>IFERROR(VLOOKUP(AD125,TD!$J$66:$K$89,2,0)," ")</f>
        <v>PM/0131/0108/45990160207</v>
      </c>
      <c r="AG125" s="118" t="s">
        <v>385</v>
      </c>
      <c r="AH125" s="162" t="s">
        <v>193</v>
      </c>
      <c r="AI125" s="165" t="str">
        <f>CONCATENATE(PAA[[#This Row],[Id Interno]],"-",PAA[[#This Row],[tipo de Contrato (TH talento humano - B/S bienes y/o servicios)]],"-",S125,"-",T125,"-",PAA[[#This Row],[Objeto de la contratación]])</f>
        <v>20260087-TH-8126-9-Prestar servicios profesionales jurídicos para apoyar la instrucción y demás actuaciones que deban surtirse en los procesos disciplinarios adelantados por la Oficina de Control Disciplinario Interno.</v>
      </c>
    </row>
    <row r="126" spans="2:35" ht="56" x14ac:dyDescent="0.35">
      <c r="B126" s="23">
        <v>20260088</v>
      </c>
      <c r="C126" s="99" t="s">
        <v>423</v>
      </c>
      <c r="D126" s="23" t="s">
        <v>105</v>
      </c>
      <c r="E126" s="23" t="s">
        <v>363</v>
      </c>
      <c r="F126" s="159" t="s">
        <v>144</v>
      </c>
      <c r="G126" s="160" t="s">
        <v>374</v>
      </c>
      <c r="H126" s="161">
        <v>10</v>
      </c>
      <c r="I126" s="161">
        <v>0</v>
      </c>
      <c r="J126" s="127">
        <v>70000000</v>
      </c>
      <c r="K126" s="88" t="s">
        <v>398</v>
      </c>
      <c r="L126" s="159" t="s">
        <v>46</v>
      </c>
      <c r="M126" s="162" t="s">
        <v>421</v>
      </c>
      <c r="N126" s="23" t="s">
        <v>197</v>
      </c>
      <c r="O126" s="150" t="s">
        <v>925</v>
      </c>
      <c r="P126" s="159" t="s">
        <v>348</v>
      </c>
      <c r="Q126" s="53">
        <v>80111600</v>
      </c>
      <c r="R126" s="162" t="s">
        <v>208</v>
      </c>
      <c r="S126" s="162" t="str">
        <f>MID(PAA[[#This Row],[Meta Proyecto de Inversión]],1,4)</f>
        <v>8126</v>
      </c>
      <c r="T126" s="162" t="str">
        <f>MID(PAA[[#This Row],[Meta Proyecto de Inversión]],6,1)</f>
        <v>9</v>
      </c>
      <c r="U126" s="163" t="str">
        <f>IFERROR(VLOOKUP(N126,TD!$B$50:$F$54,2,0)," ")</f>
        <v>O230117</v>
      </c>
      <c r="V126" s="163" t="str">
        <f>IFERROR(VLOOKUP(N126,TD!$B$50:$F$54,3,0)," ")</f>
        <v>4599</v>
      </c>
      <c r="W126" s="163">
        <f>IFERROR(VLOOKUP(N126,TD!$B$50:$F$54,4,0)," ")</f>
        <v>20240207</v>
      </c>
      <c r="X126" s="162" t="s">
        <v>174</v>
      </c>
      <c r="Y126" s="163" t="str">
        <f>IFERROR(VLOOKUP(X126,TD!$J$51:$K$64,2,0)," ")</f>
        <v>Infraestructura física, mantenimiento y dotación (Sedes construidas, mantenidas reforzadas)</v>
      </c>
      <c r="Z126" s="164" t="str">
        <f t="shared" si="4"/>
        <v>08-Infraestructura física, mantenimiento y dotación (Sedes construidas, mantenidas reforzadas)</v>
      </c>
      <c r="AA126" s="162" t="s">
        <v>227</v>
      </c>
      <c r="AB126" s="163" t="str">
        <f>IFERROR(VLOOKUP(AA126,TD!$N$51:$O$66,2,0)," ")</f>
        <v>Sedes mantenidas</v>
      </c>
      <c r="AC126" s="164" t="str">
        <f t="shared" si="5"/>
        <v>016_Sedes mantenidas</v>
      </c>
      <c r="AD126" s="164" t="str">
        <f t="shared" si="6"/>
        <v>08-Infraestructura física, mantenimiento y dotación (Sedes construidas, mantenidas reforzadas) 016_Sedes mantenidas</v>
      </c>
      <c r="AE126" s="163" t="str">
        <f t="shared" si="7"/>
        <v>O23011745992024020708016</v>
      </c>
      <c r="AF126" s="163" t="str">
        <f>IFERROR(VLOOKUP(AD126,TD!$J$66:$K$89,2,0)," ")</f>
        <v>PM/0131/0108/45990160207</v>
      </c>
      <c r="AG126" s="118" t="s">
        <v>385</v>
      </c>
      <c r="AH126" s="162" t="s">
        <v>193</v>
      </c>
      <c r="AI126" s="165" t="str">
        <f>CONCATENATE(PAA[[#This Row],[Id Interno]],"-",PAA[[#This Row],[tipo de Contrato (TH talento humano - B/S bienes y/o servicios)]],"-",S126,"-",T126,"-",PAA[[#This Row],[Objeto de la contratación]])</f>
        <v>20260088-TH-8126-9-Prestar servicios profesionales jurídicos para apoyar la instrucción y demás actuaciones que deban surtirse en los procesos disciplinarios adelantados por la Oficina de Control Disciplinario Interno.</v>
      </c>
    </row>
    <row r="127" spans="2:35" ht="56" x14ac:dyDescent="0.35">
      <c r="B127" s="23">
        <v>20260089</v>
      </c>
      <c r="C127" s="99" t="s">
        <v>424</v>
      </c>
      <c r="D127" s="23" t="s">
        <v>105</v>
      </c>
      <c r="E127" s="23" t="s">
        <v>363</v>
      </c>
      <c r="F127" s="159" t="s">
        <v>144</v>
      </c>
      <c r="G127" s="160" t="s">
        <v>374</v>
      </c>
      <c r="H127" s="161">
        <v>10</v>
      </c>
      <c r="I127" s="161">
        <v>0</v>
      </c>
      <c r="J127" s="127">
        <v>55000000</v>
      </c>
      <c r="K127" s="88" t="s">
        <v>398</v>
      </c>
      <c r="L127" s="159" t="s">
        <v>46</v>
      </c>
      <c r="M127" s="162" t="s">
        <v>421</v>
      </c>
      <c r="N127" s="23" t="s">
        <v>197</v>
      </c>
      <c r="O127" s="150" t="s">
        <v>925</v>
      </c>
      <c r="P127" s="159" t="s">
        <v>348</v>
      </c>
      <c r="Q127" s="53">
        <v>80111600</v>
      </c>
      <c r="R127" s="162" t="s">
        <v>208</v>
      </c>
      <c r="S127" s="162" t="str">
        <f>MID(PAA[[#This Row],[Meta Proyecto de Inversión]],1,4)</f>
        <v>8126</v>
      </c>
      <c r="T127" s="162" t="str">
        <f>MID(PAA[[#This Row],[Meta Proyecto de Inversión]],6,1)</f>
        <v>9</v>
      </c>
      <c r="U127" s="163" t="str">
        <f>IFERROR(VLOOKUP(N127,TD!$B$50:$F$54,2,0)," ")</f>
        <v>O230117</v>
      </c>
      <c r="V127" s="163" t="str">
        <f>IFERROR(VLOOKUP(N127,TD!$B$50:$F$54,3,0)," ")</f>
        <v>4599</v>
      </c>
      <c r="W127" s="163">
        <f>IFERROR(VLOOKUP(N127,TD!$B$50:$F$54,4,0)," ")</f>
        <v>20240207</v>
      </c>
      <c r="X127" s="162" t="s">
        <v>174</v>
      </c>
      <c r="Y127" s="163" t="str">
        <f>IFERROR(VLOOKUP(X127,TD!$J$51:$K$64,2,0)," ")</f>
        <v>Infraestructura física, mantenimiento y dotación (Sedes construidas, mantenidas reforzadas)</v>
      </c>
      <c r="Z127" s="164" t="str">
        <f t="shared" si="4"/>
        <v>08-Infraestructura física, mantenimiento y dotación (Sedes construidas, mantenidas reforzadas)</v>
      </c>
      <c r="AA127" s="162" t="s">
        <v>227</v>
      </c>
      <c r="AB127" s="163" t="str">
        <f>IFERROR(VLOOKUP(AA127,TD!$N$51:$O$66,2,0)," ")</f>
        <v>Sedes mantenidas</v>
      </c>
      <c r="AC127" s="164" t="str">
        <f t="shared" si="5"/>
        <v>016_Sedes mantenidas</v>
      </c>
      <c r="AD127" s="164" t="str">
        <f t="shared" si="6"/>
        <v>08-Infraestructura física, mantenimiento y dotación (Sedes construidas, mantenidas reforzadas) 016_Sedes mantenidas</v>
      </c>
      <c r="AE127" s="163" t="str">
        <f t="shared" si="7"/>
        <v>O23011745992024020708016</v>
      </c>
      <c r="AF127" s="163" t="str">
        <f>IFERROR(VLOOKUP(AD127,TD!$J$66:$K$89,2,0)," ")</f>
        <v>PM/0131/0108/45990160207</v>
      </c>
      <c r="AG127" s="118" t="s">
        <v>385</v>
      </c>
      <c r="AH127" s="162" t="s">
        <v>193</v>
      </c>
      <c r="AI127" s="165" t="str">
        <f>CONCATENATE(PAA[[#This Row],[Id Interno]],"-",PAA[[#This Row],[tipo de Contrato (TH talento humano - B/S bienes y/o servicios)]],"-",S127,"-",T127,"-",PAA[[#This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28" spans="2:35" ht="56" x14ac:dyDescent="0.35">
      <c r="B128" s="23">
        <v>20260090</v>
      </c>
      <c r="C128" s="99" t="s">
        <v>603</v>
      </c>
      <c r="D128" s="23" t="s">
        <v>105</v>
      </c>
      <c r="E128" s="23" t="s">
        <v>363</v>
      </c>
      <c r="F128" s="159" t="s">
        <v>145</v>
      </c>
      <c r="G128" s="160" t="s">
        <v>374</v>
      </c>
      <c r="H128" s="161">
        <v>10</v>
      </c>
      <c r="I128" s="161">
        <v>0</v>
      </c>
      <c r="J128" s="127">
        <v>36000000</v>
      </c>
      <c r="K128" s="88" t="s">
        <v>398</v>
      </c>
      <c r="L128" s="159" t="s">
        <v>46</v>
      </c>
      <c r="M128" s="162" t="s">
        <v>421</v>
      </c>
      <c r="N128" s="23" t="s">
        <v>197</v>
      </c>
      <c r="O128" s="150" t="s">
        <v>925</v>
      </c>
      <c r="P128" s="159" t="s">
        <v>348</v>
      </c>
      <c r="Q128" s="53">
        <v>80111600</v>
      </c>
      <c r="R128" s="162" t="s">
        <v>208</v>
      </c>
      <c r="S128" s="162" t="str">
        <f>MID(PAA[[#This Row],[Meta Proyecto de Inversión]],1,4)</f>
        <v>8126</v>
      </c>
      <c r="T128" s="162" t="str">
        <f>MID(PAA[[#This Row],[Meta Proyecto de Inversión]],6,1)</f>
        <v>9</v>
      </c>
      <c r="U128" s="163" t="str">
        <f>IFERROR(VLOOKUP(N128,TD!$B$50:$F$54,2,0)," ")</f>
        <v>O230117</v>
      </c>
      <c r="V128" s="163" t="str">
        <f>IFERROR(VLOOKUP(N128,TD!$B$50:$F$54,3,0)," ")</f>
        <v>4599</v>
      </c>
      <c r="W128" s="163">
        <f>IFERROR(VLOOKUP(N128,TD!$B$50:$F$54,4,0)," ")</f>
        <v>20240207</v>
      </c>
      <c r="X128" s="162" t="s">
        <v>174</v>
      </c>
      <c r="Y128" s="163" t="str">
        <f>IFERROR(VLOOKUP(X128,TD!$J$51:$K$64,2,0)," ")</f>
        <v>Infraestructura física, mantenimiento y dotación (Sedes construidas, mantenidas reforzadas)</v>
      </c>
      <c r="Z128" s="164" t="str">
        <f t="shared" si="4"/>
        <v>08-Infraestructura física, mantenimiento y dotación (Sedes construidas, mantenidas reforzadas)</v>
      </c>
      <c r="AA128" s="162" t="s">
        <v>227</v>
      </c>
      <c r="AB128" s="163" t="str">
        <f>IFERROR(VLOOKUP(AA128,TD!$N$51:$O$66,2,0)," ")</f>
        <v>Sedes mantenidas</v>
      </c>
      <c r="AC128" s="164" t="str">
        <f t="shared" si="5"/>
        <v>016_Sedes mantenidas</v>
      </c>
      <c r="AD128" s="164" t="str">
        <f t="shared" si="6"/>
        <v>08-Infraestructura física, mantenimiento y dotación (Sedes construidas, mantenidas reforzadas) 016_Sedes mantenidas</v>
      </c>
      <c r="AE128" s="163" t="str">
        <f t="shared" si="7"/>
        <v>O23011745992024020708016</v>
      </c>
      <c r="AF128" s="163" t="str">
        <f>IFERROR(VLOOKUP(AD128,TD!$J$66:$K$89,2,0)," ")</f>
        <v>PM/0131/0108/45990160207</v>
      </c>
      <c r="AG128" s="118" t="s">
        <v>385</v>
      </c>
      <c r="AH128" s="162" t="s">
        <v>193</v>
      </c>
      <c r="AI128" s="165" t="str">
        <f>CONCATENATE(PAA[[#This Row],[Id Interno]],"-",PAA[[#This Row],[tipo de Contrato (TH talento humano - B/S bienes y/o servicios)]],"-",S128,"-",T128,"-",PAA[[#This Row],[Objeto de la contratación]])</f>
        <v>20260090-TH-8126-9-Prestación de servicios de apoyo técnico a la Oficina de Control Disciplinario Interno de la UAECOB para la gestión y cumplimiento de las funciones administrativas asignadas.</v>
      </c>
    </row>
    <row r="129" spans="2:35" ht="70" x14ac:dyDescent="0.35">
      <c r="B129" s="23">
        <v>20260091</v>
      </c>
      <c r="C129" s="99" t="s">
        <v>604</v>
      </c>
      <c r="D129" s="23" t="s">
        <v>105</v>
      </c>
      <c r="E129" s="23" t="s">
        <v>363</v>
      </c>
      <c r="F129" s="159" t="s">
        <v>145</v>
      </c>
      <c r="G129" s="160" t="s">
        <v>374</v>
      </c>
      <c r="H129" s="161">
        <v>10</v>
      </c>
      <c r="I129" s="161">
        <v>0</v>
      </c>
      <c r="J129" s="127">
        <v>26000000</v>
      </c>
      <c r="K129" s="88" t="s">
        <v>398</v>
      </c>
      <c r="L129" s="159" t="s">
        <v>46</v>
      </c>
      <c r="M129" s="162" t="s">
        <v>421</v>
      </c>
      <c r="N129" s="23" t="s">
        <v>197</v>
      </c>
      <c r="O129" s="150" t="s">
        <v>925</v>
      </c>
      <c r="P129" s="159" t="s">
        <v>348</v>
      </c>
      <c r="Q129" s="53">
        <v>80111600</v>
      </c>
      <c r="R129" s="162" t="s">
        <v>208</v>
      </c>
      <c r="S129" s="162" t="str">
        <f>MID(PAA[[#This Row],[Meta Proyecto de Inversión]],1,4)</f>
        <v>8126</v>
      </c>
      <c r="T129" s="162" t="str">
        <f>MID(PAA[[#This Row],[Meta Proyecto de Inversión]],6,1)</f>
        <v>9</v>
      </c>
      <c r="U129" s="163" t="str">
        <f>IFERROR(VLOOKUP(N129,TD!$B$50:$F$54,2,0)," ")</f>
        <v>O230117</v>
      </c>
      <c r="V129" s="163" t="str">
        <f>IFERROR(VLOOKUP(N129,TD!$B$50:$F$54,3,0)," ")</f>
        <v>4599</v>
      </c>
      <c r="W129" s="163">
        <f>IFERROR(VLOOKUP(N129,TD!$B$50:$F$54,4,0)," ")</f>
        <v>20240207</v>
      </c>
      <c r="X129" s="162" t="s">
        <v>174</v>
      </c>
      <c r="Y129" s="163" t="str">
        <f>IFERROR(VLOOKUP(X129,TD!$J$51:$K$64,2,0)," ")</f>
        <v>Infraestructura física, mantenimiento y dotación (Sedes construidas, mantenidas reforzadas)</v>
      </c>
      <c r="Z129" s="164" t="str">
        <f t="shared" si="4"/>
        <v>08-Infraestructura física, mantenimiento y dotación (Sedes construidas, mantenidas reforzadas)</v>
      </c>
      <c r="AA129" s="162" t="s">
        <v>227</v>
      </c>
      <c r="AB129" s="163" t="str">
        <f>IFERROR(VLOOKUP(AA129,TD!$N$51:$O$66,2,0)," ")</f>
        <v>Sedes mantenidas</v>
      </c>
      <c r="AC129" s="164" t="str">
        <f t="shared" si="5"/>
        <v>016_Sedes mantenidas</v>
      </c>
      <c r="AD129" s="164" t="str">
        <f t="shared" si="6"/>
        <v>08-Infraestructura física, mantenimiento y dotación (Sedes construidas, mantenidas reforzadas) 016_Sedes mantenidas</v>
      </c>
      <c r="AE129" s="163" t="str">
        <f t="shared" si="7"/>
        <v>O23011745992024020708016</v>
      </c>
      <c r="AF129" s="163" t="str">
        <f>IFERROR(VLOOKUP(AD129,TD!$J$66:$K$89,2,0)," ")</f>
        <v>PM/0131/0108/45990160207</v>
      </c>
      <c r="AG129" s="118" t="s">
        <v>385</v>
      </c>
      <c r="AH129" s="162" t="s">
        <v>193</v>
      </c>
      <c r="AI129" s="165" t="str">
        <f>CONCATENATE(PAA[[#This Row],[Id Interno]],"-",PAA[[#This Row],[tipo de Contrato (TH talento humano - B/S bienes y/o servicios)]],"-",S129,"-",T129,"-",PAA[[#This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30" spans="2:35" ht="84" x14ac:dyDescent="0.35">
      <c r="B130" s="23">
        <v>20260092</v>
      </c>
      <c r="C130" s="99" t="s">
        <v>605</v>
      </c>
      <c r="D130" s="23" t="s">
        <v>105</v>
      </c>
      <c r="E130" s="23" t="s">
        <v>363</v>
      </c>
      <c r="F130" s="159" t="s">
        <v>144</v>
      </c>
      <c r="G130" s="160" t="s">
        <v>374</v>
      </c>
      <c r="H130" s="161">
        <v>10</v>
      </c>
      <c r="I130" s="161">
        <v>0</v>
      </c>
      <c r="J130" s="127">
        <v>60000000</v>
      </c>
      <c r="K130" s="88" t="s">
        <v>398</v>
      </c>
      <c r="L130" s="159" t="s">
        <v>46</v>
      </c>
      <c r="M130" s="162" t="s">
        <v>421</v>
      </c>
      <c r="N130" s="23" t="s">
        <v>197</v>
      </c>
      <c r="O130" s="150" t="s">
        <v>925</v>
      </c>
      <c r="P130" s="159" t="s">
        <v>348</v>
      </c>
      <c r="Q130" s="53">
        <v>80111600</v>
      </c>
      <c r="R130" s="162" t="s">
        <v>208</v>
      </c>
      <c r="S130" s="162" t="str">
        <f>MID(PAA[[#This Row],[Meta Proyecto de Inversión]],1,4)</f>
        <v>8126</v>
      </c>
      <c r="T130" s="162" t="str">
        <f>MID(PAA[[#This Row],[Meta Proyecto de Inversión]],6,1)</f>
        <v>9</v>
      </c>
      <c r="U130" s="163" t="str">
        <f>IFERROR(VLOOKUP(N130,TD!$B$50:$F$54,2,0)," ")</f>
        <v>O230117</v>
      </c>
      <c r="V130" s="163" t="str">
        <f>IFERROR(VLOOKUP(N130,TD!$B$50:$F$54,3,0)," ")</f>
        <v>4599</v>
      </c>
      <c r="W130" s="163">
        <f>IFERROR(VLOOKUP(N130,TD!$B$50:$F$54,4,0)," ")</f>
        <v>20240207</v>
      </c>
      <c r="X130" s="162" t="s">
        <v>174</v>
      </c>
      <c r="Y130" s="163" t="str">
        <f>IFERROR(VLOOKUP(X130,TD!$J$51:$K$64,2,0)," ")</f>
        <v>Infraestructura física, mantenimiento y dotación (Sedes construidas, mantenidas reforzadas)</v>
      </c>
      <c r="Z130" s="164" t="str">
        <f t="shared" si="4"/>
        <v>08-Infraestructura física, mantenimiento y dotación (Sedes construidas, mantenidas reforzadas)</v>
      </c>
      <c r="AA130" s="162" t="s">
        <v>227</v>
      </c>
      <c r="AB130" s="163" t="str">
        <f>IFERROR(VLOOKUP(AA130,TD!$N$51:$O$66,2,0)," ")</f>
        <v>Sedes mantenidas</v>
      </c>
      <c r="AC130" s="164" t="str">
        <f t="shared" si="5"/>
        <v>016_Sedes mantenidas</v>
      </c>
      <c r="AD130" s="164" t="str">
        <f t="shared" si="6"/>
        <v>08-Infraestructura física, mantenimiento y dotación (Sedes construidas, mantenidas reforzadas) 016_Sedes mantenidas</v>
      </c>
      <c r="AE130" s="163" t="str">
        <f t="shared" si="7"/>
        <v>O23011745992024020708016</v>
      </c>
      <c r="AF130" s="163" t="str">
        <f>IFERROR(VLOOKUP(AD130,TD!$J$66:$K$89,2,0)," ")</f>
        <v>PM/0131/0108/45990160207</v>
      </c>
      <c r="AG130" s="118" t="s">
        <v>385</v>
      </c>
      <c r="AH130" s="162" t="s">
        <v>193</v>
      </c>
      <c r="AI130" s="165" t="str">
        <f>CONCATENATE(PAA[[#This Row],[Id Interno]],"-",PAA[[#This Row],[tipo de Contrato (TH talento humano - B/S bienes y/o servicios)]],"-",S130,"-",T130,"-",PAA[[#This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31" spans="2:35" ht="56" x14ac:dyDescent="0.35">
      <c r="B131" s="23">
        <v>20260093</v>
      </c>
      <c r="C131" s="99" t="s">
        <v>425</v>
      </c>
      <c r="D131" s="23" t="s">
        <v>105</v>
      </c>
      <c r="E131" s="23" t="s">
        <v>363</v>
      </c>
      <c r="F131" s="159" t="s">
        <v>144</v>
      </c>
      <c r="G131" s="160" t="s">
        <v>373</v>
      </c>
      <c r="H131" s="161">
        <v>11</v>
      </c>
      <c r="I131" s="161">
        <v>0</v>
      </c>
      <c r="J131" s="127">
        <v>85158000</v>
      </c>
      <c r="K131" s="88" t="s">
        <v>398</v>
      </c>
      <c r="L131" s="159" t="s">
        <v>152</v>
      </c>
      <c r="M131" s="162" t="s">
        <v>932</v>
      </c>
      <c r="N131" s="23" t="s">
        <v>197</v>
      </c>
      <c r="O131" s="150" t="s">
        <v>925</v>
      </c>
      <c r="P131" s="159" t="s">
        <v>348</v>
      </c>
      <c r="Q131" s="53">
        <v>80111600</v>
      </c>
      <c r="R131" s="162" t="s">
        <v>208</v>
      </c>
      <c r="S131" s="162" t="str">
        <f>MID(PAA[[#This Row],[Meta Proyecto de Inversión]],1,4)</f>
        <v>8126</v>
      </c>
      <c r="T131" s="162" t="str">
        <f>MID(PAA[[#This Row],[Meta Proyecto de Inversión]],6,1)</f>
        <v>9</v>
      </c>
      <c r="U131" s="163" t="str">
        <f>IFERROR(VLOOKUP(N131,TD!$B$50:$F$54,2,0)," ")</f>
        <v>O230117</v>
      </c>
      <c r="V131" s="163" t="str">
        <f>IFERROR(VLOOKUP(N131,TD!$B$50:$F$54,3,0)," ")</f>
        <v>4599</v>
      </c>
      <c r="W131" s="163">
        <f>IFERROR(VLOOKUP(N131,TD!$B$50:$F$54,4,0)," ")</f>
        <v>20240207</v>
      </c>
      <c r="X131" s="162" t="s">
        <v>174</v>
      </c>
      <c r="Y131" s="163" t="str">
        <f>IFERROR(VLOOKUP(X131,TD!$J$51:$K$64,2,0)," ")</f>
        <v>Infraestructura física, mantenimiento y dotación (Sedes construidas, mantenidas reforzadas)</v>
      </c>
      <c r="Z131" s="164" t="str">
        <f t="shared" si="4"/>
        <v>08-Infraestructura física, mantenimiento y dotación (Sedes construidas, mantenidas reforzadas)</v>
      </c>
      <c r="AA131" s="162" t="s">
        <v>227</v>
      </c>
      <c r="AB131" s="163" t="str">
        <f>IFERROR(VLOOKUP(AA131,TD!$N$51:$O$66,2,0)," ")</f>
        <v>Sedes mantenidas</v>
      </c>
      <c r="AC131" s="164" t="str">
        <f t="shared" si="5"/>
        <v>016_Sedes mantenidas</v>
      </c>
      <c r="AD131" s="164" t="str">
        <f t="shared" si="6"/>
        <v>08-Infraestructura física, mantenimiento y dotación (Sedes construidas, mantenidas reforzadas) 016_Sedes mantenidas</v>
      </c>
      <c r="AE131" s="163" t="str">
        <f t="shared" si="7"/>
        <v>O23011745992024020708016</v>
      </c>
      <c r="AF131" s="163" t="str">
        <f>IFERROR(VLOOKUP(AD131,TD!$J$66:$K$89,2,0)," ")</f>
        <v>PM/0131/0108/45990160207</v>
      </c>
      <c r="AG131" s="118" t="s">
        <v>385</v>
      </c>
      <c r="AH131" s="162" t="s">
        <v>193</v>
      </c>
      <c r="AI131" s="165" t="str">
        <f>CONCATENATE(PAA[[#This Row],[Id Interno]],"-",PAA[[#This Row],[tipo de Contrato (TH talento humano - B/S bienes y/o servicios)]],"-",S131,"-",T131,"-",PAA[[#This Row],[Objeto de la contratación]])</f>
        <v>20260093-TH-8126-9-Prestar los servicios profesionales como abogado en la Oficina de Control Interno para el desarrollo del Plan Anual de Auditorías.</v>
      </c>
    </row>
    <row r="132" spans="2:35" ht="56" x14ac:dyDescent="0.35">
      <c r="B132" s="23">
        <v>20260094</v>
      </c>
      <c r="C132" s="99" t="s">
        <v>426</v>
      </c>
      <c r="D132" s="23" t="s">
        <v>105</v>
      </c>
      <c r="E132" s="23" t="s">
        <v>363</v>
      </c>
      <c r="F132" s="159" t="s">
        <v>144</v>
      </c>
      <c r="G132" s="160" t="s">
        <v>373</v>
      </c>
      <c r="H132" s="161">
        <v>11</v>
      </c>
      <c r="I132" s="161">
        <v>0</v>
      </c>
      <c r="J132" s="127">
        <v>85158000</v>
      </c>
      <c r="K132" s="88" t="s">
        <v>398</v>
      </c>
      <c r="L132" s="159" t="s">
        <v>152</v>
      </c>
      <c r="M132" s="162" t="s">
        <v>932</v>
      </c>
      <c r="N132" s="23" t="s">
        <v>197</v>
      </c>
      <c r="O132" s="150" t="s">
        <v>925</v>
      </c>
      <c r="P132" s="159" t="s">
        <v>348</v>
      </c>
      <c r="Q132" s="53">
        <v>80111600</v>
      </c>
      <c r="R132" s="162" t="s">
        <v>208</v>
      </c>
      <c r="S132" s="162" t="str">
        <f>MID(PAA[[#This Row],[Meta Proyecto de Inversión]],1,4)</f>
        <v>8126</v>
      </c>
      <c r="T132" s="162" t="str">
        <f>MID(PAA[[#This Row],[Meta Proyecto de Inversión]],6,1)</f>
        <v>9</v>
      </c>
      <c r="U132" s="163" t="str">
        <f>IFERROR(VLOOKUP(N132,TD!$B$50:$F$54,2,0)," ")</f>
        <v>O230117</v>
      </c>
      <c r="V132" s="163" t="str">
        <f>IFERROR(VLOOKUP(N132,TD!$B$50:$F$54,3,0)," ")</f>
        <v>4599</v>
      </c>
      <c r="W132" s="163">
        <f>IFERROR(VLOOKUP(N132,TD!$B$50:$F$54,4,0)," ")</f>
        <v>20240207</v>
      </c>
      <c r="X132" s="162" t="s">
        <v>174</v>
      </c>
      <c r="Y132" s="163" t="str">
        <f>IFERROR(VLOOKUP(X132,TD!$J$51:$K$64,2,0)," ")</f>
        <v>Infraestructura física, mantenimiento y dotación (Sedes construidas, mantenidas reforzadas)</v>
      </c>
      <c r="Z132" s="164" t="str">
        <f t="shared" si="4"/>
        <v>08-Infraestructura física, mantenimiento y dotación (Sedes construidas, mantenidas reforzadas)</v>
      </c>
      <c r="AA132" s="162" t="s">
        <v>227</v>
      </c>
      <c r="AB132" s="163" t="str">
        <f>IFERROR(VLOOKUP(AA132,TD!$N$51:$O$66,2,0)," ")</f>
        <v>Sedes mantenidas</v>
      </c>
      <c r="AC132" s="164" t="str">
        <f t="shared" si="5"/>
        <v>016_Sedes mantenidas</v>
      </c>
      <c r="AD132" s="164" t="str">
        <f t="shared" si="6"/>
        <v>08-Infraestructura física, mantenimiento y dotación (Sedes construidas, mantenidas reforzadas) 016_Sedes mantenidas</v>
      </c>
      <c r="AE132" s="163" t="str">
        <f t="shared" si="7"/>
        <v>O23011745992024020708016</v>
      </c>
      <c r="AF132" s="163" t="str">
        <f>IFERROR(VLOOKUP(AD132,TD!$J$66:$K$89,2,0)," ")</f>
        <v>PM/0131/0108/45990160207</v>
      </c>
      <c r="AG132" s="118" t="s">
        <v>385</v>
      </c>
      <c r="AH132" s="162" t="s">
        <v>193</v>
      </c>
      <c r="AI132" s="165" t="str">
        <f>CONCATENATE(PAA[[#This Row],[Id Interno]],"-",PAA[[#This Row],[tipo de Contrato (TH talento humano - B/S bienes y/o servicios)]],"-",S132,"-",T132,"-",PAA[[#This Row],[Objeto de la contratación]])</f>
        <v>20260094-TH-8126-9-Prestar los servicios profesionales como contador público en la Oficina de Control Interno para el desarrollo del Plan Anual de Auditorías.</v>
      </c>
    </row>
    <row r="133" spans="2:35" ht="56" x14ac:dyDescent="0.35">
      <c r="B133" s="23">
        <v>20260095</v>
      </c>
      <c r="C133" s="99" t="s">
        <v>427</v>
      </c>
      <c r="D133" s="23" t="s">
        <v>105</v>
      </c>
      <c r="E133" s="23" t="s">
        <v>363</v>
      </c>
      <c r="F133" s="159" t="s">
        <v>144</v>
      </c>
      <c r="G133" s="160" t="s">
        <v>373</v>
      </c>
      <c r="H133" s="161">
        <v>11</v>
      </c>
      <c r="I133" s="161">
        <v>0</v>
      </c>
      <c r="J133" s="127">
        <v>85158000</v>
      </c>
      <c r="K133" s="88" t="s">
        <v>398</v>
      </c>
      <c r="L133" s="159" t="s">
        <v>152</v>
      </c>
      <c r="M133" s="162" t="s">
        <v>932</v>
      </c>
      <c r="N133" s="23" t="s">
        <v>197</v>
      </c>
      <c r="O133" s="150" t="s">
        <v>925</v>
      </c>
      <c r="P133" s="159" t="s">
        <v>348</v>
      </c>
      <c r="Q133" s="53">
        <v>80111600</v>
      </c>
      <c r="R133" s="162" t="s">
        <v>208</v>
      </c>
      <c r="S133" s="162" t="str">
        <f>MID(PAA[[#This Row],[Meta Proyecto de Inversión]],1,4)</f>
        <v>8126</v>
      </c>
      <c r="T133" s="162" t="str">
        <f>MID(PAA[[#This Row],[Meta Proyecto de Inversión]],6,1)</f>
        <v>9</v>
      </c>
      <c r="U133" s="163" t="str">
        <f>IFERROR(VLOOKUP(N133,TD!$B$50:$F$54,2,0)," ")</f>
        <v>O230117</v>
      </c>
      <c r="V133" s="163" t="str">
        <f>IFERROR(VLOOKUP(N133,TD!$B$50:$F$54,3,0)," ")</f>
        <v>4599</v>
      </c>
      <c r="W133" s="163">
        <f>IFERROR(VLOOKUP(N133,TD!$B$50:$F$54,4,0)," ")</f>
        <v>20240207</v>
      </c>
      <c r="X133" s="162" t="s">
        <v>174</v>
      </c>
      <c r="Y133" s="163" t="str">
        <f>IFERROR(VLOOKUP(X133,TD!$J$51:$K$64,2,0)," ")</f>
        <v>Infraestructura física, mantenimiento y dotación (Sedes construidas, mantenidas reforzadas)</v>
      </c>
      <c r="Z133" s="164" t="str">
        <f t="shared" si="4"/>
        <v>08-Infraestructura física, mantenimiento y dotación (Sedes construidas, mantenidas reforzadas)</v>
      </c>
      <c r="AA133" s="162" t="s">
        <v>227</v>
      </c>
      <c r="AB133" s="163" t="str">
        <f>IFERROR(VLOOKUP(AA133,TD!$N$51:$O$66,2,0)," ")</f>
        <v>Sedes mantenidas</v>
      </c>
      <c r="AC133" s="164" t="str">
        <f t="shared" si="5"/>
        <v>016_Sedes mantenidas</v>
      </c>
      <c r="AD133" s="164" t="str">
        <f t="shared" si="6"/>
        <v>08-Infraestructura física, mantenimiento y dotación (Sedes construidas, mantenidas reforzadas) 016_Sedes mantenidas</v>
      </c>
      <c r="AE133" s="163" t="str">
        <f t="shared" si="7"/>
        <v>O23011745992024020708016</v>
      </c>
      <c r="AF133" s="163" t="str">
        <f>IFERROR(VLOOKUP(AD133,TD!$J$66:$K$89,2,0)," ")</f>
        <v>PM/0131/0108/45990160207</v>
      </c>
      <c r="AG133" s="118" t="s">
        <v>385</v>
      </c>
      <c r="AH133" s="162" t="s">
        <v>193</v>
      </c>
      <c r="AI133" s="165" t="str">
        <f>CONCATENATE(PAA[[#This Row],[Id Interno]],"-",PAA[[#This Row],[tipo de Contrato (TH talento humano - B/S bienes y/o servicios)]],"-",S133,"-",T133,"-",PAA[[#This Row],[Objeto de la contratación]])</f>
        <v>20260095-TH-8126-9-Prestar los servicios profesionales en la Oficina de Control Interno para el desarrollo del Plan Anual de Auditorías.</v>
      </c>
    </row>
    <row r="134" spans="2:35" ht="56" x14ac:dyDescent="0.35">
      <c r="B134" s="23">
        <v>20260096</v>
      </c>
      <c r="C134" s="99" t="s">
        <v>427</v>
      </c>
      <c r="D134" s="23" t="s">
        <v>105</v>
      </c>
      <c r="E134" s="23" t="s">
        <v>363</v>
      </c>
      <c r="F134" s="159" t="s">
        <v>144</v>
      </c>
      <c r="G134" s="160" t="s">
        <v>373</v>
      </c>
      <c r="H134" s="161">
        <v>11</v>
      </c>
      <c r="I134" s="161">
        <v>0</v>
      </c>
      <c r="J134" s="127">
        <v>51424000</v>
      </c>
      <c r="K134" s="88" t="s">
        <v>398</v>
      </c>
      <c r="L134" s="159" t="s">
        <v>152</v>
      </c>
      <c r="M134" s="162" t="s">
        <v>932</v>
      </c>
      <c r="N134" s="23" t="s">
        <v>197</v>
      </c>
      <c r="O134" s="150" t="s">
        <v>925</v>
      </c>
      <c r="P134" s="159" t="s">
        <v>348</v>
      </c>
      <c r="Q134" s="53">
        <v>80111600</v>
      </c>
      <c r="R134" s="162" t="s">
        <v>208</v>
      </c>
      <c r="S134" s="162" t="str">
        <f>MID(PAA[[#This Row],[Meta Proyecto de Inversión]],1,4)</f>
        <v>8126</v>
      </c>
      <c r="T134" s="162" t="str">
        <f>MID(PAA[[#This Row],[Meta Proyecto de Inversión]],6,1)</f>
        <v>9</v>
      </c>
      <c r="U134" s="163" t="str">
        <f>IFERROR(VLOOKUP(N134,TD!$B$50:$F$54,2,0)," ")</f>
        <v>O230117</v>
      </c>
      <c r="V134" s="163" t="str">
        <f>IFERROR(VLOOKUP(N134,TD!$B$50:$F$54,3,0)," ")</f>
        <v>4599</v>
      </c>
      <c r="W134" s="163">
        <f>IFERROR(VLOOKUP(N134,TD!$B$50:$F$54,4,0)," ")</f>
        <v>20240207</v>
      </c>
      <c r="X134" s="162" t="s">
        <v>174</v>
      </c>
      <c r="Y134" s="163" t="str">
        <f>IFERROR(VLOOKUP(X134,TD!$J$51:$K$64,2,0)," ")</f>
        <v>Infraestructura física, mantenimiento y dotación (Sedes construidas, mantenidas reforzadas)</v>
      </c>
      <c r="Z134" s="164" t="str">
        <f t="shared" si="4"/>
        <v>08-Infraestructura física, mantenimiento y dotación (Sedes construidas, mantenidas reforzadas)</v>
      </c>
      <c r="AA134" s="162" t="s">
        <v>227</v>
      </c>
      <c r="AB134" s="163" t="str">
        <f>IFERROR(VLOOKUP(AA134,TD!$N$51:$O$66,2,0)," ")</f>
        <v>Sedes mantenidas</v>
      </c>
      <c r="AC134" s="164" t="str">
        <f t="shared" si="5"/>
        <v>016_Sedes mantenidas</v>
      </c>
      <c r="AD134" s="164" t="str">
        <f t="shared" si="6"/>
        <v>08-Infraestructura física, mantenimiento y dotación (Sedes construidas, mantenidas reforzadas) 016_Sedes mantenidas</v>
      </c>
      <c r="AE134" s="163" t="str">
        <f t="shared" si="7"/>
        <v>O23011745992024020708016</v>
      </c>
      <c r="AF134" s="163" t="str">
        <f>IFERROR(VLOOKUP(AD134,TD!$J$66:$K$89,2,0)," ")</f>
        <v>PM/0131/0108/45990160207</v>
      </c>
      <c r="AG134" s="118" t="s">
        <v>385</v>
      </c>
      <c r="AH134" s="162" t="s">
        <v>193</v>
      </c>
      <c r="AI134" s="165" t="str">
        <f>CONCATENATE(PAA[[#This Row],[Id Interno]],"-",PAA[[#This Row],[tipo de Contrato (TH talento humano - B/S bienes y/o servicios)]],"-",S134,"-",T134,"-",PAA[[#This Row],[Objeto de la contratación]])</f>
        <v>20260096-TH-8126-9-Prestar los servicios profesionales en la Oficina de Control Interno para el desarrollo del Plan Anual de Auditorías.</v>
      </c>
    </row>
    <row r="135" spans="2:35" ht="56" x14ac:dyDescent="0.35">
      <c r="B135" s="23">
        <v>20260097</v>
      </c>
      <c r="C135" s="99" t="s">
        <v>428</v>
      </c>
      <c r="D135" s="23" t="s">
        <v>105</v>
      </c>
      <c r="E135" s="23" t="s">
        <v>363</v>
      </c>
      <c r="F135" s="159" t="s">
        <v>145</v>
      </c>
      <c r="G135" s="160" t="s">
        <v>373</v>
      </c>
      <c r="H135" s="161">
        <v>11</v>
      </c>
      <c r="I135" s="161">
        <v>0</v>
      </c>
      <c r="J135" s="127">
        <v>43102000</v>
      </c>
      <c r="K135" s="88" t="s">
        <v>398</v>
      </c>
      <c r="L135" s="159" t="s">
        <v>152</v>
      </c>
      <c r="M135" s="162" t="s">
        <v>932</v>
      </c>
      <c r="N135" s="23" t="s">
        <v>197</v>
      </c>
      <c r="O135" s="150" t="s">
        <v>925</v>
      </c>
      <c r="P135" s="159" t="s">
        <v>348</v>
      </c>
      <c r="Q135" s="53">
        <v>80111600</v>
      </c>
      <c r="R135" s="162" t="s">
        <v>208</v>
      </c>
      <c r="S135" s="162" t="str">
        <f>MID(PAA[[#This Row],[Meta Proyecto de Inversión]],1,4)</f>
        <v>8126</v>
      </c>
      <c r="T135" s="162" t="str">
        <f>MID(PAA[[#This Row],[Meta Proyecto de Inversión]],6,1)</f>
        <v>9</v>
      </c>
      <c r="U135" s="163" t="str">
        <f>IFERROR(VLOOKUP(N135,TD!$B$50:$F$54,2,0)," ")</f>
        <v>O230117</v>
      </c>
      <c r="V135" s="163" t="str">
        <f>IFERROR(VLOOKUP(N135,TD!$B$50:$F$54,3,0)," ")</f>
        <v>4599</v>
      </c>
      <c r="W135" s="163">
        <f>IFERROR(VLOOKUP(N135,TD!$B$50:$F$54,4,0)," ")</f>
        <v>20240207</v>
      </c>
      <c r="X135" s="162" t="s">
        <v>174</v>
      </c>
      <c r="Y135" s="163" t="str">
        <f>IFERROR(VLOOKUP(X135,TD!$J$51:$K$64,2,0)," ")</f>
        <v>Infraestructura física, mantenimiento y dotación (Sedes construidas, mantenidas reforzadas)</v>
      </c>
      <c r="Z135" s="164" t="str">
        <f t="shared" si="4"/>
        <v>08-Infraestructura física, mantenimiento y dotación (Sedes construidas, mantenidas reforzadas)</v>
      </c>
      <c r="AA135" s="162" t="s">
        <v>227</v>
      </c>
      <c r="AB135" s="163" t="str">
        <f>IFERROR(VLOOKUP(AA135,TD!$N$51:$O$66,2,0)," ")</f>
        <v>Sedes mantenidas</v>
      </c>
      <c r="AC135" s="164" t="str">
        <f t="shared" si="5"/>
        <v>016_Sedes mantenidas</v>
      </c>
      <c r="AD135" s="164" t="str">
        <f t="shared" si="6"/>
        <v>08-Infraestructura física, mantenimiento y dotación (Sedes construidas, mantenidas reforzadas) 016_Sedes mantenidas</v>
      </c>
      <c r="AE135" s="163" t="str">
        <f t="shared" si="7"/>
        <v>O23011745992024020708016</v>
      </c>
      <c r="AF135" s="163" t="str">
        <f>IFERROR(VLOOKUP(AD135,TD!$J$66:$K$89,2,0)," ")</f>
        <v>PM/0131/0108/45990160207</v>
      </c>
      <c r="AG135" s="118" t="s">
        <v>385</v>
      </c>
      <c r="AH135" s="162" t="s">
        <v>193</v>
      </c>
      <c r="AI135" s="165" t="str">
        <f>CONCATENATE(PAA[[#This Row],[Id Interno]],"-",PAA[[#This Row],[tipo de Contrato (TH talento humano - B/S bienes y/o servicios)]],"-",S135,"-",T135,"-",PAA[[#This Row],[Objeto de la contratación]])</f>
        <v>20260097-TH-8126-9-Prestar servicios de apoyo a la gestión como técnico en la Oficina de Control Interno para ejecutar procesos y procedimientos administrativos y asistenciales teniendo en cuenta el Plan Anual de Auditorías.</v>
      </c>
    </row>
    <row r="136" spans="2:35" ht="56" x14ac:dyDescent="0.35">
      <c r="B136" s="23">
        <v>20260098</v>
      </c>
      <c r="C136" s="99" t="s">
        <v>403</v>
      </c>
      <c r="D136" s="23" t="s">
        <v>105</v>
      </c>
      <c r="E136" s="23" t="s">
        <v>363</v>
      </c>
      <c r="F136" s="159" t="s">
        <v>144</v>
      </c>
      <c r="G136" s="160" t="s">
        <v>374</v>
      </c>
      <c r="H136" s="161">
        <v>9</v>
      </c>
      <c r="I136" s="161">
        <v>0</v>
      </c>
      <c r="J136" s="127">
        <v>90000000</v>
      </c>
      <c r="K136" s="88" t="s">
        <v>398</v>
      </c>
      <c r="L136" s="159" t="s">
        <v>153</v>
      </c>
      <c r="M136" s="162" t="s">
        <v>420</v>
      </c>
      <c r="N136" s="23" t="s">
        <v>197</v>
      </c>
      <c r="O136" s="150" t="s">
        <v>925</v>
      </c>
      <c r="P136" s="159" t="s">
        <v>348</v>
      </c>
      <c r="Q136" s="53">
        <v>80111600</v>
      </c>
      <c r="R136" s="162" t="s">
        <v>208</v>
      </c>
      <c r="S136" s="162" t="str">
        <f>MID(PAA[[#This Row],[Meta Proyecto de Inversión]],1,4)</f>
        <v>8126</v>
      </c>
      <c r="T136" s="162" t="str">
        <f>MID(PAA[[#This Row],[Meta Proyecto de Inversión]],6,1)</f>
        <v>9</v>
      </c>
      <c r="U136" s="163" t="str">
        <f>IFERROR(VLOOKUP(N136,TD!$B$50:$F$54,2,0)," ")</f>
        <v>O230117</v>
      </c>
      <c r="V136" s="163" t="str">
        <f>IFERROR(VLOOKUP(N136,TD!$B$50:$F$54,3,0)," ")</f>
        <v>4599</v>
      </c>
      <c r="W136" s="163">
        <f>IFERROR(VLOOKUP(N136,TD!$B$50:$F$54,4,0)," ")</f>
        <v>20240207</v>
      </c>
      <c r="X136" s="162" t="s">
        <v>174</v>
      </c>
      <c r="Y136" s="163" t="str">
        <f>IFERROR(VLOOKUP(X136,TD!$J$51:$K$64,2,0)," ")</f>
        <v>Infraestructura física, mantenimiento y dotación (Sedes construidas, mantenidas reforzadas)</v>
      </c>
      <c r="Z136" s="164" t="str">
        <f t="shared" si="4"/>
        <v>08-Infraestructura física, mantenimiento y dotación (Sedes construidas, mantenidas reforzadas)</v>
      </c>
      <c r="AA136" s="162" t="s">
        <v>227</v>
      </c>
      <c r="AB136" s="163" t="str">
        <f>IFERROR(VLOOKUP(AA136,TD!$N$51:$O$66,2,0)," ")</f>
        <v>Sedes mantenidas</v>
      </c>
      <c r="AC136" s="164" t="str">
        <f t="shared" si="5"/>
        <v>016_Sedes mantenidas</v>
      </c>
      <c r="AD136" s="164" t="str">
        <f t="shared" si="6"/>
        <v>08-Infraestructura física, mantenimiento y dotación (Sedes construidas, mantenidas reforzadas) 016_Sedes mantenidas</v>
      </c>
      <c r="AE136" s="163" t="str">
        <f t="shared" si="7"/>
        <v>O23011745992024020708016</v>
      </c>
      <c r="AF136" s="163" t="str">
        <f>IFERROR(VLOOKUP(AD136,TD!$J$66:$K$89,2,0)," ")</f>
        <v>PM/0131/0108/45990160207</v>
      </c>
      <c r="AG136" s="118" t="s">
        <v>385</v>
      </c>
      <c r="AH136" s="162" t="s">
        <v>193</v>
      </c>
      <c r="AI136" s="165" t="str">
        <f>CONCATENATE(PAA[[#This Row],[Id Interno]],"-",PAA[[#This Row],[tipo de Contrato (TH talento humano - B/S bienes y/o servicios)]],"-",S136,"-",T136,"-",PAA[[#This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37" spans="2:35" ht="112" x14ac:dyDescent="0.35">
      <c r="B137" s="23">
        <v>20260099</v>
      </c>
      <c r="C137" s="99" t="s">
        <v>606</v>
      </c>
      <c r="D137" s="23" t="s">
        <v>105</v>
      </c>
      <c r="E137" s="23" t="s">
        <v>363</v>
      </c>
      <c r="F137" s="159" t="s">
        <v>144</v>
      </c>
      <c r="G137" s="160" t="s">
        <v>374</v>
      </c>
      <c r="H137" s="161">
        <v>8</v>
      </c>
      <c r="I137" s="161">
        <v>0</v>
      </c>
      <c r="J137" s="127">
        <v>72000000</v>
      </c>
      <c r="K137" s="88" t="s">
        <v>398</v>
      </c>
      <c r="L137" s="159" t="s">
        <v>153</v>
      </c>
      <c r="M137" s="162" t="s">
        <v>420</v>
      </c>
      <c r="N137" s="23" t="s">
        <v>197</v>
      </c>
      <c r="O137" s="150" t="s">
        <v>925</v>
      </c>
      <c r="P137" s="159" t="s">
        <v>348</v>
      </c>
      <c r="Q137" s="53">
        <v>80111600</v>
      </c>
      <c r="R137" s="162" t="s">
        <v>208</v>
      </c>
      <c r="S137" s="162" t="str">
        <f>MID(PAA[[#This Row],[Meta Proyecto de Inversión]],1,4)</f>
        <v>8126</v>
      </c>
      <c r="T137" s="162" t="str">
        <f>MID(PAA[[#This Row],[Meta Proyecto de Inversión]],6,1)</f>
        <v>9</v>
      </c>
      <c r="U137" s="163" t="str">
        <f>IFERROR(VLOOKUP(N137,TD!$B$50:$F$54,2,0)," ")</f>
        <v>O230117</v>
      </c>
      <c r="V137" s="163" t="str">
        <f>IFERROR(VLOOKUP(N137,TD!$B$50:$F$54,3,0)," ")</f>
        <v>4599</v>
      </c>
      <c r="W137" s="163">
        <f>IFERROR(VLOOKUP(N137,TD!$B$50:$F$54,4,0)," ")</f>
        <v>20240207</v>
      </c>
      <c r="X137" s="162" t="s">
        <v>174</v>
      </c>
      <c r="Y137" s="163" t="str">
        <f>IFERROR(VLOOKUP(X137,TD!$J$51:$K$64,2,0)," ")</f>
        <v>Infraestructura física, mantenimiento y dotación (Sedes construidas, mantenidas reforzadas)</v>
      </c>
      <c r="Z137" s="164" t="str">
        <f t="shared" si="4"/>
        <v>08-Infraestructura física, mantenimiento y dotación (Sedes construidas, mantenidas reforzadas)</v>
      </c>
      <c r="AA137" s="162" t="s">
        <v>227</v>
      </c>
      <c r="AB137" s="163" t="str">
        <f>IFERROR(VLOOKUP(AA137,TD!$N$51:$O$66,2,0)," ")</f>
        <v>Sedes mantenidas</v>
      </c>
      <c r="AC137" s="164" t="str">
        <f t="shared" si="5"/>
        <v>016_Sedes mantenidas</v>
      </c>
      <c r="AD137" s="164" t="str">
        <f t="shared" si="6"/>
        <v>08-Infraestructura física, mantenimiento y dotación (Sedes construidas, mantenidas reforzadas) 016_Sedes mantenidas</v>
      </c>
      <c r="AE137" s="163" t="str">
        <f t="shared" si="7"/>
        <v>O23011745992024020708016</v>
      </c>
      <c r="AF137" s="163" t="str">
        <f>IFERROR(VLOOKUP(AD137,TD!$J$66:$K$89,2,0)," ")</f>
        <v>PM/0131/0108/45990160207</v>
      </c>
      <c r="AG137" s="118" t="s">
        <v>385</v>
      </c>
      <c r="AH137" s="162" t="s">
        <v>193</v>
      </c>
      <c r="AI137" s="165" t="str">
        <f>CONCATENATE(PAA[[#This Row],[Id Interno]],"-",PAA[[#This Row],[tipo de Contrato (TH talento humano - B/S bienes y/o servicios)]],"-",S137,"-",T137,"-",PAA[[#This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38" spans="2:35" ht="56" x14ac:dyDescent="0.35">
      <c r="B138" s="23">
        <v>20260100</v>
      </c>
      <c r="C138" s="99" t="s">
        <v>607</v>
      </c>
      <c r="D138" s="23" t="s">
        <v>105</v>
      </c>
      <c r="E138" s="23" t="s">
        <v>363</v>
      </c>
      <c r="F138" s="159" t="s">
        <v>144</v>
      </c>
      <c r="G138" s="160" t="s">
        <v>374</v>
      </c>
      <c r="H138" s="161">
        <v>8</v>
      </c>
      <c r="I138" s="161">
        <v>0</v>
      </c>
      <c r="J138" s="127">
        <v>29600000</v>
      </c>
      <c r="K138" s="88" t="s">
        <v>398</v>
      </c>
      <c r="L138" s="159" t="s">
        <v>153</v>
      </c>
      <c r="M138" s="162" t="s">
        <v>420</v>
      </c>
      <c r="N138" s="23" t="s">
        <v>197</v>
      </c>
      <c r="O138" s="150" t="s">
        <v>925</v>
      </c>
      <c r="P138" s="159" t="s">
        <v>348</v>
      </c>
      <c r="Q138" s="53">
        <v>80111600</v>
      </c>
      <c r="R138" s="162" t="s">
        <v>208</v>
      </c>
      <c r="S138" s="162" t="str">
        <f>MID(PAA[[#This Row],[Meta Proyecto de Inversión]],1,4)</f>
        <v>8126</v>
      </c>
      <c r="T138" s="162" t="str">
        <f>MID(PAA[[#This Row],[Meta Proyecto de Inversión]],6,1)</f>
        <v>9</v>
      </c>
      <c r="U138" s="163" t="str">
        <f>IFERROR(VLOOKUP(N138,TD!$B$50:$F$54,2,0)," ")</f>
        <v>O230117</v>
      </c>
      <c r="V138" s="163" t="str">
        <f>IFERROR(VLOOKUP(N138,TD!$B$50:$F$54,3,0)," ")</f>
        <v>4599</v>
      </c>
      <c r="W138" s="163">
        <f>IFERROR(VLOOKUP(N138,TD!$B$50:$F$54,4,0)," ")</f>
        <v>20240207</v>
      </c>
      <c r="X138" s="162" t="s">
        <v>174</v>
      </c>
      <c r="Y138" s="163" t="str">
        <f>IFERROR(VLOOKUP(X138,TD!$J$51:$K$64,2,0)," ")</f>
        <v>Infraestructura física, mantenimiento y dotación (Sedes construidas, mantenidas reforzadas)</v>
      </c>
      <c r="Z138" s="164" t="str">
        <f t="shared" si="4"/>
        <v>08-Infraestructura física, mantenimiento y dotación (Sedes construidas, mantenidas reforzadas)</v>
      </c>
      <c r="AA138" s="162" t="s">
        <v>227</v>
      </c>
      <c r="AB138" s="163" t="str">
        <f>IFERROR(VLOOKUP(AA138,TD!$N$51:$O$66,2,0)," ")</f>
        <v>Sedes mantenidas</v>
      </c>
      <c r="AC138" s="164" t="str">
        <f t="shared" si="5"/>
        <v>016_Sedes mantenidas</v>
      </c>
      <c r="AD138" s="164" t="str">
        <f t="shared" si="6"/>
        <v>08-Infraestructura física, mantenimiento y dotación (Sedes construidas, mantenidas reforzadas) 016_Sedes mantenidas</v>
      </c>
      <c r="AE138" s="163" t="str">
        <f t="shared" si="7"/>
        <v>O23011745992024020708016</v>
      </c>
      <c r="AF138" s="163" t="str">
        <f>IFERROR(VLOOKUP(AD138,TD!$J$66:$K$89,2,0)," ")</f>
        <v>PM/0131/0108/45990160207</v>
      </c>
      <c r="AG138" s="118" t="s">
        <v>385</v>
      </c>
      <c r="AH138" s="162" t="s">
        <v>193</v>
      </c>
      <c r="AI138" s="165" t="str">
        <f>CONCATENATE(PAA[[#This Row],[Id Interno]],"-",PAA[[#This Row],[tipo de Contrato (TH talento humano - B/S bienes y/o servicios)]],"-",S138,"-",T138,"-",PAA[[#This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39" spans="2:35" ht="56" x14ac:dyDescent="0.35">
      <c r="B139" s="23">
        <v>20260101</v>
      </c>
      <c r="C139" s="99" t="s">
        <v>608</v>
      </c>
      <c r="D139" s="23" t="s">
        <v>105</v>
      </c>
      <c r="E139" s="23" t="s">
        <v>363</v>
      </c>
      <c r="F139" s="159" t="s">
        <v>144</v>
      </c>
      <c r="G139" s="160" t="s">
        <v>374</v>
      </c>
      <c r="H139" s="161">
        <v>8</v>
      </c>
      <c r="I139" s="161">
        <v>0</v>
      </c>
      <c r="J139" s="127">
        <v>52000000</v>
      </c>
      <c r="K139" s="88" t="s">
        <v>398</v>
      </c>
      <c r="L139" s="159" t="s">
        <v>153</v>
      </c>
      <c r="M139" s="162" t="s">
        <v>420</v>
      </c>
      <c r="N139" s="23" t="s">
        <v>197</v>
      </c>
      <c r="O139" s="150" t="s">
        <v>925</v>
      </c>
      <c r="P139" s="159" t="s">
        <v>348</v>
      </c>
      <c r="Q139" s="53">
        <v>80111600</v>
      </c>
      <c r="R139" s="162" t="s">
        <v>208</v>
      </c>
      <c r="S139" s="162" t="str">
        <f>MID(PAA[[#This Row],[Meta Proyecto de Inversión]],1,4)</f>
        <v>8126</v>
      </c>
      <c r="T139" s="162" t="str">
        <f>MID(PAA[[#This Row],[Meta Proyecto de Inversión]],6,1)</f>
        <v>9</v>
      </c>
      <c r="U139" s="163" t="str">
        <f>IFERROR(VLOOKUP(N139,TD!$B$50:$F$54,2,0)," ")</f>
        <v>O230117</v>
      </c>
      <c r="V139" s="163" t="str">
        <f>IFERROR(VLOOKUP(N139,TD!$B$50:$F$54,3,0)," ")</f>
        <v>4599</v>
      </c>
      <c r="W139" s="163">
        <f>IFERROR(VLOOKUP(N139,TD!$B$50:$F$54,4,0)," ")</f>
        <v>20240207</v>
      </c>
      <c r="X139" s="162" t="s">
        <v>174</v>
      </c>
      <c r="Y139" s="163" t="str">
        <f>IFERROR(VLOOKUP(X139,TD!$J$51:$K$64,2,0)," ")</f>
        <v>Infraestructura física, mantenimiento y dotación (Sedes construidas, mantenidas reforzadas)</v>
      </c>
      <c r="Z139" s="164" t="str">
        <f t="shared" si="4"/>
        <v>08-Infraestructura física, mantenimiento y dotación (Sedes construidas, mantenidas reforzadas)</v>
      </c>
      <c r="AA139" s="162" t="s">
        <v>227</v>
      </c>
      <c r="AB139" s="163" t="str">
        <f>IFERROR(VLOOKUP(AA139,TD!$N$51:$O$66,2,0)," ")</f>
        <v>Sedes mantenidas</v>
      </c>
      <c r="AC139" s="164" t="str">
        <f t="shared" si="5"/>
        <v>016_Sedes mantenidas</v>
      </c>
      <c r="AD139" s="164" t="str">
        <f t="shared" si="6"/>
        <v>08-Infraestructura física, mantenimiento y dotación (Sedes construidas, mantenidas reforzadas) 016_Sedes mantenidas</v>
      </c>
      <c r="AE139" s="163" t="str">
        <f t="shared" si="7"/>
        <v>O23011745992024020708016</v>
      </c>
      <c r="AF139" s="163" t="str">
        <f>IFERROR(VLOOKUP(AD139,TD!$J$66:$K$89,2,0)," ")</f>
        <v>PM/0131/0108/45990160207</v>
      </c>
      <c r="AG139" s="118" t="s">
        <v>385</v>
      </c>
      <c r="AH139" s="162" t="s">
        <v>193</v>
      </c>
      <c r="AI139" s="165" t="str">
        <f>CONCATENATE(PAA[[#This Row],[Id Interno]],"-",PAA[[#This Row],[tipo de Contrato (TH talento humano - B/S bienes y/o servicios)]],"-",S139,"-",T139,"-",PAA[[#This Row],[Objeto de la contratación]])</f>
        <v>20260101-TH-8126-9-Prestar servicios profesionales jurídicos para apoyar las actividades de defensa Judicial y de procesos penales que adelante la UAE Cuerpo Oficial de Bomberos de Bogotá</v>
      </c>
    </row>
    <row r="140" spans="2:35" ht="84" x14ac:dyDescent="0.35">
      <c r="B140" s="23">
        <v>20260102</v>
      </c>
      <c r="C140" s="99" t="s">
        <v>408</v>
      </c>
      <c r="D140" s="23" t="s">
        <v>105</v>
      </c>
      <c r="E140" s="23" t="s">
        <v>363</v>
      </c>
      <c r="F140" s="159" t="s">
        <v>144</v>
      </c>
      <c r="G140" s="160" t="s">
        <v>374</v>
      </c>
      <c r="H140" s="161">
        <v>9</v>
      </c>
      <c r="I140" s="161">
        <v>0</v>
      </c>
      <c r="J140" s="127">
        <v>67500000</v>
      </c>
      <c r="K140" s="88" t="s">
        <v>398</v>
      </c>
      <c r="L140" s="159" t="s">
        <v>153</v>
      </c>
      <c r="M140" s="162" t="s">
        <v>420</v>
      </c>
      <c r="N140" s="23" t="s">
        <v>197</v>
      </c>
      <c r="O140" s="150" t="s">
        <v>925</v>
      </c>
      <c r="P140" s="159" t="s">
        <v>348</v>
      </c>
      <c r="Q140" s="53">
        <v>80111600</v>
      </c>
      <c r="R140" s="162" t="s">
        <v>208</v>
      </c>
      <c r="S140" s="162" t="str">
        <f>MID(PAA[[#This Row],[Meta Proyecto de Inversión]],1,4)</f>
        <v>8126</v>
      </c>
      <c r="T140" s="162" t="str">
        <f>MID(PAA[[#This Row],[Meta Proyecto de Inversión]],6,1)</f>
        <v>9</v>
      </c>
      <c r="U140" s="163" t="str">
        <f>IFERROR(VLOOKUP(N140,TD!$B$50:$F$54,2,0)," ")</f>
        <v>O230117</v>
      </c>
      <c r="V140" s="163" t="str">
        <f>IFERROR(VLOOKUP(N140,TD!$B$50:$F$54,3,0)," ")</f>
        <v>4599</v>
      </c>
      <c r="W140" s="163">
        <f>IFERROR(VLOOKUP(N140,TD!$B$50:$F$54,4,0)," ")</f>
        <v>20240207</v>
      </c>
      <c r="X140" s="162" t="s">
        <v>174</v>
      </c>
      <c r="Y140" s="163" t="str">
        <f>IFERROR(VLOOKUP(X140,TD!$J$51:$K$64,2,0)," ")</f>
        <v>Infraestructura física, mantenimiento y dotación (Sedes construidas, mantenidas reforzadas)</v>
      </c>
      <c r="Z140" s="164" t="str">
        <f t="shared" ref="Z140:Z203" si="8">CONCATENATE(X140,"-",Y140)</f>
        <v>08-Infraestructura física, mantenimiento y dotación (Sedes construidas, mantenidas reforzadas)</v>
      </c>
      <c r="AA140" s="162" t="s">
        <v>227</v>
      </c>
      <c r="AB140" s="163" t="str">
        <f>IFERROR(VLOOKUP(AA140,TD!$N$51:$O$66,2,0)," ")</f>
        <v>Sedes mantenidas</v>
      </c>
      <c r="AC140" s="164" t="str">
        <f t="shared" ref="AC140:AC203" si="9">CONCATENATE(AA140,"_",AB140)</f>
        <v>016_Sedes mantenidas</v>
      </c>
      <c r="AD140" s="164" t="str">
        <f t="shared" ref="AD140:AD203" si="10">CONCATENATE(Z140," ",AC140)</f>
        <v>08-Infraestructura física, mantenimiento y dotación (Sedes construidas, mantenidas reforzadas) 016_Sedes mantenidas</v>
      </c>
      <c r="AE140" s="163" t="str">
        <f t="shared" ref="AE140:AE203" si="11">CONCATENATE(U140,V140,W140,X140,AA140)</f>
        <v>O23011745992024020708016</v>
      </c>
      <c r="AF140" s="163" t="str">
        <f>IFERROR(VLOOKUP(AD140,TD!$J$66:$K$89,2,0)," ")</f>
        <v>PM/0131/0108/45990160207</v>
      </c>
      <c r="AG140" s="118" t="s">
        <v>385</v>
      </c>
      <c r="AH140" s="162" t="s">
        <v>193</v>
      </c>
      <c r="AI140" s="165" t="str">
        <f>CONCATENATE(PAA[[#This Row],[Id Interno]],"-",PAA[[#This Row],[tipo de Contrato (TH talento humano - B/S bienes y/o servicios)]],"-",S140,"-",T140,"-",PAA[[#This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1" spans="2:35" ht="70" x14ac:dyDescent="0.35">
      <c r="B141" s="23">
        <v>20260103</v>
      </c>
      <c r="C141" s="99" t="s">
        <v>410</v>
      </c>
      <c r="D141" s="23" t="s">
        <v>105</v>
      </c>
      <c r="E141" s="23" t="s">
        <v>363</v>
      </c>
      <c r="F141" s="159" t="s">
        <v>144</v>
      </c>
      <c r="G141" s="160" t="s">
        <v>374</v>
      </c>
      <c r="H141" s="161">
        <v>8</v>
      </c>
      <c r="I141" s="161">
        <v>0</v>
      </c>
      <c r="J141" s="127">
        <v>53600000</v>
      </c>
      <c r="K141" s="88" t="s">
        <v>398</v>
      </c>
      <c r="L141" s="159" t="s">
        <v>153</v>
      </c>
      <c r="M141" s="162" t="s">
        <v>420</v>
      </c>
      <c r="N141" s="23" t="s">
        <v>197</v>
      </c>
      <c r="O141" s="150" t="s">
        <v>925</v>
      </c>
      <c r="P141" s="159" t="s">
        <v>348</v>
      </c>
      <c r="Q141" s="53">
        <v>80111600</v>
      </c>
      <c r="R141" s="162" t="s">
        <v>208</v>
      </c>
      <c r="S141" s="162" t="str">
        <f>MID(PAA[[#This Row],[Meta Proyecto de Inversión]],1,4)</f>
        <v>8126</v>
      </c>
      <c r="T141" s="162" t="str">
        <f>MID(PAA[[#This Row],[Meta Proyecto de Inversión]],6,1)</f>
        <v>9</v>
      </c>
      <c r="U141" s="163" t="str">
        <f>IFERROR(VLOOKUP(N141,TD!$B$50:$F$54,2,0)," ")</f>
        <v>O230117</v>
      </c>
      <c r="V141" s="163" t="str">
        <f>IFERROR(VLOOKUP(N141,TD!$B$50:$F$54,3,0)," ")</f>
        <v>4599</v>
      </c>
      <c r="W141" s="163">
        <f>IFERROR(VLOOKUP(N141,TD!$B$50:$F$54,4,0)," ")</f>
        <v>20240207</v>
      </c>
      <c r="X141" s="162" t="s">
        <v>174</v>
      </c>
      <c r="Y141" s="163" t="str">
        <f>IFERROR(VLOOKUP(X141,TD!$J$51:$K$64,2,0)," ")</f>
        <v>Infraestructura física, mantenimiento y dotación (Sedes construidas, mantenidas reforzadas)</v>
      </c>
      <c r="Z141" s="164" t="str">
        <f t="shared" si="8"/>
        <v>08-Infraestructura física, mantenimiento y dotación (Sedes construidas, mantenidas reforzadas)</v>
      </c>
      <c r="AA141" s="162" t="s">
        <v>227</v>
      </c>
      <c r="AB141" s="163" t="str">
        <f>IFERROR(VLOOKUP(AA141,TD!$N$51:$O$66,2,0)," ")</f>
        <v>Sedes mantenidas</v>
      </c>
      <c r="AC141" s="164" t="str">
        <f t="shared" si="9"/>
        <v>016_Sedes mantenidas</v>
      </c>
      <c r="AD141" s="164" t="str">
        <f t="shared" si="10"/>
        <v>08-Infraestructura física, mantenimiento y dotación (Sedes construidas, mantenidas reforzadas) 016_Sedes mantenidas</v>
      </c>
      <c r="AE141" s="163" t="str">
        <f t="shared" si="11"/>
        <v>O23011745992024020708016</v>
      </c>
      <c r="AF141" s="163" t="str">
        <f>IFERROR(VLOOKUP(AD141,TD!$J$66:$K$89,2,0)," ")</f>
        <v>PM/0131/0108/45990160207</v>
      </c>
      <c r="AG141" s="118" t="s">
        <v>385</v>
      </c>
      <c r="AH141" s="162" t="s">
        <v>193</v>
      </c>
      <c r="AI141" s="165" t="str">
        <f>CONCATENATE(PAA[[#This Row],[Id Interno]],"-",PAA[[#This Row],[tipo de Contrato (TH talento humano - B/S bienes y/o servicios)]],"-",S141,"-",T141,"-",PAA[[#This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2" spans="2:35" ht="70" x14ac:dyDescent="0.35">
      <c r="B142" s="23">
        <v>20260104</v>
      </c>
      <c r="C142" s="99" t="s">
        <v>410</v>
      </c>
      <c r="D142" s="23" t="s">
        <v>105</v>
      </c>
      <c r="E142" s="23" t="s">
        <v>363</v>
      </c>
      <c r="F142" s="159" t="s">
        <v>144</v>
      </c>
      <c r="G142" s="160" t="s">
        <v>374</v>
      </c>
      <c r="H142" s="161">
        <v>4</v>
      </c>
      <c r="I142" s="161">
        <v>0</v>
      </c>
      <c r="J142" s="127">
        <v>24800000</v>
      </c>
      <c r="K142" s="88" t="s">
        <v>398</v>
      </c>
      <c r="L142" s="159" t="s">
        <v>153</v>
      </c>
      <c r="M142" s="162" t="s">
        <v>420</v>
      </c>
      <c r="N142" s="23" t="s">
        <v>197</v>
      </c>
      <c r="O142" s="150" t="s">
        <v>925</v>
      </c>
      <c r="P142" s="159" t="s">
        <v>348</v>
      </c>
      <c r="Q142" s="53">
        <v>80111600</v>
      </c>
      <c r="R142" s="162" t="s">
        <v>208</v>
      </c>
      <c r="S142" s="162" t="str">
        <f>MID(PAA[[#This Row],[Meta Proyecto de Inversión]],1,4)</f>
        <v>8126</v>
      </c>
      <c r="T142" s="162" t="str">
        <f>MID(PAA[[#This Row],[Meta Proyecto de Inversión]],6,1)</f>
        <v>9</v>
      </c>
      <c r="U142" s="163" t="str">
        <f>IFERROR(VLOOKUP(N142,TD!$B$50:$F$54,2,0)," ")</f>
        <v>O230117</v>
      </c>
      <c r="V142" s="163" t="str">
        <f>IFERROR(VLOOKUP(N142,TD!$B$50:$F$54,3,0)," ")</f>
        <v>4599</v>
      </c>
      <c r="W142" s="163">
        <f>IFERROR(VLOOKUP(N142,TD!$B$50:$F$54,4,0)," ")</f>
        <v>20240207</v>
      </c>
      <c r="X142" s="162" t="s">
        <v>174</v>
      </c>
      <c r="Y142" s="163" t="str">
        <f>IFERROR(VLOOKUP(X142,TD!$J$51:$K$64,2,0)," ")</f>
        <v>Infraestructura física, mantenimiento y dotación (Sedes construidas, mantenidas reforzadas)</v>
      </c>
      <c r="Z142" s="164" t="str">
        <f t="shared" si="8"/>
        <v>08-Infraestructura física, mantenimiento y dotación (Sedes construidas, mantenidas reforzadas)</v>
      </c>
      <c r="AA142" s="162" t="s">
        <v>227</v>
      </c>
      <c r="AB142" s="163" t="str">
        <f>IFERROR(VLOOKUP(AA142,TD!$N$51:$O$66,2,0)," ")</f>
        <v>Sedes mantenidas</v>
      </c>
      <c r="AC142" s="164" t="str">
        <f t="shared" si="9"/>
        <v>016_Sedes mantenidas</v>
      </c>
      <c r="AD142" s="164" t="str">
        <f t="shared" si="10"/>
        <v>08-Infraestructura física, mantenimiento y dotación (Sedes construidas, mantenidas reforzadas) 016_Sedes mantenidas</v>
      </c>
      <c r="AE142" s="163" t="str">
        <f t="shared" si="11"/>
        <v>O23011745992024020708016</v>
      </c>
      <c r="AF142" s="163" t="str">
        <f>IFERROR(VLOOKUP(AD142,TD!$J$66:$K$89,2,0)," ")</f>
        <v>PM/0131/0108/45990160207</v>
      </c>
      <c r="AG142" s="118" t="s">
        <v>385</v>
      </c>
      <c r="AH142" s="162" t="s">
        <v>193</v>
      </c>
      <c r="AI142" s="165" t="str">
        <f>CONCATENATE(PAA[[#This Row],[Id Interno]],"-",PAA[[#This Row],[tipo de Contrato (TH talento humano - B/S bienes y/o servicios)]],"-",S142,"-",T142,"-",PAA[[#This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3" spans="2:35" ht="70" x14ac:dyDescent="0.35">
      <c r="B143" s="23">
        <v>20260105</v>
      </c>
      <c r="C143" s="99" t="s">
        <v>410</v>
      </c>
      <c r="D143" s="23" t="s">
        <v>105</v>
      </c>
      <c r="E143" s="23" t="s">
        <v>363</v>
      </c>
      <c r="F143" s="159" t="s">
        <v>144</v>
      </c>
      <c r="G143" s="160" t="s">
        <v>374</v>
      </c>
      <c r="H143" s="161">
        <v>8</v>
      </c>
      <c r="I143" s="161">
        <v>0</v>
      </c>
      <c r="J143" s="127">
        <v>53600000</v>
      </c>
      <c r="K143" s="88" t="s">
        <v>398</v>
      </c>
      <c r="L143" s="159" t="s">
        <v>153</v>
      </c>
      <c r="M143" s="162" t="s">
        <v>420</v>
      </c>
      <c r="N143" s="23" t="s">
        <v>197</v>
      </c>
      <c r="O143" s="150" t="s">
        <v>925</v>
      </c>
      <c r="P143" s="159" t="s">
        <v>348</v>
      </c>
      <c r="Q143" s="53">
        <v>80111600</v>
      </c>
      <c r="R143" s="162" t="s">
        <v>208</v>
      </c>
      <c r="S143" s="162" t="str">
        <f>MID(PAA[[#This Row],[Meta Proyecto de Inversión]],1,4)</f>
        <v>8126</v>
      </c>
      <c r="T143" s="162" t="str">
        <f>MID(PAA[[#This Row],[Meta Proyecto de Inversión]],6,1)</f>
        <v>9</v>
      </c>
      <c r="U143" s="163" t="str">
        <f>IFERROR(VLOOKUP(N143,TD!$B$50:$F$54,2,0)," ")</f>
        <v>O230117</v>
      </c>
      <c r="V143" s="163" t="str">
        <f>IFERROR(VLOOKUP(N143,TD!$B$50:$F$54,3,0)," ")</f>
        <v>4599</v>
      </c>
      <c r="W143" s="163">
        <f>IFERROR(VLOOKUP(N143,TD!$B$50:$F$54,4,0)," ")</f>
        <v>20240207</v>
      </c>
      <c r="X143" s="162" t="s">
        <v>174</v>
      </c>
      <c r="Y143" s="163" t="str">
        <f>IFERROR(VLOOKUP(X143,TD!$J$51:$K$64,2,0)," ")</f>
        <v>Infraestructura física, mantenimiento y dotación (Sedes construidas, mantenidas reforzadas)</v>
      </c>
      <c r="Z143" s="164" t="str">
        <f t="shared" si="8"/>
        <v>08-Infraestructura física, mantenimiento y dotación (Sedes construidas, mantenidas reforzadas)</v>
      </c>
      <c r="AA143" s="162" t="s">
        <v>227</v>
      </c>
      <c r="AB143" s="163" t="str">
        <f>IFERROR(VLOOKUP(AA143,TD!$N$51:$O$66,2,0)," ")</f>
        <v>Sedes mantenidas</v>
      </c>
      <c r="AC143" s="164" t="str">
        <f t="shared" si="9"/>
        <v>016_Sedes mantenidas</v>
      </c>
      <c r="AD143" s="164" t="str">
        <f t="shared" si="10"/>
        <v>08-Infraestructura física, mantenimiento y dotación (Sedes construidas, mantenidas reforzadas) 016_Sedes mantenidas</v>
      </c>
      <c r="AE143" s="163" t="str">
        <f t="shared" si="11"/>
        <v>O23011745992024020708016</v>
      </c>
      <c r="AF143" s="163" t="str">
        <f>IFERROR(VLOOKUP(AD143,TD!$J$66:$K$89,2,0)," ")</f>
        <v>PM/0131/0108/45990160207</v>
      </c>
      <c r="AG143" s="118" t="s">
        <v>385</v>
      </c>
      <c r="AH143" s="162" t="s">
        <v>193</v>
      </c>
      <c r="AI143" s="165" t="str">
        <f>CONCATENATE(PAA[[#This Row],[Id Interno]],"-",PAA[[#This Row],[tipo de Contrato (TH talento humano - B/S bienes y/o servicios)]],"-",S143,"-",T143,"-",PAA[[#This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4" spans="2:35" ht="56" x14ac:dyDescent="0.35">
      <c r="B144" s="23">
        <v>20260106</v>
      </c>
      <c r="C144" s="99" t="s">
        <v>404</v>
      </c>
      <c r="D144" s="23" t="s">
        <v>105</v>
      </c>
      <c r="E144" s="23" t="s">
        <v>363</v>
      </c>
      <c r="F144" s="159" t="s">
        <v>144</v>
      </c>
      <c r="G144" s="160" t="s">
        <v>374</v>
      </c>
      <c r="H144" s="161">
        <v>9</v>
      </c>
      <c r="I144" s="161">
        <v>0</v>
      </c>
      <c r="J144" s="127">
        <v>94500000</v>
      </c>
      <c r="K144" s="88" t="s">
        <v>398</v>
      </c>
      <c r="L144" s="159" t="s">
        <v>153</v>
      </c>
      <c r="M144" s="162" t="s">
        <v>420</v>
      </c>
      <c r="N144" s="23" t="s">
        <v>197</v>
      </c>
      <c r="O144" s="150" t="s">
        <v>925</v>
      </c>
      <c r="P144" s="159" t="s">
        <v>348</v>
      </c>
      <c r="Q144" s="53">
        <v>80111600</v>
      </c>
      <c r="R144" s="162" t="s">
        <v>208</v>
      </c>
      <c r="S144" s="162" t="str">
        <f>MID(PAA[[#This Row],[Meta Proyecto de Inversión]],1,4)</f>
        <v>8126</v>
      </c>
      <c r="T144" s="162" t="str">
        <f>MID(PAA[[#This Row],[Meta Proyecto de Inversión]],6,1)</f>
        <v>9</v>
      </c>
      <c r="U144" s="163" t="str">
        <f>IFERROR(VLOOKUP(N144,TD!$B$50:$F$54,2,0)," ")</f>
        <v>O230117</v>
      </c>
      <c r="V144" s="163" t="str">
        <f>IFERROR(VLOOKUP(N144,TD!$B$50:$F$54,3,0)," ")</f>
        <v>4599</v>
      </c>
      <c r="W144" s="163">
        <f>IFERROR(VLOOKUP(N144,TD!$B$50:$F$54,4,0)," ")</f>
        <v>20240207</v>
      </c>
      <c r="X144" s="162" t="s">
        <v>174</v>
      </c>
      <c r="Y144" s="163" t="str">
        <f>IFERROR(VLOOKUP(X144,TD!$J$51:$K$64,2,0)," ")</f>
        <v>Infraestructura física, mantenimiento y dotación (Sedes construidas, mantenidas reforzadas)</v>
      </c>
      <c r="Z144" s="164" t="str">
        <f t="shared" si="8"/>
        <v>08-Infraestructura física, mantenimiento y dotación (Sedes construidas, mantenidas reforzadas)</v>
      </c>
      <c r="AA144" s="162" t="s">
        <v>227</v>
      </c>
      <c r="AB144" s="163" t="str">
        <f>IFERROR(VLOOKUP(AA144,TD!$N$51:$O$66,2,0)," ")</f>
        <v>Sedes mantenidas</v>
      </c>
      <c r="AC144" s="164" t="str">
        <f t="shared" si="9"/>
        <v>016_Sedes mantenidas</v>
      </c>
      <c r="AD144" s="164" t="str">
        <f t="shared" si="10"/>
        <v>08-Infraestructura física, mantenimiento y dotación (Sedes construidas, mantenidas reforzadas) 016_Sedes mantenidas</v>
      </c>
      <c r="AE144" s="163" t="str">
        <f t="shared" si="11"/>
        <v>O23011745992024020708016</v>
      </c>
      <c r="AF144" s="163" t="str">
        <f>IFERROR(VLOOKUP(AD144,TD!$J$66:$K$89,2,0)," ")</f>
        <v>PM/0131/0108/45990160207</v>
      </c>
      <c r="AG144" s="118" t="s">
        <v>385</v>
      </c>
      <c r="AH144" s="162" t="s">
        <v>193</v>
      </c>
      <c r="AI144" s="165" t="str">
        <f>CONCATENATE(PAA[[#This Row],[Id Interno]],"-",PAA[[#This Row],[tipo de Contrato (TH talento humano - B/S bienes y/o servicios)]],"-",S144,"-",T144,"-",PAA[[#This Row],[Objeto de la contratación]])</f>
        <v>20260106-TH-8126-9-Prestar los servicios profesionales jurídicos especializados en la Oficina Jurídica que garantice la verificación de la legalidad, en apoyo a cada una de las actuaciones a cargo de esta Oficina.</v>
      </c>
    </row>
    <row r="145" spans="2:35" ht="56" x14ac:dyDescent="0.35">
      <c r="B145" s="23">
        <v>20260107</v>
      </c>
      <c r="C145" s="99" t="s">
        <v>405</v>
      </c>
      <c r="D145" s="23" t="s">
        <v>105</v>
      </c>
      <c r="E145" s="23" t="s">
        <v>363</v>
      </c>
      <c r="F145" s="159" t="s">
        <v>144</v>
      </c>
      <c r="G145" s="160" t="s">
        <v>374</v>
      </c>
      <c r="H145" s="161">
        <v>8</v>
      </c>
      <c r="I145" s="161">
        <v>0</v>
      </c>
      <c r="J145" s="127">
        <v>77200000</v>
      </c>
      <c r="K145" s="88" t="s">
        <v>398</v>
      </c>
      <c r="L145" s="159" t="s">
        <v>153</v>
      </c>
      <c r="M145" s="162" t="s">
        <v>420</v>
      </c>
      <c r="N145" s="23" t="s">
        <v>197</v>
      </c>
      <c r="O145" s="150" t="s">
        <v>925</v>
      </c>
      <c r="P145" s="159" t="s">
        <v>348</v>
      </c>
      <c r="Q145" s="53">
        <v>80111600</v>
      </c>
      <c r="R145" s="162" t="s">
        <v>208</v>
      </c>
      <c r="S145" s="162" t="str">
        <f>MID(PAA[[#This Row],[Meta Proyecto de Inversión]],1,4)</f>
        <v>8126</v>
      </c>
      <c r="T145" s="162" t="str">
        <f>MID(PAA[[#This Row],[Meta Proyecto de Inversión]],6,1)</f>
        <v>9</v>
      </c>
      <c r="U145" s="163" t="str">
        <f>IFERROR(VLOOKUP(N145,TD!$B$50:$F$54,2,0)," ")</f>
        <v>O230117</v>
      </c>
      <c r="V145" s="163" t="str">
        <f>IFERROR(VLOOKUP(N145,TD!$B$50:$F$54,3,0)," ")</f>
        <v>4599</v>
      </c>
      <c r="W145" s="163">
        <f>IFERROR(VLOOKUP(N145,TD!$B$50:$F$54,4,0)," ")</f>
        <v>20240207</v>
      </c>
      <c r="X145" s="162" t="s">
        <v>174</v>
      </c>
      <c r="Y145" s="163" t="str">
        <f>IFERROR(VLOOKUP(X145,TD!$J$51:$K$64,2,0)," ")</f>
        <v>Infraestructura física, mantenimiento y dotación (Sedes construidas, mantenidas reforzadas)</v>
      </c>
      <c r="Z145" s="164" t="str">
        <f t="shared" si="8"/>
        <v>08-Infraestructura física, mantenimiento y dotación (Sedes construidas, mantenidas reforzadas)</v>
      </c>
      <c r="AA145" s="162" t="s">
        <v>227</v>
      </c>
      <c r="AB145" s="163" t="str">
        <f>IFERROR(VLOOKUP(AA145,TD!$N$51:$O$66,2,0)," ")</f>
        <v>Sedes mantenidas</v>
      </c>
      <c r="AC145" s="164" t="str">
        <f t="shared" si="9"/>
        <v>016_Sedes mantenidas</v>
      </c>
      <c r="AD145" s="164" t="str">
        <f t="shared" si="10"/>
        <v>08-Infraestructura física, mantenimiento y dotación (Sedes construidas, mantenidas reforzadas) 016_Sedes mantenidas</v>
      </c>
      <c r="AE145" s="163" t="str">
        <f t="shared" si="11"/>
        <v>O23011745992024020708016</v>
      </c>
      <c r="AF145" s="163" t="str">
        <f>IFERROR(VLOOKUP(AD145,TD!$J$66:$K$89,2,0)," ")</f>
        <v>PM/0131/0108/45990160207</v>
      </c>
      <c r="AG145" s="118" t="s">
        <v>385</v>
      </c>
      <c r="AH145" s="162" t="s">
        <v>193</v>
      </c>
      <c r="AI145" s="165" t="str">
        <f>CONCATENATE(PAA[[#This Row],[Id Interno]],"-",PAA[[#This Row],[tipo de Contrato (TH talento humano - B/S bienes y/o servicios)]],"-",S145,"-",T145,"-",PAA[[#This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46" spans="2:35" ht="56" x14ac:dyDescent="0.35">
      <c r="B146" s="23">
        <v>20260108</v>
      </c>
      <c r="C146" s="99" t="s">
        <v>406</v>
      </c>
      <c r="D146" s="23" t="s">
        <v>105</v>
      </c>
      <c r="E146" s="23" t="s">
        <v>363</v>
      </c>
      <c r="F146" s="159" t="s">
        <v>144</v>
      </c>
      <c r="G146" s="160" t="s">
        <v>374</v>
      </c>
      <c r="H146" s="161">
        <v>8</v>
      </c>
      <c r="I146" s="161">
        <v>0</v>
      </c>
      <c r="J146" s="127">
        <v>52000000</v>
      </c>
      <c r="K146" s="88" t="s">
        <v>398</v>
      </c>
      <c r="L146" s="159" t="s">
        <v>153</v>
      </c>
      <c r="M146" s="162" t="s">
        <v>420</v>
      </c>
      <c r="N146" s="23" t="s">
        <v>197</v>
      </c>
      <c r="O146" s="150" t="s">
        <v>925</v>
      </c>
      <c r="P146" s="159" t="s">
        <v>348</v>
      </c>
      <c r="Q146" s="53">
        <v>80111600</v>
      </c>
      <c r="R146" s="162" t="s">
        <v>208</v>
      </c>
      <c r="S146" s="162" t="str">
        <f>MID(PAA[[#This Row],[Meta Proyecto de Inversión]],1,4)</f>
        <v>8126</v>
      </c>
      <c r="T146" s="162" t="str">
        <f>MID(PAA[[#This Row],[Meta Proyecto de Inversión]],6,1)</f>
        <v>9</v>
      </c>
      <c r="U146" s="163" t="str">
        <f>IFERROR(VLOOKUP(N146,TD!$B$50:$F$54,2,0)," ")</f>
        <v>O230117</v>
      </c>
      <c r="V146" s="163" t="str">
        <f>IFERROR(VLOOKUP(N146,TD!$B$50:$F$54,3,0)," ")</f>
        <v>4599</v>
      </c>
      <c r="W146" s="163">
        <f>IFERROR(VLOOKUP(N146,TD!$B$50:$F$54,4,0)," ")</f>
        <v>20240207</v>
      </c>
      <c r="X146" s="162" t="s">
        <v>174</v>
      </c>
      <c r="Y146" s="163" t="str">
        <f>IFERROR(VLOOKUP(X146,TD!$J$51:$K$64,2,0)," ")</f>
        <v>Infraestructura física, mantenimiento y dotación (Sedes construidas, mantenidas reforzadas)</v>
      </c>
      <c r="Z146" s="164" t="str">
        <f t="shared" si="8"/>
        <v>08-Infraestructura física, mantenimiento y dotación (Sedes construidas, mantenidas reforzadas)</v>
      </c>
      <c r="AA146" s="162" t="s">
        <v>227</v>
      </c>
      <c r="AB146" s="163" t="str">
        <f>IFERROR(VLOOKUP(AA146,TD!$N$51:$O$66,2,0)," ")</f>
        <v>Sedes mantenidas</v>
      </c>
      <c r="AC146" s="164" t="str">
        <f t="shared" si="9"/>
        <v>016_Sedes mantenidas</v>
      </c>
      <c r="AD146" s="164" t="str">
        <f t="shared" si="10"/>
        <v>08-Infraestructura física, mantenimiento y dotación (Sedes construidas, mantenidas reforzadas) 016_Sedes mantenidas</v>
      </c>
      <c r="AE146" s="163" t="str">
        <f t="shared" si="11"/>
        <v>O23011745992024020708016</v>
      </c>
      <c r="AF146" s="163" t="str">
        <f>IFERROR(VLOOKUP(AD146,TD!$J$66:$K$89,2,0)," ")</f>
        <v>PM/0131/0108/45990160207</v>
      </c>
      <c r="AG146" s="118" t="s">
        <v>385</v>
      </c>
      <c r="AH146" s="162" t="s">
        <v>193</v>
      </c>
      <c r="AI146" s="165" t="str">
        <f>CONCATENATE(PAA[[#This Row],[Id Interno]],"-",PAA[[#This Row],[tipo de Contrato (TH talento humano - B/S bienes y/o servicios)]],"-",S146,"-",T146,"-",PAA[[#This Row],[Objeto de la contratación]])</f>
        <v>20260108-TH-8126-9-Prestar servicios profesionales para apoyar en la estructuración de las acciones de mejora, elaboración de informes y soporte de las funciones administrativas y de mejora</v>
      </c>
    </row>
    <row r="147" spans="2:35" ht="56" x14ac:dyDescent="0.35">
      <c r="B147" s="23">
        <v>20260109</v>
      </c>
      <c r="C147" s="99" t="s">
        <v>407</v>
      </c>
      <c r="D147" s="23" t="s">
        <v>105</v>
      </c>
      <c r="E147" s="23" t="s">
        <v>363</v>
      </c>
      <c r="F147" s="159" t="s">
        <v>144</v>
      </c>
      <c r="G147" s="160" t="s">
        <v>374</v>
      </c>
      <c r="H147" s="161">
        <v>6</v>
      </c>
      <c r="I147" s="161">
        <v>0</v>
      </c>
      <c r="J147" s="127">
        <v>30300000</v>
      </c>
      <c r="K147" s="88" t="s">
        <v>398</v>
      </c>
      <c r="L147" s="159" t="s">
        <v>153</v>
      </c>
      <c r="M147" s="162" t="s">
        <v>420</v>
      </c>
      <c r="N147" s="23" t="s">
        <v>197</v>
      </c>
      <c r="O147" s="150" t="s">
        <v>925</v>
      </c>
      <c r="P147" s="159" t="s">
        <v>348</v>
      </c>
      <c r="Q147" s="53">
        <v>80111600</v>
      </c>
      <c r="R147" s="162" t="s">
        <v>208</v>
      </c>
      <c r="S147" s="162" t="str">
        <f>MID(PAA[[#This Row],[Meta Proyecto de Inversión]],1,4)</f>
        <v>8126</v>
      </c>
      <c r="T147" s="162" t="str">
        <f>MID(PAA[[#This Row],[Meta Proyecto de Inversión]],6,1)</f>
        <v>9</v>
      </c>
      <c r="U147" s="163" t="str">
        <f>IFERROR(VLOOKUP(N147,TD!$B$50:$F$54,2,0)," ")</f>
        <v>O230117</v>
      </c>
      <c r="V147" s="163" t="str">
        <f>IFERROR(VLOOKUP(N147,TD!$B$50:$F$54,3,0)," ")</f>
        <v>4599</v>
      </c>
      <c r="W147" s="163">
        <f>IFERROR(VLOOKUP(N147,TD!$B$50:$F$54,4,0)," ")</f>
        <v>20240207</v>
      </c>
      <c r="X147" s="162" t="s">
        <v>174</v>
      </c>
      <c r="Y147" s="163" t="str">
        <f>IFERROR(VLOOKUP(X147,TD!$J$51:$K$64,2,0)," ")</f>
        <v>Infraestructura física, mantenimiento y dotación (Sedes construidas, mantenidas reforzadas)</v>
      </c>
      <c r="Z147" s="164" t="str">
        <f t="shared" si="8"/>
        <v>08-Infraestructura física, mantenimiento y dotación (Sedes construidas, mantenidas reforzadas)</v>
      </c>
      <c r="AA147" s="162" t="s">
        <v>227</v>
      </c>
      <c r="AB147" s="163" t="str">
        <f>IFERROR(VLOOKUP(AA147,TD!$N$51:$O$66,2,0)," ")</f>
        <v>Sedes mantenidas</v>
      </c>
      <c r="AC147" s="164" t="str">
        <f t="shared" si="9"/>
        <v>016_Sedes mantenidas</v>
      </c>
      <c r="AD147" s="164" t="str">
        <f t="shared" si="10"/>
        <v>08-Infraestructura física, mantenimiento y dotación (Sedes construidas, mantenidas reforzadas) 016_Sedes mantenidas</v>
      </c>
      <c r="AE147" s="163" t="str">
        <f t="shared" si="11"/>
        <v>O23011745992024020708016</v>
      </c>
      <c r="AF147" s="163" t="str">
        <f>IFERROR(VLOOKUP(AD147,TD!$J$66:$K$89,2,0)," ")</f>
        <v>PM/0131/0108/45990160207</v>
      </c>
      <c r="AG147" s="118" t="s">
        <v>385</v>
      </c>
      <c r="AH147" s="162" t="s">
        <v>193</v>
      </c>
      <c r="AI147" s="165" t="str">
        <f>CONCATENATE(PAA[[#This Row],[Id Interno]],"-",PAA[[#This Row],[tipo de Contrato (TH talento humano - B/S bienes y/o servicios)]],"-",S147,"-",T147,"-",PAA[[#This Row],[Objeto de la contratación]])</f>
        <v>20260109-TH-8126-9-Prestar los servicios profesionales jurídicos especializados para apoyar el desarrollo de las funciones de la Oficina Jurídica</v>
      </c>
    </row>
    <row r="148" spans="2:35" ht="84" x14ac:dyDescent="0.35">
      <c r="B148" s="23">
        <v>20260110</v>
      </c>
      <c r="C148" s="99" t="s">
        <v>408</v>
      </c>
      <c r="D148" s="23" t="s">
        <v>105</v>
      </c>
      <c r="E148" s="23" t="s">
        <v>363</v>
      </c>
      <c r="F148" s="159" t="s">
        <v>144</v>
      </c>
      <c r="G148" s="160" t="s">
        <v>374</v>
      </c>
      <c r="H148" s="161">
        <v>9</v>
      </c>
      <c r="I148" s="161">
        <v>0</v>
      </c>
      <c r="J148" s="127">
        <v>76500000</v>
      </c>
      <c r="K148" s="88" t="s">
        <v>398</v>
      </c>
      <c r="L148" s="159" t="s">
        <v>153</v>
      </c>
      <c r="M148" s="162" t="s">
        <v>420</v>
      </c>
      <c r="N148" s="23" t="s">
        <v>197</v>
      </c>
      <c r="O148" s="150" t="s">
        <v>925</v>
      </c>
      <c r="P148" s="159" t="s">
        <v>348</v>
      </c>
      <c r="Q148" s="53">
        <v>80111600</v>
      </c>
      <c r="R148" s="162" t="s">
        <v>208</v>
      </c>
      <c r="S148" s="162" t="str">
        <f>MID(PAA[[#This Row],[Meta Proyecto de Inversión]],1,4)</f>
        <v>8126</v>
      </c>
      <c r="T148" s="162" t="str">
        <f>MID(PAA[[#This Row],[Meta Proyecto de Inversión]],6,1)</f>
        <v>9</v>
      </c>
      <c r="U148" s="163" t="str">
        <f>IFERROR(VLOOKUP(N148,TD!$B$50:$F$54,2,0)," ")</f>
        <v>O230117</v>
      </c>
      <c r="V148" s="163" t="str">
        <f>IFERROR(VLOOKUP(N148,TD!$B$50:$F$54,3,0)," ")</f>
        <v>4599</v>
      </c>
      <c r="W148" s="163">
        <f>IFERROR(VLOOKUP(N148,TD!$B$50:$F$54,4,0)," ")</f>
        <v>20240207</v>
      </c>
      <c r="X148" s="162" t="s">
        <v>174</v>
      </c>
      <c r="Y148" s="163" t="str">
        <f>IFERROR(VLOOKUP(X148,TD!$J$51:$K$64,2,0)," ")</f>
        <v>Infraestructura física, mantenimiento y dotación (Sedes construidas, mantenidas reforzadas)</v>
      </c>
      <c r="Z148" s="164" t="str">
        <f t="shared" si="8"/>
        <v>08-Infraestructura física, mantenimiento y dotación (Sedes construidas, mantenidas reforzadas)</v>
      </c>
      <c r="AA148" s="162" t="s">
        <v>227</v>
      </c>
      <c r="AB148" s="163" t="str">
        <f>IFERROR(VLOOKUP(AA148,TD!$N$51:$O$66,2,0)," ")</f>
        <v>Sedes mantenidas</v>
      </c>
      <c r="AC148" s="164" t="str">
        <f t="shared" si="9"/>
        <v>016_Sedes mantenidas</v>
      </c>
      <c r="AD148" s="164" t="str">
        <f t="shared" si="10"/>
        <v>08-Infraestructura física, mantenimiento y dotación (Sedes construidas, mantenidas reforzadas) 016_Sedes mantenidas</v>
      </c>
      <c r="AE148" s="163" t="str">
        <f t="shared" si="11"/>
        <v>O23011745992024020708016</v>
      </c>
      <c r="AF148" s="163" t="str">
        <f>IFERROR(VLOOKUP(AD148,TD!$J$66:$K$89,2,0)," ")</f>
        <v>PM/0131/0108/45990160207</v>
      </c>
      <c r="AG148" s="118" t="s">
        <v>385</v>
      </c>
      <c r="AH148" s="162" t="s">
        <v>193</v>
      </c>
      <c r="AI148" s="165" t="str">
        <f>CONCATENATE(PAA[[#This Row],[Id Interno]],"-",PAA[[#This Row],[tipo de Contrato (TH talento humano - B/S bienes y/o servicios)]],"-",S148,"-",T148,"-",PAA[[#This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9" spans="2:35" ht="84" x14ac:dyDescent="0.35">
      <c r="B149" s="23">
        <v>20260111</v>
      </c>
      <c r="C149" s="99" t="s">
        <v>408</v>
      </c>
      <c r="D149" s="23" t="s">
        <v>105</v>
      </c>
      <c r="E149" s="23" t="s">
        <v>363</v>
      </c>
      <c r="F149" s="159" t="s">
        <v>144</v>
      </c>
      <c r="G149" s="160" t="s">
        <v>374</v>
      </c>
      <c r="H149" s="161">
        <v>9</v>
      </c>
      <c r="I149" s="161">
        <v>0</v>
      </c>
      <c r="J149" s="127">
        <v>76500000</v>
      </c>
      <c r="K149" s="88" t="s">
        <v>398</v>
      </c>
      <c r="L149" s="159" t="s">
        <v>153</v>
      </c>
      <c r="M149" s="162" t="s">
        <v>420</v>
      </c>
      <c r="N149" s="23" t="s">
        <v>197</v>
      </c>
      <c r="O149" s="150" t="s">
        <v>925</v>
      </c>
      <c r="P149" s="159" t="s">
        <v>348</v>
      </c>
      <c r="Q149" s="53">
        <v>80111600</v>
      </c>
      <c r="R149" s="162" t="s">
        <v>208</v>
      </c>
      <c r="S149" s="162" t="str">
        <f>MID(PAA[[#This Row],[Meta Proyecto de Inversión]],1,4)</f>
        <v>8126</v>
      </c>
      <c r="T149" s="162" t="str">
        <f>MID(PAA[[#This Row],[Meta Proyecto de Inversión]],6,1)</f>
        <v>9</v>
      </c>
      <c r="U149" s="163" t="str">
        <f>IFERROR(VLOOKUP(N149,TD!$B$50:$F$54,2,0)," ")</f>
        <v>O230117</v>
      </c>
      <c r="V149" s="163" t="str">
        <f>IFERROR(VLOOKUP(N149,TD!$B$50:$F$54,3,0)," ")</f>
        <v>4599</v>
      </c>
      <c r="W149" s="163">
        <f>IFERROR(VLOOKUP(N149,TD!$B$50:$F$54,4,0)," ")</f>
        <v>20240207</v>
      </c>
      <c r="X149" s="162" t="s">
        <v>174</v>
      </c>
      <c r="Y149" s="163" t="str">
        <f>IFERROR(VLOOKUP(X149,TD!$J$51:$K$64,2,0)," ")</f>
        <v>Infraestructura física, mantenimiento y dotación (Sedes construidas, mantenidas reforzadas)</v>
      </c>
      <c r="Z149" s="164" t="str">
        <f t="shared" si="8"/>
        <v>08-Infraestructura física, mantenimiento y dotación (Sedes construidas, mantenidas reforzadas)</v>
      </c>
      <c r="AA149" s="162" t="s">
        <v>227</v>
      </c>
      <c r="AB149" s="163" t="str">
        <f>IFERROR(VLOOKUP(AA149,TD!$N$51:$O$66,2,0)," ")</f>
        <v>Sedes mantenidas</v>
      </c>
      <c r="AC149" s="164" t="str">
        <f t="shared" si="9"/>
        <v>016_Sedes mantenidas</v>
      </c>
      <c r="AD149" s="164" t="str">
        <f t="shared" si="10"/>
        <v>08-Infraestructura física, mantenimiento y dotación (Sedes construidas, mantenidas reforzadas) 016_Sedes mantenidas</v>
      </c>
      <c r="AE149" s="163" t="str">
        <f t="shared" si="11"/>
        <v>O23011745992024020708016</v>
      </c>
      <c r="AF149" s="163" t="str">
        <f>IFERROR(VLOOKUP(AD149,TD!$J$66:$K$89,2,0)," ")</f>
        <v>PM/0131/0108/45990160207</v>
      </c>
      <c r="AG149" s="118" t="s">
        <v>385</v>
      </c>
      <c r="AH149" s="162" t="s">
        <v>193</v>
      </c>
      <c r="AI149" s="165" t="str">
        <f>CONCATENATE(PAA[[#This Row],[Id Interno]],"-",PAA[[#This Row],[tipo de Contrato (TH talento humano - B/S bienes y/o servicios)]],"-",S149,"-",T149,"-",PAA[[#This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0" spans="2:35" ht="70" x14ac:dyDescent="0.35">
      <c r="B150" s="23">
        <v>20260112</v>
      </c>
      <c r="C150" s="99" t="s">
        <v>409</v>
      </c>
      <c r="D150" s="23" t="s">
        <v>105</v>
      </c>
      <c r="E150" s="23" t="s">
        <v>363</v>
      </c>
      <c r="F150" s="159" t="s">
        <v>144</v>
      </c>
      <c r="G150" s="160" t="s">
        <v>374</v>
      </c>
      <c r="H150" s="161">
        <v>9</v>
      </c>
      <c r="I150" s="161">
        <v>0</v>
      </c>
      <c r="J150" s="127">
        <v>76500000</v>
      </c>
      <c r="K150" s="88" t="s">
        <v>398</v>
      </c>
      <c r="L150" s="159" t="s">
        <v>153</v>
      </c>
      <c r="M150" s="162" t="s">
        <v>420</v>
      </c>
      <c r="N150" s="23" t="s">
        <v>197</v>
      </c>
      <c r="O150" s="150" t="s">
        <v>925</v>
      </c>
      <c r="P150" s="159" t="s">
        <v>348</v>
      </c>
      <c r="Q150" s="53">
        <v>80111600</v>
      </c>
      <c r="R150" s="162" t="s">
        <v>208</v>
      </c>
      <c r="S150" s="162" t="str">
        <f>MID(PAA[[#This Row],[Meta Proyecto de Inversión]],1,4)</f>
        <v>8126</v>
      </c>
      <c r="T150" s="162" t="str">
        <f>MID(PAA[[#This Row],[Meta Proyecto de Inversión]],6,1)</f>
        <v>9</v>
      </c>
      <c r="U150" s="163" t="str">
        <f>IFERROR(VLOOKUP(N150,TD!$B$50:$F$54,2,0)," ")</f>
        <v>O230117</v>
      </c>
      <c r="V150" s="163" t="str">
        <f>IFERROR(VLOOKUP(N150,TD!$B$50:$F$54,3,0)," ")</f>
        <v>4599</v>
      </c>
      <c r="W150" s="163">
        <f>IFERROR(VLOOKUP(N150,TD!$B$50:$F$54,4,0)," ")</f>
        <v>20240207</v>
      </c>
      <c r="X150" s="162" t="s">
        <v>174</v>
      </c>
      <c r="Y150" s="163" t="str">
        <f>IFERROR(VLOOKUP(X150,TD!$J$51:$K$64,2,0)," ")</f>
        <v>Infraestructura física, mantenimiento y dotación (Sedes construidas, mantenidas reforzadas)</v>
      </c>
      <c r="Z150" s="164" t="str">
        <f t="shared" si="8"/>
        <v>08-Infraestructura física, mantenimiento y dotación (Sedes construidas, mantenidas reforzadas)</v>
      </c>
      <c r="AA150" s="162" t="s">
        <v>227</v>
      </c>
      <c r="AB150" s="163" t="str">
        <f>IFERROR(VLOOKUP(AA150,TD!$N$51:$O$66,2,0)," ")</f>
        <v>Sedes mantenidas</v>
      </c>
      <c r="AC150" s="164" t="str">
        <f t="shared" si="9"/>
        <v>016_Sedes mantenidas</v>
      </c>
      <c r="AD150" s="164" t="str">
        <f t="shared" si="10"/>
        <v>08-Infraestructura física, mantenimiento y dotación (Sedes construidas, mantenidas reforzadas) 016_Sedes mantenidas</v>
      </c>
      <c r="AE150" s="163" t="str">
        <f t="shared" si="11"/>
        <v>O23011745992024020708016</v>
      </c>
      <c r="AF150" s="163" t="str">
        <f>IFERROR(VLOOKUP(AD150,TD!$J$66:$K$89,2,0)," ")</f>
        <v>PM/0131/0108/45990160207</v>
      </c>
      <c r="AG150" s="118" t="s">
        <v>385</v>
      </c>
      <c r="AH150" s="162" t="s">
        <v>193</v>
      </c>
      <c r="AI150" s="165" t="str">
        <f>CONCATENATE(PAA[[#This Row],[Id Interno]],"-",PAA[[#This Row],[tipo de Contrato (TH talento humano - B/S bienes y/o servicios)]],"-",S150,"-",T150,"-",PAA[[#This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51" spans="2:35" ht="84" x14ac:dyDescent="0.35">
      <c r="B151" s="23">
        <v>20260113</v>
      </c>
      <c r="C151" s="99" t="s">
        <v>408</v>
      </c>
      <c r="D151" s="23" t="s">
        <v>105</v>
      </c>
      <c r="E151" s="23" t="s">
        <v>363</v>
      </c>
      <c r="F151" s="159" t="s">
        <v>144</v>
      </c>
      <c r="G151" s="160" t="s">
        <v>374</v>
      </c>
      <c r="H151" s="161">
        <v>9</v>
      </c>
      <c r="I151" s="161">
        <v>0</v>
      </c>
      <c r="J151" s="127">
        <v>76500000</v>
      </c>
      <c r="K151" s="88" t="s">
        <v>398</v>
      </c>
      <c r="L151" s="159" t="s">
        <v>153</v>
      </c>
      <c r="M151" s="162" t="s">
        <v>420</v>
      </c>
      <c r="N151" s="23" t="s">
        <v>197</v>
      </c>
      <c r="O151" s="150" t="s">
        <v>925</v>
      </c>
      <c r="P151" s="159" t="s">
        <v>348</v>
      </c>
      <c r="Q151" s="53">
        <v>80111600</v>
      </c>
      <c r="R151" s="162" t="s">
        <v>208</v>
      </c>
      <c r="S151" s="162" t="str">
        <f>MID(PAA[[#This Row],[Meta Proyecto de Inversión]],1,4)</f>
        <v>8126</v>
      </c>
      <c r="T151" s="162" t="str">
        <f>MID(PAA[[#This Row],[Meta Proyecto de Inversión]],6,1)</f>
        <v>9</v>
      </c>
      <c r="U151" s="163" t="str">
        <f>IFERROR(VLOOKUP(N151,TD!$B$50:$F$54,2,0)," ")</f>
        <v>O230117</v>
      </c>
      <c r="V151" s="163" t="str">
        <f>IFERROR(VLOOKUP(N151,TD!$B$50:$F$54,3,0)," ")</f>
        <v>4599</v>
      </c>
      <c r="W151" s="163">
        <f>IFERROR(VLOOKUP(N151,TD!$B$50:$F$54,4,0)," ")</f>
        <v>20240207</v>
      </c>
      <c r="X151" s="162" t="s">
        <v>174</v>
      </c>
      <c r="Y151" s="163" t="str">
        <f>IFERROR(VLOOKUP(X151,TD!$J$51:$K$64,2,0)," ")</f>
        <v>Infraestructura física, mantenimiento y dotación (Sedes construidas, mantenidas reforzadas)</v>
      </c>
      <c r="Z151" s="164" t="str">
        <f t="shared" si="8"/>
        <v>08-Infraestructura física, mantenimiento y dotación (Sedes construidas, mantenidas reforzadas)</v>
      </c>
      <c r="AA151" s="162" t="s">
        <v>227</v>
      </c>
      <c r="AB151" s="163" t="str">
        <f>IFERROR(VLOOKUP(AA151,TD!$N$51:$O$66,2,0)," ")</f>
        <v>Sedes mantenidas</v>
      </c>
      <c r="AC151" s="164" t="str">
        <f t="shared" si="9"/>
        <v>016_Sedes mantenidas</v>
      </c>
      <c r="AD151" s="164" t="str">
        <f t="shared" si="10"/>
        <v>08-Infraestructura física, mantenimiento y dotación (Sedes construidas, mantenidas reforzadas) 016_Sedes mantenidas</v>
      </c>
      <c r="AE151" s="163" t="str">
        <f t="shared" si="11"/>
        <v>O23011745992024020708016</v>
      </c>
      <c r="AF151" s="163" t="str">
        <f>IFERROR(VLOOKUP(AD151,TD!$J$66:$K$89,2,0)," ")</f>
        <v>PM/0131/0108/45990160207</v>
      </c>
      <c r="AG151" s="118" t="s">
        <v>385</v>
      </c>
      <c r="AH151" s="162" t="s">
        <v>193</v>
      </c>
      <c r="AI151" s="165" t="str">
        <f>CONCATENATE(PAA[[#This Row],[Id Interno]],"-",PAA[[#This Row],[tipo de Contrato (TH talento humano - B/S bienes y/o servicios)]],"-",S151,"-",T151,"-",PAA[[#This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2" spans="2:35" ht="84" x14ac:dyDescent="0.35">
      <c r="B152" s="23">
        <v>20260114</v>
      </c>
      <c r="C152" s="99" t="s">
        <v>408</v>
      </c>
      <c r="D152" s="23" t="s">
        <v>105</v>
      </c>
      <c r="E152" s="23" t="s">
        <v>363</v>
      </c>
      <c r="F152" s="159" t="s">
        <v>144</v>
      </c>
      <c r="G152" s="160" t="s">
        <v>374</v>
      </c>
      <c r="H152" s="161">
        <v>9</v>
      </c>
      <c r="I152" s="161">
        <v>0</v>
      </c>
      <c r="J152" s="127">
        <v>72000000</v>
      </c>
      <c r="K152" s="88" t="s">
        <v>398</v>
      </c>
      <c r="L152" s="159" t="s">
        <v>153</v>
      </c>
      <c r="M152" s="162" t="s">
        <v>420</v>
      </c>
      <c r="N152" s="23" t="s">
        <v>197</v>
      </c>
      <c r="O152" s="150" t="s">
        <v>925</v>
      </c>
      <c r="P152" s="159" t="s">
        <v>348</v>
      </c>
      <c r="Q152" s="53">
        <v>80111600</v>
      </c>
      <c r="R152" s="162" t="s">
        <v>208</v>
      </c>
      <c r="S152" s="162" t="str">
        <f>MID(PAA[[#This Row],[Meta Proyecto de Inversión]],1,4)</f>
        <v>8126</v>
      </c>
      <c r="T152" s="162" t="str">
        <f>MID(PAA[[#This Row],[Meta Proyecto de Inversión]],6,1)</f>
        <v>9</v>
      </c>
      <c r="U152" s="163" t="str">
        <f>IFERROR(VLOOKUP(N152,TD!$B$50:$F$54,2,0)," ")</f>
        <v>O230117</v>
      </c>
      <c r="V152" s="163" t="str">
        <f>IFERROR(VLOOKUP(N152,TD!$B$50:$F$54,3,0)," ")</f>
        <v>4599</v>
      </c>
      <c r="W152" s="163">
        <f>IFERROR(VLOOKUP(N152,TD!$B$50:$F$54,4,0)," ")</f>
        <v>20240207</v>
      </c>
      <c r="X152" s="162" t="s">
        <v>174</v>
      </c>
      <c r="Y152" s="163" t="str">
        <f>IFERROR(VLOOKUP(X152,TD!$J$51:$K$64,2,0)," ")</f>
        <v>Infraestructura física, mantenimiento y dotación (Sedes construidas, mantenidas reforzadas)</v>
      </c>
      <c r="Z152" s="164" t="str">
        <f t="shared" si="8"/>
        <v>08-Infraestructura física, mantenimiento y dotación (Sedes construidas, mantenidas reforzadas)</v>
      </c>
      <c r="AA152" s="162" t="s">
        <v>227</v>
      </c>
      <c r="AB152" s="163" t="str">
        <f>IFERROR(VLOOKUP(AA152,TD!$N$51:$O$66,2,0)," ")</f>
        <v>Sedes mantenidas</v>
      </c>
      <c r="AC152" s="164" t="str">
        <f t="shared" si="9"/>
        <v>016_Sedes mantenidas</v>
      </c>
      <c r="AD152" s="164" t="str">
        <f t="shared" si="10"/>
        <v>08-Infraestructura física, mantenimiento y dotación (Sedes construidas, mantenidas reforzadas) 016_Sedes mantenidas</v>
      </c>
      <c r="AE152" s="163" t="str">
        <f t="shared" si="11"/>
        <v>O23011745992024020708016</v>
      </c>
      <c r="AF152" s="163" t="str">
        <f>IFERROR(VLOOKUP(AD152,TD!$J$66:$K$89,2,0)," ")</f>
        <v>PM/0131/0108/45990160207</v>
      </c>
      <c r="AG152" s="118" t="s">
        <v>385</v>
      </c>
      <c r="AH152" s="162" t="s">
        <v>193</v>
      </c>
      <c r="AI152" s="165" t="str">
        <f>CONCATENATE(PAA[[#This Row],[Id Interno]],"-",PAA[[#This Row],[tipo de Contrato (TH talento humano - B/S bienes y/o servicios)]],"-",S152,"-",T152,"-",PAA[[#This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3" spans="2:35" ht="70" x14ac:dyDescent="0.35">
      <c r="B153" s="23">
        <v>20260115</v>
      </c>
      <c r="C153" s="99" t="s">
        <v>410</v>
      </c>
      <c r="D153" s="23" t="s">
        <v>105</v>
      </c>
      <c r="E153" s="23" t="s">
        <v>363</v>
      </c>
      <c r="F153" s="159" t="s">
        <v>145</v>
      </c>
      <c r="G153" s="160" t="s">
        <v>374</v>
      </c>
      <c r="H153" s="161">
        <v>9</v>
      </c>
      <c r="I153" s="161">
        <v>0</v>
      </c>
      <c r="J153" s="127">
        <v>60300000</v>
      </c>
      <c r="K153" s="88" t="s">
        <v>398</v>
      </c>
      <c r="L153" s="159" t="s">
        <v>153</v>
      </c>
      <c r="M153" s="162" t="s">
        <v>420</v>
      </c>
      <c r="N153" s="23" t="s">
        <v>197</v>
      </c>
      <c r="O153" s="150" t="s">
        <v>925</v>
      </c>
      <c r="P153" s="159" t="s">
        <v>348</v>
      </c>
      <c r="Q153" s="53">
        <v>80111600</v>
      </c>
      <c r="R153" s="162" t="s">
        <v>208</v>
      </c>
      <c r="S153" s="162" t="str">
        <f>MID(PAA[[#This Row],[Meta Proyecto de Inversión]],1,4)</f>
        <v>8126</v>
      </c>
      <c r="T153" s="162" t="str">
        <f>MID(PAA[[#This Row],[Meta Proyecto de Inversión]],6,1)</f>
        <v>9</v>
      </c>
      <c r="U153" s="163" t="str">
        <f>IFERROR(VLOOKUP(N153,TD!$B$50:$F$54,2,0)," ")</f>
        <v>O230117</v>
      </c>
      <c r="V153" s="163" t="str">
        <f>IFERROR(VLOOKUP(N153,TD!$B$50:$F$54,3,0)," ")</f>
        <v>4599</v>
      </c>
      <c r="W153" s="163">
        <f>IFERROR(VLOOKUP(N153,TD!$B$50:$F$54,4,0)," ")</f>
        <v>20240207</v>
      </c>
      <c r="X153" s="162" t="s">
        <v>174</v>
      </c>
      <c r="Y153" s="163" t="str">
        <f>IFERROR(VLOOKUP(X153,TD!$J$51:$K$64,2,0)," ")</f>
        <v>Infraestructura física, mantenimiento y dotación (Sedes construidas, mantenidas reforzadas)</v>
      </c>
      <c r="Z153" s="164" t="str">
        <f t="shared" si="8"/>
        <v>08-Infraestructura física, mantenimiento y dotación (Sedes construidas, mantenidas reforzadas)</v>
      </c>
      <c r="AA153" s="162" t="s">
        <v>227</v>
      </c>
      <c r="AB153" s="163" t="str">
        <f>IFERROR(VLOOKUP(AA153,TD!$N$51:$O$66,2,0)," ")</f>
        <v>Sedes mantenidas</v>
      </c>
      <c r="AC153" s="164" t="str">
        <f t="shared" si="9"/>
        <v>016_Sedes mantenidas</v>
      </c>
      <c r="AD153" s="164" t="str">
        <f t="shared" si="10"/>
        <v>08-Infraestructura física, mantenimiento y dotación (Sedes construidas, mantenidas reforzadas) 016_Sedes mantenidas</v>
      </c>
      <c r="AE153" s="163" t="str">
        <f t="shared" si="11"/>
        <v>O23011745992024020708016</v>
      </c>
      <c r="AF153" s="163" t="str">
        <f>IFERROR(VLOOKUP(AD153,TD!$J$66:$K$89,2,0)," ")</f>
        <v>PM/0131/0108/45990160207</v>
      </c>
      <c r="AG153" s="118" t="s">
        <v>385</v>
      </c>
      <c r="AH153" s="162" t="s">
        <v>193</v>
      </c>
      <c r="AI153" s="165" t="str">
        <f>CONCATENATE(PAA[[#This Row],[Id Interno]],"-",PAA[[#This Row],[tipo de Contrato (TH talento humano - B/S bienes y/o servicios)]],"-",S153,"-",T153,"-",PAA[[#This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4" spans="2:35" ht="70" x14ac:dyDescent="0.35">
      <c r="B154" s="23">
        <v>20260116</v>
      </c>
      <c r="C154" s="99" t="s">
        <v>410</v>
      </c>
      <c r="D154" s="23" t="s">
        <v>105</v>
      </c>
      <c r="E154" s="23" t="s">
        <v>363</v>
      </c>
      <c r="F154" s="159" t="s">
        <v>145</v>
      </c>
      <c r="G154" s="160" t="s">
        <v>374</v>
      </c>
      <c r="H154" s="161">
        <v>8</v>
      </c>
      <c r="I154" s="161">
        <v>0</v>
      </c>
      <c r="J154" s="127">
        <v>46400000</v>
      </c>
      <c r="K154" s="88" t="s">
        <v>398</v>
      </c>
      <c r="L154" s="159" t="s">
        <v>153</v>
      </c>
      <c r="M154" s="162" t="s">
        <v>420</v>
      </c>
      <c r="N154" s="23" t="s">
        <v>197</v>
      </c>
      <c r="O154" s="150" t="s">
        <v>925</v>
      </c>
      <c r="P154" s="159" t="s">
        <v>348</v>
      </c>
      <c r="Q154" s="53">
        <v>80111600</v>
      </c>
      <c r="R154" s="162" t="s">
        <v>208</v>
      </c>
      <c r="S154" s="162" t="str">
        <f>MID(PAA[[#This Row],[Meta Proyecto de Inversión]],1,4)</f>
        <v>8126</v>
      </c>
      <c r="T154" s="162" t="str">
        <f>MID(PAA[[#This Row],[Meta Proyecto de Inversión]],6,1)</f>
        <v>9</v>
      </c>
      <c r="U154" s="163" t="str">
        <f>IFERROR(VLOOKUP(N154,TD!$B$50:$F$54,2,0)," ")</f>
        <v>O230117</v>
      </c>
      <c r="V154" s="163" t="str">
        <f>IFERROR(VLOOKUP(N154,TD!$B$50:$F$54,3,0)," ")</f>
        <v>4599</v>
      </c>
      <c r="W154" s="163">
        <f>IFERROR(VLOOKUP(N154,TD!$B$50:$F$54,4,0)," ")</f>
        <v>20240207</v>
      </c>
      <c r="X154" s="162" t="s">
        <v>174</v>
      </c>
      <c r="Y154" s="163" t="str">
        <f>IFERROR(VLOOKUP(X154,TD!$J$51:$K$64,2,0)," ")</f>
        <v>Infraestructura física, mantenimiento y dotación (Sedes construidas, mantenidas reforzadas)</v>
      </c>
      <c r="Z154" s="164" t="str">
        <f t="shared" si="8"/>
        <v>08-Infraestructura física, mantenimiento y dotación (Sedes construidas, mantenidas reforzadas)</v>
      </c>
      <c r="AA154" s="162" t="s">
        <v>227</v>
      </c>
      <c r="AB154" s="163" t="str">
        <f>IFERROR(VLOOKUP(AA154,TD!$N$51:$O$66,2,0)," ")</f>
        <v>Sedes mantenidas</v>
      </c>
      <c r="AC154" s="164" t="str">
        <f t="shared" si="9"/>
        <v>016_Sedes mantenidas</v>
      </c>
      <c r="AD154" s="164" t="str">
        <f t="shared" si="10"/>
        <v>08-Infraestructura física, mantenimiento y dotación (Sedes construidas, mantenidas reforzadas) 016_Sedes mantenidas</v>
      </c>
      <c r="AE154" s="163" t="str">
        <f t="shared" si="11"/>
        <v>O23011745992024020708016</v>
      </c>
      <c r="AF154" s="163" t="str">
        <f>IFERROR(VLOOKUP(AD154,TD!$J$66:$K$89,2,0)," ")</f>
        <v>PM/0131/0108/45990160207</v>
      </c>
      <c r="AG154" s="118" t="s">
        <v>385</v>
      </c>
      <c r="AH154" s="162" t="s">
        <v>193</v>
      </c>
      <c r="AI154" s="165" t="str">
        <f>CONCATENATE(PAA[[#This Row],[Id Interno]],"-",PAA[[#This Row],[tipo de Contrato (TH talento humano - B/S bienes y/o servicios)]],"-",S154,"-",T154,"-",PAA[[#This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5" spans="2:35" ht="56" x14ac:dyDescent="0.35">
      <c r="B155" s="23">
        <v>20260117</v>
      </c>
      <c r="C155" s="99" t="s">
        <v>411</v>
      </c>
      <c r="D155" s="23" t="s">
        <v>105</v>
      </c>
      <c r="E155" s="23" t="s">
        <v>363</v>
      </c>
      <c r="F155" s="159" t="s">
        <v>144</v>
      </c>
      <c r="G155" s="160" t="s">
        <v>374</v>
      </c>
      <c r="H155" s="161">
        <v>8</v>
      </c>
      <c r="I155" s="161">
        <v>0</v>
      </c>
      <c r="J155" s="127">
        <v>72000000</v>
      </c>
      <c r="K155" s="88" t="s">
        <v>398</v>
      </c>
      <c r="L155" s="159" t="s">
        <v>153</v>
      </c>
      <c r="M155" s="162" t="s">
        <v>420</v>
      </c>
      <c r="N155" s="23" t="s">
        <v>197</v>
      </c>
      <c r="O155" s="150" t="s">
        <v>925</v>
      </c>
      <c r="P155" s="159" t="s">
        <v>348</v>
      </c>
      <c r="Q155" s="53">
        <v>80111600</v>
      </c>
      <c r="R155" s="162" t="s">
        <v>208</v>
      </c>
      <c r="S155" s="162" t="str">
        <f>MID(PAA[[#This Row],[Meta Proyecto de Inversión]],1,4)</f>
        <v>8126</v>
      </c>
      <c r="T155" s="162" t="str">
        <f>MID(PAA[[#This Row],[Meta Proyecto de Inversión]],6,1)</f>
        <v>9</v>
      </c>
      <c r="U155" s="163" t="str">
        <f>IFERROR(VLOOKUP(N155,TD!$B$50:$F$54,2,0)," ")</f>
        <v>O230117</v>
      </c>
      <c r="V155" s="163" t="str">
        <f>IFERROR(VLOOKUP(N155,TD!$B$50:$F$54,3,0)," ")</f>
        <v>4599</v>
      </c>
      <c r="W155" s="163">
        <f>IFERROR(VLOOKUP(N155,TD!$B$50:$F$54,4,0)," ")</f>
        <v>20240207</v>
      </c>
      <c r="X155" s="162" t="s">
        <v>174</v>
      </c>
      <c r="Y155" s="163" t="str">
        <f>IFERROR(VLOOKUP(X155,TD!$J$51:$K$64,2,0)," ")</f>
        <v>Infraestructura física, mantenimiento y dotación (Sedes construidas, mantenidas reforzadas)</v>
      </c>
      <c r="Z155" s="164" t="str">
        <f t="shared" si="8"/>
        <v>08-Infraestructura física, mantenimiento y dotación (Sedes construidas, mantenidas reforzadas)</v>
      </c>
      <c r="AA155" s="162" t="s">
        <v>227</v>
      </c>
      <c r="AB155" s="163" t="str">
        <f>IFERROR(VLOOKUP(AA155,TD!$N$51:$O$66,2,0)," ")</f>
        <v>Sedes mantenidas</v>
      </c>
      <c r="AC155" s="164" t="str">
        <f t="shared" si="9"/>
        <v>016_Sedes mantenidas</v>
      </c>
      <c r="AD155" s="164" t="str">
        <f t="shared" si="10"/>
        <v>08-Infraestructura física, mantenimiento y dotación (Sedes construidas, mantenidas reforzadas) 016_Sedes mantenidas</v>
      </c>
      <c r="AE155" s="163" t="str">
        <f t="shared" si="11"/>
        <v>O23011745992024020708016</v>
      </c>
      <c r="AF155" s="163" t="str">
        <f>IFERROR(VLOOKUP(AD155,TD!$J$66:$K$89,2,0)," ")</f>
        <v>PM/0131/0108/45990160207</v>
      </c>
      <c r="AG155" s="118" t="s">
        <v>385</v>
      </c>
      <c r="AH155" s="162" t="s">
        <v>193</v>
      </c>
      <c r="AI155" s="165" t="str">
        <f>CONCATENATE(PAA[[#This Row],[Id Interno]],"-",PAA[[#This Row],[tipo de Contrato (TH talento humano - B/S bienes y/o servicios)]],"-",S155,"-",T155,"-",PAA[[#This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56" spans="2:35" ht="56" x14ac:dyDescent="0.35">
      <c r="B156" s="23">
        <v>20260118</v>
      </c>
      <c r="C156" s="99" t="s">
        <v>412</v>
      </c>
      <c r="D156" s="23" t="s">
        <v>105</v>
      </c>
      <c r="E156" s="23" t="s">
        <v>363</v>
      </c>
      <c r="F156" s="159" t="s">
        <v>144</v>
      </c>
      <c r="G156" s="160" t="s">
        <v>374</v>
      </c>
      <c r="H156" s="161">
        <v>11</v>
      </c>
      <c r="I156" s="161">
        <v>0</v>
      </c>
      <c r="J156" s="127">
        <v>374000000</v>
      </c>
      <c r="K156" s="88" t="s">
        <v>398</v>
      </c>
      <c r="L156" s="159" t="s">
        <v>153</v>
      </c>
      <c r="M156" s="162" t="s">
        <v>420</v>
      </c>
      <c r="N156" s="23" t="s">
        <v>197</v>
      </c>
      <c r="O156" s="150" t="s">
        <v>925</v>
      </c>
      <c r="P156" s="159" t="s">
        <v>348</v>
      </c>
      <c r="Q156" s="53">
        <v>80111600</v>
      </c>
      <c r="R156" s="162" t="s">
        <v>208</v>
      </c>
      <c r="S156" s="162" t="str">
        <f>MID(PAA[[#This Row],[Meta Proyecto de Inversión]],1,4)</f>
        <v>8126</v>
      </c>
      <c r="T156" s="162" t="str">
        <f>MID(PAA[[#This Row],[Meta Proyecto de Inversión]],6,1)</f>
        <v>9</v>
      </c>
      <c r="U156" s="163" t="str">
        <f>IFERROR(VLOOKUP(N156,TD!$B$50:$F$54,2,0)," ")</f>
        <v>O230117</v>
      </c>
      <c r="V156" s="163" t="str">
        <f>IFERROR(VLOOKUP(N156,TD!$B$50:$F$54,3,0)," ")</f>
        <v>4599</v>
      </c>
      <c r="W156" s="163">
        <f>IFERROR(VLOOKUP(N156,TD!$B$50:$F$54,4,0)," ")</f>
        <v>20240207</v>
      </c>
      <c r="X156" s="162" t="s">
        <v>174</v>
      </c>
      <c r="Y156" s="163" t="str">
        <f>IFERROR(VLOOKUP(X156,TD!$J$51:$K$64,2,0)," ")</f>
        <v>Infraestructura física, mantenimiento y dotación (Sedes construidas, mantenidas reforzadas)</v>
      </c>
      <c r="Z156" s="164" t="str">
        <f t="shared" si="8"/>
        <v>08-Infraestructura física, mantenimiento y dotación (Sedes construidas, mantenidas reforzadas)</v>
      </c>
      <c r="AA156" s="162" t="s">
        <v>227</v>
      </c>
      <c r="AB156" s="163" t="str">
        <f>IFERROR(VLOOKUP(AA156,TD!$N$51:$O$66,2,0)," ")</f>
        <v>Sedes mantenidas</v>
      </c>
      <c r="AC156" s="164" t="str">
        <f t="shared" si="9"/>
        <v>016_Sedes mantenidas</v>
      </c>
      <c r="AD156" s="164" t="str">
        <f t="shared" si="10"/>
        <v>08-Infraestructura física, mantenimiento y dotación (Sedes construidas, mantenidas reforzadas) 016_Sedes mantenidas</v>
      </c>
      <c r="AE156" s="163" t="str">
        <f t="shared" si="11"/>
        <v>O23011745992024020708016</v>
      </c>
      <c r="AF156" s="163" t="str">
        <f>IFERROR(VLOOKUP(AD156,TD!$J$66:$K$89,2,0)," ")</f>
        <v>PM/0131/0108/45990160207</v>
      </c>
      <c r="AG156" s="118" t="s">
        <v>385</v>
      </c>
      <c r="AH156" s="162" t="s">
        <v>193</v>
      </c>
      <c r="AI156" s="165" t="str">
        <f>CONCATENATE(PAA[[#This Row],[Id Interno]],"-",PAA[[#This Row],[tipo de Contrato (TH talento humano - B/S bienes y/o servicios)]],"-",S156,"-",T156,"-",PAA[[#This Row],[Objeto de la contratación]])</f>
        <v>20260118-TH-8126-9-Prestar los servicios profesionales especializados para la representación judicial  de la Entidad y la prevención del daño antijurídico.</v>
      </c>
    </row>
    <row r="157" spans="2:35" ht="56" x14ac:dyDescent="0.35">
      <c r="B157" s="23">
        <v>20260119</v>
      </c>
      <c r="C157" s="99" t="s">
        <v>413</v>
      </c>
      <c r="D157" s="23" t="s">
        <v>105</v>
      </c>
      <c r="E157" s="23" t="s">
        <v>363</v>
      </c>
      <c r="F157" s="159" t="s">
        <v>145</v>
      </c>
      <c r="G157" s="160" t="s">
        <v>374</v>
      </c>
      <c r="H157" s="161">
        <v>8</v>
      </c>
      <c r="I157" s="161">
        <v>0</v>
      </c>
      <c r="J157" s="127">
        <v>28800000</v>
      </c>
      <c r="K157" s="88" t="s">
        <v>398</v>
      </c>
      <c r="L157" s="159" t="s">
        <v>153</v>
      </c>
      <c r="M157" s="162" t="s">
        <v>420</v>
      </c>
      <c r="N157" s="23" t="s">
        <v>197</v>
      </c>
      <c r="O157" s="150" t="s">
        <v>925</v>
      </c>
      <c r="P157" s="159" t="s">
        <v>348</v>
      </c>
      <c r="Q157" s="53">
        <v>80111600</v>
      </c>
      <c r="R157" s="162" t="s">
        <v>208</v>
      </c>
      <c r="S157" s="162" t="str">
        <f>MID(PAA[[#This Row],[Meta Proyecto de Inversión]],1,4)</f>
        <v>8126</v>
      </c>
      <c r="T157" s="162" t="str">
        <f>MID(PAA[[#This Row],[Meta Proyecto de Inversión]],6,1)</f>
        <v>9</v>
      </c>
      <c r="U157" s="163" t="str">
        <f>IFERROR(VLOOKUP(N157,TD!$B$50:$F$54,2,0)," ")</f>
        <v>O230117</v>
      </c>
      <c r="V157" s="163" t="str">
        <f>IFERROR(VLOOKUP(N157,TD!$B$50:$F$54,3,0)," ")</f>
        <v>4599</v>
      </c>
      <c r="W157" s="163">
        <f>IFERROR(VLOOKUP(N157,TD!$B$50:$F$54,4,0)," ")</f>
        <v>20240207</v>
      </c>
      <c r="X157" s="162" t="s">
        <v>174</v>
      </c>
      <c r="Y157" s="163" t="str">
        <f>IFERROR(VLOOKUP(X157,TD!$J$51:$K$64,2,0)," ")</f>
        <v>Infraestructura física, mantenimiento y dotación (Sedes construidas, mantenidas reforzadas)</v>
      </c>
      <c r="Z157" s="164" t="str">
        <f t="shared" si="8"/>
        <v>08-Infraestructura física, mantenimiento y dotación (Sedes construidas, mantenidas reforzadas)</v>
      </c>
      <c r="AA157" s="162" t="s">
        <v>227</v>
      </c>
      <c r="AB157" s="163" t="str">
        <f>IFERROR(VLOOKUP(AA157,TD!$N$51:$O$66,2,0)," ")</f>
        <v>Sedes mantenidas</v>
      </c>
      <c r="AC157" s="164" t="str">
        <f t="shared" si="9"/>
        <v>016_Sedes mantenidas</v>
      </c>
      <c r="AD157" s="164" t="str">
        <f t="shared" si="10"/>
        <v>08-Infraestructura física, mantenimiento y dotación (Sedes construidas, mantenidas reforzadas) 016_Sedes mantenidas</v>
      </c>
      <c r="AE157" s="163" t="str">
        <f t="shared" si="11"/>
        <v>O23011745992024020708016</v>
      </c>
      <c r="AF157" s="163" t="str">
        <f>IFERROR(VLOOKUP(AD157,TD!$J$66:$K$89,2,0)," ")</f>
        <v>PM/0131/0108/45990160207</v>
      </c>
      <c r="AG157" s="118" t="s">
        <v>385</v>
      </c>
      <c r="AH157" s="162" t="s">
        <v>193</v>
      </c>
      <c r="AI157" s="165" t="str">
        <f>CONCATENATE(PAA[[#This Row],[Id Interno]],"-",PAA[[#This Row],[tipo de Contrato (TH talento humano - B/S bienes y/o servicios)]],"-",S157,"-",T157,"-",PAA[[#This Row],[Objeto de la contratación]])</f>
        <v>20260119-TH-8126-9-Prestar los servicios de apoyo para las gestiones administrativas requeridas en la Oficina Jurídica.</v>
      </c>
    </row>
    <row r="158" spans="2:35" ht="56" x14ac:dyDescent="0.35">
      <c r="B158" s="23">
        <v>20260120</v>
      </c>
      <c r="C158" s="99" t="s">
        <v>414</v>
      </c>
      <c r="D158" s="23" t="s">
        <v>105</v>
      </c>
      <c r="E158" s="23" t="s">
        <v>363</v>
      </c>
      <c r="F158" s="159" t="s">
        <v>145</v>
      </c>
      <c r="G158" s="160" t="s">
        <v>374</v>
      </c>
      <c r="H158" s="161">
        <v>8</v>
      </c>
      <c r="I158" s="161">
        <v>0</v>
      </c>
      <c r="J158" s="127">
        <v>28800000</v>
      </c>
      <c r="K158" s="88" t="s">
        <v>398</v>
      </c>
      <c r="L158" s="159" t="s">
        <v>153</v>
      </c>
      <c r="M158" s="162" t="s">
        <v>420</v>
      </c>
      <c r="N158" s="23" t="s">
        <v>197</v>
      </c>
      <c r="O158" s="150" t="s">
        <v>925</v>
      </c>
      <c r="P158" s="159" t="s">
        <v>348</v>
      </c>
      <c r="Q158" s="53">
        <v>80111600</v>
      </c>
      <c r="R158" s="162" t="s">
        <v>208</v>
      </c>
      <c r="S158" s="162" t="str">
        <f>MID(PAA[[#This Row],[Meta Proyecto de Inversión]],1,4)</f>
        <v>8126</v>
      </c>
      <c r="T158" s="162" t="str">
        <f>MID(PAA[[#This Row],[Meta Proyecto de Inversión]],6,1)</f>
        <v>9</v>
      </c>
      <c r="U158" s="163" t="str">
        <f>IFERROR(VLOOKUP(N158,TD!$B$50:$F$54,2,0)," ")</f>
        <v>O230117</v>
      </c>
      <c r="V158" s="163" t="str">
        <f>IFERROR(VLOOKUP(N158,TD!$B$50:$F$54,3,0)," ")</f>
        <v>4599</v>
      </c>
      <c r="W158" s="163">
        <f>IFERROR(VLOOKUP(N158,TD!$B$50:$F$54,4,0)," ")</f>
        <v>20240207</v>
      </c>
      <c r="X158" s="162" t="s">
        <v>174</v>
      </c>
      <c r="Y158" s="163" t="str">
        <f>IFERROR(VLOOKUP(X158,TD!$J$51:$K$64,2,0)," ")</f>
        <v>Infraestructura física, mantenimiento y dotación (Sedes construidas, mantenidas reforzadas)</v>
      </c>
      <c r="Z158" s="164" t="str">
        <f t="shared" si="8"/>
        <v>08-Infraestructura física, mantenimiento y dotación (Sedes construidas, mantenidas reforzadas)</v>
      </c>
      <c r="AA158" s="162" t="s">
        <v>227</v>
      </c>
      <c r="AB158" s="163" t="str">
        <f>IFERROR(VLOOKUP(AA158,TD!$N$51:$O$66,2,0)," ")</f>
        <v>Sedes mantenidas</v>
      </c>
      <c r="AC158" s="164" t="str">
        <f t="shared" si="9"/>
        <v>016_Sedes mantenidas</v>
      </c>
      <c r="AD158" s="164" t="str">
        <f t="shared" si="10"/>
        <v>08-Infraestructura física, mantenimiento y dotación (Sedes construidas, mantenidas reforzadas) 016_Sedes mantenidas</v>
      </c>
      <c r="AE158" s="163" t="str">
        <f t="shared" si="11"/>
        <v>O23011745992024020708016</v>
      </c>
      <c r="AF158" s="163" t="str">
        <f>IFERROR(VLOOKUP(AD158,TD!$J$66:$K$89,2,0)," ")</f>
        <v>PM/0131/0108/45990160207</v>
      </c>
      <c r="AG158" s="118" t="s">
        <v>385</v>
      </c>
      <c r="AH158" s="162" t="s">
        <v>193</v>
      </c>
      <c r="AI158" s="165" t="str">
        <f>CONCATENATE(PAA[[#This Row],[Id Interno]],"-",PAA[[#This Row],[tipo de Contrato (TH talento humano - B/S bienes y/o servicios)]],"-",S158,"-",T158,"-",PAA[[#This Row],[Objeto de la contratación]])</f>
        <v>20260120-TH-8126-9-Prestar los servicios de apoyo para las gestiones documentales y administrativas requerida por la Oficina  Jurídica.</v>
      </c>
    </row>
    <row r="159" spans="2:35" ht="56" x14ac:dyDescent="0.35">
      <c r="B159" s="23">
        <v>20260121</v>
      </c>
      <c r="C159" s="99" t="s">
        <v>414</v>
      </c>
      <c r="D159" s="23" t="s">
        <v>105</v>
      </c>
      <c r="E159" s="23" t="s">
        <v>363</v>
      </c>
      <c r="F159" s="159" t="s">
        <v>145</v>
      </c>
      <c r="G159" s="160" t="s">
        <v>374</v>
      </c>
      <c r="H159" s="161">
        <v>8</v>
      </c>
      <c r="I159" s="161">
        <v>0</v>
      </c>
      <c r="J159" s="127">
        <v>28800000</v>
      </c>
      <c r="K159" s="88" t="s">
        <v>398</v>
      </c>
      <c r="L159" s="159" t="s">
        <v>153</v>
      </c>
      <c r="M159" s="162" t="s">
        <v>420</v>
      </c>
      <c r="N159" s="23" t="s">
        <v>197</v>
      </c>
      <c r="O159" s="150" t="s">
        <v>925</v>
      </c>
      <c r="P159" s="159" t="s">
        <v>348</v>
      </c>
      <c r="Q159" s="53">
        <v>80111600</v>
      </c>
      <c r="R159" s="162" t="s">
        <v>208</v>
      </c>
      <c r="S159" s="162" t="str">
        <f>MID(PAA[[#This Row],[Meta Proyecto de Inversión]],1,4)</f>
        <v>8126</v>
      </c>
      <c r="T159" s="162" t="str">
        <f>MID(PAA[[#This Row],[Meta Proyecto de Inversión]],6,1)</f>
        <v>9</v>
      </c>
      <c r="U159" s="163" t="str">
        <f>IFERROR(VLOOKUP(N159,TD!$B$50:$F$54,2,0)," ")</f>
        <v>O230117</v>
      </c>
      <c r="V159" s="163" t="str">
        <f>IFERROR(VLOOKUP(N159,TD!$B$50:$F$54,3,0)," ")</f>
        <v>4599</v>
      </c>
      <c r="W159" s="163">
        <f>IFERROR(VLOOKUP(N159,TD!$B$50:$F$54,4,0)," ")</f>
        <v>20240207</v>
      </c>
      <c r="X159" s="162" t="s">
        <v>174</v>
      </c>
      <c r="Y159" s="163" t="str">
        <f>IFERROR(VLOOKUP(X159,TD!$J$51:$K$64,2,0)," ")</f>
        <v>Infraestructura física, mantenimiento y dotación (Sedes construidas, mantenidas reforzadas)</v>
      </c>
      <c r="Z159" s="164" t="str">
        <f t="shared" si="8"/>
        <v>08-Infraestructura física, mantenimiento y dotación (Sedes construidas, mantenidas reforzadas)</v>
      </c>
      <c r="AA159" s="162" t="s">
        <v>227</v>
      </c>
      <c r="AB159" s="163" t="str">
        <f>IFERROR(VLOOKUP(AA159,TD!$N$51:$O$66,2,0)," ")</f>
        <v>Sedes mantenidas</v>
      </c>
      <c r="AC159" s="164" t="str">
        <f t="shared" si="9"/>
        <v>016_Sedes mantenidas</v>
      </c>
      <c r="AD159" s="164" t="str">
        <f t="shared" si="10"/>
        <v>08-Infraestructura física, mantenimiento y dotación (Sedes construidas, mantenidas reforzadas) 016_Sedes mantenidas</v>
      </c>
      <c r="AE159" s="163" t="str">
        <f t="shared" si="11"/>
        <v>O23011745992024020708016</v>
      </c>
      <c r="AF159" s="163" t="str">
        <f>IFERROR(VLOOKUP(AD159,TD!$J$66:$K$89,2,0)," ")</f>
        <v>PM/0131/0108/45990160207</v>
      </c>
      <c r="AG159" s="118" t="s">
        <v>385</v>
      </c>
      <c r="AH159" s="162" t="s">
        <v>193</v>
      </c>
      <c r="AI159" s="165" t="str">
        <f>CONCATENATE(PAA[[#This Row],[Id Interno]],"-",PAA[[#This Row],[tipo de Contrato (TH talento humano - B/S bienes y/o servicios)]],"-",S159,"-",T159,"-",PAA[[#This Row],[Objeto de la contratación]])</f>
        <v>20260121-TH-8126-9-Prestar los servicios de apoyo para las gestiones documentales y administrativas requerida por la Oficina  Jurídica.</v>
      </c>
    </row>
    <row r="160" spans="2:35" ht="70" x14ac:dyDescent="0.35">
      <c r="B160" s="23">
        <v>20260122</v>
      </c>
      <c r="C160" s="99" t="s">
        <v>415</v>
      </c>
      <c r="D160" s="23" t="s">
        <v>105</v>
      </c>
      <c r="E160" s="23" t="s">
        <v>363</v>
      </c>
      <c r="F160" s="159" t="s">
        <v>144</v>
      </c>
      <c r="G160" s="160" t="s">
        <v>374</v>
      </c>
      <c r="H160" s="161">
        <v>8</v>
      </c>
      <c r="I160" s="161">
        <v>0</v>
      </c>
      <c r="J160" s="127">
        <v>64000000</v>
      </c>
      <c r="K160" s="88" t="s">
        <v>398</v>
      </c>
      <c r="L160" s="159" t="s">
        <v>153</v>
      </c>
      <c r="M160" s="162" t="s">
        <v>420</v>
      </c>
      <c r="N160" s="23" t="s">
        <v>197</v>
      </c>
      <c r="O160" s="150" t="s">
        <v>925</v>
      </c>
      <c r="P160" s="159" t="s">
        <v>348</v>
      </c>
      <c r="Q160" s="53">
        <v>80111600</v>
      </c>
      <c r="R160" s="162" t="s">
        <v>208</v>
      </c>
      <c r="S160" s="162" t="str">
        <f>MID(PAA[[#This Row],[Meta Proyecto de Inversión]],1,4)</f>
        <v>8126</v>
      </c>
      <c r="T160" s="162" t="str">
        <f>MID(PAA[[#This Row],[Meta Proyecto de Inversión]],6,1)</f>
        <v>9</v>
      </c>
      <c r="U160" s="163" t="str">
        <f>IFERROR(VLOOKUP(N160,TD!$B$50:$F$54,2,0)," ")</f>
        <v>O230117</v>
      </c>
      <c r="V160" s="163" t="str">
        <f>IFERROR(VLOOKUP(N160,TD!$B$50:$F$54,3,0)," ")</f>
        <v>4599</v>
      </c>
      <c r="W160" s="163">
        <f>IFERROR(VLOOKUP(N160,TD!$B$50:$F$54,4,0)," ")</f>
        <v>20240207</v>
      </c>
      <c r="X160" s="162" t="s">
        <v>174</v>
      </c>
      <c r="Y160" s="163" t="str">
        <f>IFERROR(VLOOKUP(X160,TD!$J$51:$K$64,2,0)," ")</f>
        <v>Infraestructura física, mantenimiento y dotación (Sedes construidas, mantenidas reforzadas)</v>
      </c>
      <c r="Z160" s="164" t="str">
        <f t="shared" si="8"/>
        <v>08-Infraestructura física, mantenimiento y dotación (Sedes construidas, mantenidas reforzadas)</v>
      </c>
      <c r="AA160" s="162" t="s">
        <v>227</v>
      </c>
      <c r="AB160" s="163" t="str">
        <f>IFERROR(VLOOKUP(AA160,TD!$N$51:$O$66,2,0)," ")</f>
        <v>Sedes mantenidas</v>
      </c>
      <c r="AC160" s="164" t="str">
        <f t="shared" si="9"/>
        <v>016_Sedes mantenidas</v>
      </c>
      <c r="AD160" s="164" t="str">
        <f t="shared" si="10"/>
        <v>08-Infraestructura física, mantenimiento y dotación (Sedes construidas, mantenidas reforzadas) 016_Sedes mantenidas</v>
      </c>
      <c r="AE160" s="163" t="str">
        <f t="shared" si="11"/>
        <v>O23011745992024020708016</v>
      </c>
      <c r="AF160" s="163" t="str">
        <f>IFERROR(VLOOKUP(AD160,TD!$J$66:$K$89,2,0)," ")</f>
        <v>PM/0131/0108/45990160207</v>
      </c>
      <c r="AG160" s="118" t="s">
        <v>385</v>
      </c>
      <c r="AH160" s="162" t="s">
        <v>193</v>
      </c>
      <c r="AI160" s="165" t="str">
        <f>CONCATENATE(PAA[[#This Row],[Id Interno]],"-",PAA[[#This Row],[tipo de Contrato (TH talento humano - B/S bienes y/o servicios)]],"-",S160,"-",T160,"-",PAA[[#This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61" spans="2:35" ht="56" x14ac:dyDescent="0.35">
      <c r="B161" s="23">
        <v>20260123</v>
      </c>
      <c r="C161" s="99" t="s">
        <v>416</v>
      </c>
      <c r="D161" s="23" t="s">
        <v>105</v>
      </c>
      <c r="E161" s="23" t="s">
        <v>363</v>
      </c>
      <c r="F161" s="159" t="s">
        <v>144</v>
      </c>
      <c r="G161" s="160" t="s">
        <v>374</v>
      </c>
      <c r="H161" s="161">
        <v>8</v>
      </c>
      <c r="I161" s="161">
        <v>0</v>
      </c>
      <c r="J161" s="127">
        <v>46100000</v>
      </c>
      <c r="K161" s="88" t="s">
        <v>398</v>
      </c>
      <c r="L161" s="159" t="s">
        <v>153</v>
      </c>
      <c r="M161" s="162" t="s">
        <v>420</v>
      </c>
      <c r="N161" s="23" t="s">
        <v>197</v>
      </c>
      <c r="O161" s="150" t="s">
        <v>925</v>
      </c>
      <c r="P161" s="159" t="s">
        <v>348</v>
      </c>
      <c r="Q161" s="53">
        <v>80111600</v>
      </c>
      <c r="R161" s="162" t="s">
        <v>208</v>
      </c>
      <c r="S161" s="162" t="str">
        <f>MID(PAA[[#This Row],[Meta Proyecto de Inversión]],1,4)</f>
        <v>8126</v>
      </c>
      <c r="T161" s="162" t="str">
        <f>MID(PAA[[#This Row],[Meta Proyecto de Inversión]],6,1)</f>
        <v>9</v>
      </c>
      <c r="U161" s="163" t="str">
        <f>IFERROR(VLOOKUP(N161,TD!$B$50:$F$54,2,0)," ")</f>
        <v>O230117</v>
      </c>
      <c r="V161" s="163" t="str">
        <f>IFERROR(VLOOKUP(N161,TD!$B$50:$F$54,3,0)," ")</f>
        <v>4599</v>
      </c>
      <c r="W161" s="163">
        <f>IFERROR(VLOOKUP(N161,TD!$B$50:$F$54,4,0)," ")</f>
        <v>20240207</v>
      </c>
      <c r="X161" s="162" t="s">
        <v>174</v>
      </c>
      <c r="Y161" s="163" t="str">
        <f>IFERROR(VLOOKUP(X161,TD!$J$51:$K$64,2,0)," ")</f>
        <v>Infraestructura física, mantenimiento y dotación (Sedes construidas, mantenidas reforzadas)</v>
      </c>
      <c r="Z161" s="164" t="str">
        <f t="shared" si="8"/>
        <v>08-Infraestructura física, mantenimiento y dotación (Sedes construidas, mantenidas reforzadas)</v>
      </c>
      <c r="AA161" s="162" t="s">
        <v>227</v>
      </c>
      <c r="AB161" s="163" t="str">
        <f>IFERROR(VLOOKUP(AA161,TD!$N$51:$O$66,2,0)," ")</f>
        <v>Sedes mantenidas</v>
      </c>
      <c r="AC161" s="164" t="str">
        <f t="shared" si="9"/>
        <v>016_Sedes mantenidas</v>
      </c>
      <c r="AD161" s="164" t="str">
        <f t="shared" si="10"/>
        <v>08-Infraestructura física, mantenimiento y dotación (Sedes construidas, mantenidas reforzadas) 016_Sedes mantenidas</v>
      </c>
      <c r="AE161" s="163" t="str">
        <f t="shared" si="11"/>
        <v>O23011745992024020708016</v>
      </c>
      <c r="AF161" s="163" t="str">
        <f>IFERROR(VLOOKUP(AD161,TD!$J$66:$K$89,2,0)," ")</f>
        <v>PM/0131/0108/45990160207</v>
      </c>
      <c r="AG161" s="118" t="s">
        <v>385</v>
      </c>
      <c r="AH161" s="162" t="s">
        <v>193</v>
      </c>
      <c r="AI161" s="165" t="str">
        <f>CONCATENATE(PAA[[#This Row],[Id Interno]],"-",PAA[[#This Row],[tipo de Contrato (TH talento humano - B/S bienes y/o servicios)]],"-",S161,"-",T161,"-",PAA[[#This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62" spans="2:35" ht="56" x14ac:dyDescent="0.35">
      <c r="B162" s="23">
        <v>20260124</v>
      </c>
      <c r="C162" s="99" t="s">
        <v>417</v>
      </c>
      <c r="D162" s="23" t="s">
        <v>105</v>
      </c>
      <c r="E162" s="23" t="s">
        <v>363</v>
      </c>
      <c r="F162" s="159" t="s">
        <v>144</v>
      </c>
      <c r="G162" s="160" t="s">
        <v>374</v>
      </c>
      <c r="H162" s="161">
        <v>8</v>
      </c>
      <c r="I162" s="161">
        <v>0</v>
      </c>
      <c r="J162" s="127">
        <v>60000000</v>
      </c>
      <c r="K162" s="88" t="s">
        <v>398</v>
      </c>
      <c r="L162" s="159" t="s">
        <v>153</v>
      </c>
      <c r="M162" s="162" t="s">
        <v>420</v>
      </c>
      <c r="N162" s="23" t="s">
        <v>197</v>
      </c>
      <c r="O162" s="150" t="s">
        <v>925</v>
      </c>
      <c r="P162" s="159" t="s">
        <v>348</v>
      </c>
      <c r="Q162" s="53">
        <v>80111600</v>
      </c>
      <c r="R162" s="162" t="s">
        <v>208</v>
      </c>
      <c r="S162" s="162" t="str">
        <f>MID(PAA[[#This Row],[Meta Proyecto de Inversión]],1,4)</f>
        <v>8126</v>
      </c>
      <c r="T162" s="162" t="str">
        <f>MID(PAA[[#This Row],[Meta Proyecto de Inversión]],6,1)</f>
        <v>9</v>
      </c>
      <c r="U162" s="163" t="str">
        <f>IFERROR(VLOOKUP(N162,TD!$B$50:$F$54,2,0)," ")</f>
        <v>O230117</v>
      </c>
      <c r="V162" s="163" t="str">
        <f>IFERROR(VLOOKUP(N162,TD!$B$50:$F$54,3,0)," ")</f>
        <v>4599</v>
      </c>
      <c r="W162" s="163">
        <f>IFERROR(VLOOKUP(N162,TD!$B$50:$F$54,4,0)," ")</f>
        <v>20240207</v>
      </c>
      <c r="X162" s="162" t="s">
        <v>174</v>
      </c>
      <c r="Y162" s="163" t="str">
        <f>IFERROR(VLOOKUP(X162,TD!$J$51:$K$64,2,0)," ")</f>
        <v>Infraestructura física, mantenimiento y dotación (Sedes construidas, mantenidas reforzadas)</v>
      </c>
      <c r="Z162" s="164" t="str">
        <f t="shared" si="8"/>
        <v>08-Infraestructura física, mantenimiento y dotación (Sedes construidas, mantenidas reforzadas)</v>
      </c>
      <c r="AA162" s="162" t="s">
        <v>227</v>
      </c>
      <c r="AB162" s="163" t="str">
        <f>IFERROR(VLOOKUP(AA162,TD!$N$51:$O$66,2,0)," ")</f>
        <v>Sedes mantenidas</v>
      </c>
      <c r="AC162" s="164" t="str">
        <f t="shared" si="9"/>
        <v>016_Sedes mantenidas</v>
      </c>
      <c r="AD162" s="164" t="str">
        <f t="shared" si="10"/>
        <v>08-Infraestructura física, mantenimiento y dotación (Sedes construidas, mantenidas reforzadas) 016_Sedes mantenidas</v>
      </c>
      <c r="AE162" s="163" t="str">
        <f t="shared" si="11"/>
        <v>O23011745992024020708016</v>
      </c>
      <c r="AF162" s="163" t="str">
        <f>IFERROR(VLOOKUP(AD162,TD!$J$66:$K$89,2,0)," ")</f>
        <v>PM/0131/0108/45990160207</v>
      </c>
      <c r="AG162" s="118" t="s">
        <v>385</v>
      </c>
      <c r="AH162" s="162" t="s">
        <v>193</v>
      </c>
      <c r="AI162" s="165" t="str">
        <f>CONCATENATE(PAA[[#This Row],[Id Interno]],"-",PAA[[#This Row],[tipo de Contrato (TH talento humano - B/S bienes y/o servicios)]],"-",S162,"-",T162,"-",PAA[[#This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63" spans="2:35" ht="56" x14ac:dyDescent="0.35">
      <c r="B163" s="23">
        <v>20260125</v>
      </c>
      <c r="C163" s="99" t="s">
        <v>418</v>
      </c>
      <c r="D163" s="23" t="s">
        <v>105</v>
      </c>
      <c r="E163" s="23" t="s">
        <v>363</v>
      </c>
      <c r="F163" s="159" t="s">
        <v>144</v>
      </c>
      <c r="G163" s="160" t="s">
        <v>374</v>
      </c>
      <c r="H163" s="161">
        <v>8</v>
      </c>
      <c r="I163" s="161">
        <v>0</v>
      </c>
      <c r="J163" s="127">
        <v>64000000</v>
      </c>
      <c r="K163" s="88" t="s">
        <v>398</v>
      </c>
      <c r="L163" s="159" t="s">
        <v>153</v>
      </c>
      <c r="M163" s="162" t="s">
        <v>420</v>
      </c>
      <c r="N163" s="23" t="s">
        <v>197</v>
      </c>
      <c r="O163" s="150" t="s">
        <v>925</v>
      </c>
      <c r="P163" s="159" t="s">
        <v>348</v>
      </c>
      <c r="Q163" s="53">
        <v>80111600</v>
      </c>
      <c r="R163" s="162" t="s">
        <v>208</v>
      </c>
      <c r="S163" s="162" t="str">
        <f>MID(PAA[[#This Row],[Meta Proyecto de Inversión]],1,4)</f>
        <v>8126</v>
      </c>
      <c r="T163" s="162" t="str">
        <f>MID(PAA[[#This Row],[Meta Proyecto de Inversión]],6,1)</f>
        <v>9</v>
      </c>
      <c r="U163" s="163" t="str">
        <f>IFERROR(VLOOKUP(N163,TD!$B$50:$F$54,2,0)," ")</f>
        <v>O230117</v>
      </c>
      <c r="V163" s="163" t="str">
        <f>IFERROR(VLOOKUP(N163,TD!$B$50:$F$54,3,0)," ")</f>
        <v>4599</v>
      </c>
      <c r="W163" s="163">
        <f>IFERROR(VLOOKUP(N163,TD!$B$50:$F$54,4,0)," ")</f>
        <v>20240207</v>
      </c>
      <c r="X163" s="162" t="s">
        <v>174</v>
      </c>
      <c r="Y163" s="163" t="str">
        <f>IFERROR(VLOOKUP(X163,TD!$J$51:$K$64,2,0)," ")</f>
        <v>Infraestructura física, mantenimiento y dotación (Sedes construidas, mantenidas reforzadas)</v>
      </c>
      <c r="Z163" s="164" t="str">
        <f t="shared" si="8"/>
        <v>08-Infraestructura física, mantenimiento y dotación (Sedes construidas, mantenidas reforzadas)</v>
      </c>
      <c r="AA163" s="162" t="s">
        <v>227</v>
      </c>
      <c r="AB163" s="163" t="str">
        <f>IFERROR(VLOOKUP(AA163,TD!$N$51:$O$66,2,0)," ")</f>
        <v>Sedes mantenidas</v>
      </c>
      <c r="AC163" s="164" t="str">
        <f t="shared" si="9"/>
        <v>016_Sedes mantenidas</v>
      </c>
      <c r="AD163" s="164" t="str">
        <f t="shared" si="10"/>
        <v>08-Infraestructura física, mantenimiento y dotación (Sedes construidas, mantenidas reforzadas) 016_Sedes mantenidas</v>
      </c>
      <c r="AE163" s="163" t="str">
        <f t="shared" si="11"/>
        <v>O23011745992024020708016</v>
      </c>
      <c r="AF163" s="163" t="str">
        <f>IFERROR(VLOOKUP(AD163,TD!$J$66:$K$89,2,0)," ")</f>
        <v>PM/0131/0108/45990160207</v>
      </c>
      <c r="AG163" s="118" t="s">
        <v>385</v>
      </c>
      <c r="AH163" s="162" t="s">
        <v>193</v>
      </c>
      <c r="AI163" s="165" t="str">
        <f>CONCATENATE(PAA[[#This Row],[Id Interno]],"-",PAA[[#This Row],[tipo de Contrato (TH talento humano - B/S bienes y/o servicios)]],"-",S163,"-",T163,"-",PAA[[#This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64" spans="2:35" ht="56" x14ac:dyDescent="0.35">
      <c r="B164" s="23">
        <v>20260126</v>
      </c>
      <c r="C164" s="99" t="s">
        <v>910</v>
      </c>
      <c r="D164" s="23" t="s">
        <v>105</v>
      </c>
      <c r="E164" s="23" t="s">
        <v>363</v>
      </c>
      <c r="F164" s="159" t="s">
        <v>144</v>
      </c>
      <c r="G164" s="160" t="s">
        <v>374</v>
      </c>
      <c r="H164" s="161">
        <v>8</v>
      </c>
      <c r="I164" s="161">
        <v>0</v>
      </c>
      <c r="J164" s="127">
        <v>64000000</v>
      </c>
      <c r="K164" s="88" t="s">
        <v>398</v>
      </c>
      <c r="L164" s="159" t="s">
        <v>153</v>
      </c>
      <c r="M164" s="162" t="s">
        <v>420</v>
      </c>
      <c r="N164" s="23" t="s">
        <v>197</v>
      </c>
      <c r="O164" s="150" t="s">
        <v>925</v>
      </c>
      <c r="P164" s="159" t="s">
        <v>348</v>
      </c>
      <c r="Q164" s="53">
        <v>80111600</v>
      </c>
      <c r="R164" s="162" t="s">
        <v>208</v>
      </c>
      <c r="S164" s="162" t="str">
        <f>MID(PAA[[#This Row],[Meta Proyecto de Inversión]],1,4)</f>
        <v>8126</v>
      </c>
      <c r="T164" s="162" t="str">
        <f>MID(PAA[[#This Row],[Meta Proyecto de Inversión]],6,1)</f>
        <v>9</v>
      </c>
      <c r="U164" s="163" t="str">
        <f>IFERROR(VLOOKUP(N164,TD!$B$50:$F$54,2,0)," ")</f>
        <v>O230117</v>
      </c>
      <c r="V164" s="163" t="str">
        <f>IFERROR(VLOOKUP(N164,TD!$B$50:$F$54,3,0)," ")</f>
        <v>4599</v>
      </c>
      <c r="W164" s="163">
        <f>IFERROR(VLOOKUP(N164,TD!$B$50:$F$54,4,0)," ")</f>
        <v>20240207</v>
      </c>
      <c r="X164" s="162" t="s">
        <v>174</v>
      </c>
      <c r="Y164" s="163" t="str">
        <f>IFERROR(VLOOKUP(X164,TD!$J$51:$K$64,2,0)," ")</f>
        <v>Infraestructura física, mantenimiento y dotación (Sedes construidas, mantenidas reforzadas)</v>
      </c>
      <c r="Z164" s="164" t="str">
        <f t="shared" si="8"/>
        <v>08-Infraestructura física, mantenimiento y dotación (Sedes construidas, mantenidas reforzadas)</v>
      </c>
      <c r="AA164" s="162" t="s">
        <v>227</v>
      </c>
      <c r="AB164" s="163" t="str">
        <f>IFERROR(VLOOKUP(AA164,TD!$N$51:$O$66,2,0)," ")</f>
        <v>Sedes mantenidas</v>
      </c>
      <c r="AC164" s="164" t="str">
        <f t="shared" si="9"/>
        <v>016_Sedes mantenidas</v>
      </c>
      <c r="AD164" s="164" t="str">
        <f t="shared" si="10"/>
        <v>08-Infraestructura física, mantenimiento y dotación (Sedes construidas, mantenidas reforzadas) 016_Sedes mantenidas</v>
      </c>
      <c r="AE164" s="163" t="str">
        <f t="shared" si="11"/>
        <v>O23011745992024020708016</v>
      </c>
      <c r="AF164" s="163" t="str">
        <f>IFERROR(VLOOKUP(AD164,TD!$J$66:$K$89,2,0)," ")</f>
        <v>PM/0131/0108/45990160207</v>
      </c>
      <c r="AG164" s="118" t="s">
        <v>385</v>
      </c>
      <c r="AH164" s="162" t="s">
        <v>193</v>
      </c>
      <c r="AI164" s="165" t="str">
        <f>CONCATENATE(PAA[[#This Row],[Id Interno]],"-",PAA[[#This Row],[tipo de Contrato (TH talento humano - B/S bienes y/o servicios)]],"-",S164,"-",T164,"-",PAA[[#This Row],[Objeto de la contratación]])</f>
        <v>20260126-TH-8126-9-Prestar servicios profesionales de carácter jurídico para apoyar y fortalecer de manera integral las actividades propias de la Oficina Jurídica</v>
      </c>
    </row>
    <row r="165" spans="2:35" ht="56" x14ac:dyDescent="0.35">
      <c r="B165" s="23">
        <v>20260127</v>
      </c>
      <c r="C165" s="99" t="s">
        <v>419</v>
      </c>
      <c r="D165" s="23" t="s">
        <v>105</v>
      </c>
      <c r="E165" s="23" t="s">
        <v>363</v>
      </c>
      <c r="F165" s="159" t="s">
        <v>144</v>
      </c>
      <c r="G165" s="160" t="s">
        <v>374</v>
      </c>
      <c r="H165" s="161">
        <v>8</v>
      </c>
      <c r="I165" s="161">
        <v>0</v>
      </c>
      <c r="J165" s="127">
        <v>52000000</v>
      </c>
      <c r="K165" s="88" t="s">
        <v>398</v>
      </c>
      <c r="L165" s="159" t="s">
        <v>153</v>
      </c>
      <c r="M165" s="162" t="s">
        <v>420</v>
      </c>
      <c r="N165" s="23" t="s">
        <v>197</v>
      </c>
      <c r="O165" s="150" t="s">
        <v>925</v>
      </c>
      <c r="P165" s="159" t="s">
        <v>348</v>
      </c>
      <c r="Q165" s="53">
        <v>80111600</v>
      </c>
      <c r="R165" s="162" t="s">
        <v>208</v>
      </c>
      <c r="S165" s="162" t="str">
        <f>MID(PAA[[#This Row],[Meta Proyecto de Inversión]],1,4)</f>
        <v>8126</v>
      </c>
      <c r="T165" s="162" t="str">
        <f>MID(PAA[[#This Row],[Meta Proyecto de Inversión]],6,1)</f>
        <v>9</v>
      </c>
      <c r="U165" s="163" t="str">
        <f>IFERROR(VLOOKUP(N165,TD!$B$50:$F$54,2,0)," ")</f>
        <v>O230117</v>
      </c>
      <c r="V165" s="163" t="str">
        <f>IFERROR(VLOOKUP(N165,TD!$B$50:$F$54,3,0)," ")</f>
        <v>4599</v>
      </c>
      <c r="W165" s="163">
        <f>IFERROR(VLOOKUP(N165,TD!$B$50:$F$54,4,0)," ")</f>
        <v>20240207</v>
      </c>
      <c r="X165" s="162" t="s">
        <v>174</v>
      </c>
      <c r="Y165" s="163" t="str">
        <f>IFERROR(VLOOKUP(X165,TD!$J$51:$K$64,2,0)," ")</f>
        <v>Infraestructura física, mantenimiento y dotación (Sedes construidas, mantenidas reforzadas)</v>
      </c>
      <c r="Z165" s="164" t="str">
        <f t="shared" si="8"/>
        <v>08-Infraestructura física, mantenimiento y dotación (Sedes construidas, mantenidas reforzadas)</v>
      </c>
      <c r="AA165" s="162" t="s">
        <v>227</v>
      </c>
      <c r="AB165" s="163" t="str">
        <f>IFERROR(VLOOKUP(AA165,TD!$N$51:$O$66,2,0)," ")</f>
        <v>Sedes mantenidas</v>
      </c>
      <c r="AC165" s="164" t="str">
        <f t="shared" si="9"/>
        <v>016_Sedes mantenidas</v>
      </c>
      <c r="AD165" s="164" t="str">
        <f t="shared" si="10"/>
        <v>08-Infraestructura física, mantenimiento y dotación (Sedes construidas, mantenidas reforzadas) 016_Sedes mantenidas</v>
      </c>
      <c r="AE165" s="163" t="str">
        <f t="shared" si="11"/>
        <v>O23011745992024020708016</v>
      </c>
      <c r="AF165" s="163" t="str">
        <f>IFERROR(VLOOKUP(AD165,TD!$J$66:$K$89,2,0)," ")</f>
        <v>PM/0131/0108/45990160207</v>
      </c>
      <c r="AG165" s="118" t="s">
        <v>385</v>
      </c>
      <c r="AH165" s="162" t="s">
        <v>193</v>
      </c>
      <c r="AI165" s="165" t="str">
        <f>CONCATENATE(PAA[[#This Row],[Id Interno]],"-",PAA[[#This Row],[tipo de Contrato (TH talento humano - B/S bienes y/o servicios)]],"-",S165,"-",T165,"-",PAA[[#This Row],[Objeto de la contratación]])</f>
        <v>20260127-TH-8126-9-Prestar los servicios profesionales jurídicos para apoyar las actuaciones procesales y procedimentales de la Oficina Jurídica</v>
      </c>
    </row>
    <row r="166" spans="2:35" ht="98" x14ac:dyDescent="0.35">
      <c r="B166" s="23">
        <v>20260128</v>
      </c>
      <c r="C166" s="99" t="s">
        <v>609</v>
      </c>
      <c r="D166" s="23" t="s">
        <v>105</v>
      </c>
      <c r="E166" s="23" t="s">
        <v>363</v>
      </c>
      <c r="F166" s="159" t="s">
        <v>144</v>
      </c>
      <c r="G166" s="160" t="s">
        <v>373</v>
      </c>
      <c r="H166" s="161">
        <v>8</v>
      </c>
      <c r="I166" s="161">
        <v>0</v>
      </c>
      <c r="J166" s="127">
        <v>64000000</v>
      </c>
      <c r="K166" s="88" t="s">
        <v>398</v>
      </c>
      <c r="L166" s="159" t="s">
        <v>154</v>
      </c>
      <c r="M166" s="162" t="s">
        <v>448</v>
      </c>
      <c r="N166" s="23" t="s">
        <v>198</v>
      </c>
      <c r="O166" s="150" t="s">
        <v>926</v>
      </c>
      <c r="P166" s="159" t="s">
        <v>348</v>
      </c>
      <c r="Q166" s="53">
        <v>80111600</v>
      </c>
      <c r="R166" s="162" t="s">
        <v>218</v>
      </c>
      <c r="S166" s="162" t="str">
        <f>MID(PAA[[#This Row],[Meta Proyecto de Inversión]],1,4)</f>
        <v>8173</v>
      </c>
      <c r="T166" s="162" t="str">
        <f>MID(PAA[[#This Row],[Meta Proyecto de Inversión]],6,1)</f>
        <v>9</v>
      </c>
      <c r="U166" s="163" t="str">
        <f>IFERROR(VLOOKUP(N166,TD!$B$50:$F$54,2,0)," ")</f>
        <v>O230117</v>
      </c>
      <c r="V166" s="163" t="str">
        <f>IFERROR(VLOOKUP(N166,TD!$B$50:$F$54,3,0)," ")</f>
        <v>4503</v>
      </c>
      <c r="W166" s="163">
        <f>IFERROR(VLOOKUP(N166,TD!$B$50:$F$54,4,0)," ")</f>
        <v>20240255</v>
      </c>
      <c r="X166" s="162" t="s">
        <v>172</v>
      </c>
      <c r="Y166" s="163" t="str">
        <f>IFERROR(VLOOKUP(X166,TD!$J$51:$K$64,2,0)," ")</f>
        <v>Servicio de formación en gestión del riesgo de incendios para el personal UAECOB</v>
      </c>
      <c r="Z166" s="164" t="str">
        <f t="shared" si="8"/>
        <v>07-Servicio de formación en gestión del riesgo de incendios para el personal UAECOB</v>
      </c>
      <c r="AA166" s="162" t="s">
        <v>222</v>
      </c>
      <c r="AB166" s="163" t="str">
        <f>IFERROR(VLOOKUP(AA166,TD!$N$51:$O$66,2,0)," ")</f>
        <v>Servicio de educación informal</v>
      </c>
      <c r="AC166" s="164" t="str">
        <f t="shared" si="9"/>
        <v>002_Servicio de educación informal</v>
      </c>
      <c r="AD166" s="164" t="str">
        <f t="shared" si="10"/>
        <v>07-Servicio de formación en gestión del riesgo de incendios para el personal UAECOB 002_Servicio de educación informal</v>
      </c>
      <c r="AE166" s="163" t="str">
        <f t="shared" si="11"/>
        <v>O23011745032024025507002</v>
      </c>
      <c r="AF166" s="163" t="str">
        <f>IFERROR(VLOOKUP(AD166,TD!$J$66:$K$89,2,0)," ")</f>
        <v>PM/0131/0107/45030020255</v>
      </c>
      <c r="AG166" s="118" t="s">
        <v>385</v>
      </c>
      <c r="AH166" s="162" t="s">
        <v>193</v>
      </c>
      <c r="AI166" s="165" t="str">
        <f>CONCATENATE(PAA[[#This Row],[Id Interno]],"-",PAA[[#This Row],[tipo de Contrato (TH talento humano - B/S bienes y/o servicios)]],"-",S166,"-",T166,"-",PAA[[#This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67" spans="2:35" ht="98" x14ac:dyDescent="0.35">
      <c r="B167" s="23">
        <v>20260129</v>
      </c>
      <c r="C167" s="99" t="s">
        <v>610</v>
      </c>
      <c r="D167" s="23" t="s">
        <v>105</v>
      </c>
      <c r="E167" s="23" t="s">
        <v>363</v>
      </c>
      <c r="F167" s="159" t="s">
        <v>145</v>
      </c>
      <c r="G167" s="160" t="s">
        <v>373</v>
      </c>
      <c r="H167" s="161">
        <v>7</v>
      </c>
      <c r="I167" s="161">
        <v>0</v>
      </c>
      <c r="J167" s="127">
        <v>26600000</v>
      </c>
      <c r="K167" s="88" t="s">
        <v>398</v>
      </c>
      <c r="L167" s="159" t="s">
        <v>154</v>
      </c>
      <c r="M167" s="162" t="s">
        <v>448</v>
      </c>
      <c r="N167" s="23" t="s">
        <v>197</v>
      </c>
      <c r="O167" s="150" t="s">
        <v>925</v>
      </c>
      <c r="P167" s="159" t="s">
        <v>348</v>
      </c>
      <c r="Q167" s="53">
        <v>80111600</v>
      </c>
      <c r="R167" s="162" t="s">
        <v>208</v>
      </c>
      <c r="S167" s="162" t="str">
        <f>MID(PAA[[#This Row],[Meta Proyecto de Inversión]],1,4)</f>
        <v>8126</v>
      </c>
      <c r="T167" s="162" t="str">
        <f>MID(PAA[[#This Row],[Meta Proyecto de Inversión]],6,1)</f>
        <v>9</v>
      </c>
      <c r="U167" s="163" t="str">
        <f>IFERROR(VLOOKUP(N167,TD!$B$50:$F$54,2,0)," ")</f>
        <v>O230117</v>
      </c>
      <c r="V167" s="163" t="str">
        <f>IFERROR(VLOOKUP(N167,TD!$B$50:$F$54,3,0)," ")</f>
        <v>4599</v>
      </c>
      <c r="W167" s="163">
        <f>IFERROR(VLOOKUP(N167,TD!$B$50:$F$54,4,0)," ")</f>
        <v>20240207</v>
      </c>
      <c r="X167" s="162" t="s">
        <v>174</v>
      </c>
      <c r="Y167" s="163" t="str">
        <f>IFERROR(VLOOKUP(X167,TD!$J$51:$K$64,2,0)," ")</f>
        <v>Infraestructura física, mantenimiento y dotación (Sedes construidas, mantenidas reforzadas)</v>
      </c>
      <c r="Z167" s="164" t="str">
        <f t="shared" si="8"/>
        <v>08-Infraestructura física, mantenimiento y dotación (Sedes construidas, mantenidas reforzadas)</v>
      </c>
      <c r="AA167" s="162" t="s">
        <v>227</v>
      </c>
      <c r="AB167" s="163" t="str">
        <f>IFERROR(VLOOKUP(AA167,TD!$N$51:$O$66,2,0)," ")</f>
        <v>Sedes mantenidas</v>
      </c>
      <c r="AC167" s="164" t="str">
        <f t="shared" si="9"/>
        <v>016_Sedes mantenidas</v>
      </c>
      <c r="AD167" s="164" t="str">
        <f t="shared" si="10"/>
        <v>08-Infraestructura física, mantenimiento y dotación (Sedes construidas, mantenidas reforzadas) 016_Sedes mantenidas</v>
      </c>
      <c r="AE167" s="163" t="str">
        <f t="shared" si="11"/>
        <v>O23011745992024020708016</v>
      </c>
      <c r="AF167" s="163" t="str">
        <f>IFERROR(VLOOKUP(AD167,TD!$J$66:$K$89,2,0)," ")</f>
        <v>PM/0131/0108/45990160207</v>
      </c>
      <c r="AG167" s="118" t="s">
        <v>385</v>
      </c>
      <c r="AH167" s="162" t="s">
        <v>193</v>
      </c>
      <c r="AI167" s="165" t="str">
        <f>CONCATENATE(PAA[[#This Row],[Id Interno]],"-",PAA[[#This Row],[tipo de Contrato (TH talento humano - B/S bienes y/o servicios)]],"-",S167,"-",T167,"-",PAA[[#This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68" spans="2:35" ht="84" x14ac:dyDescent="0.35">
      <c r="B168" s="23">
        <v>20260130</v>
      </c>
      <c r="C168" s="99" t="s">
        <v>611</v>
      </c>
      <c r="D168" s="23" t="s">
        <v>105</v>
      </c>
      <c r="E168" s="23" t="s">
        <v>363</v>
      </c>
      <c r="F168" s="159" t="s">
        <v>145</v>
      </c>
      <c r="G168" s="160" t="s">
        <v>373</v>
      </c>
      <c r="H168" s="161">
        <v>11</v>
      </c>
      <c r="I168" s="161">
        <v>0</v>
      </c>
      <c r="J168" s="127">
        <v>46200000</v>
      </c>
      <c r="K168" s="88" t="s">
        <v>398</v>
      </c>
      <c r="L168" s="159" t="s">
        <v>154</v>
      </c>
      <c r="M168" s="162" t="s">
        <v>448</v>
      </c>
      <c r="N168" s="23" t="s">
        <v>197</v>
      </c>
      <c r="O168" s="150" t="s">
        <v>925</v>
      </c>
      <c r="P168" s="159" t="s">
        <v>348</v>
      </c>
      <c r="Q168" s="53">
        <v>80111600</v>
      </c>
      <c r="R168" s="162" t="s">
        <v>208</v>
      </c>
      <c r="S168" s="162" t="str">
        <f>MID(PAA[[#This Row],[Meta Proyecto de Inversión]],1,4)</f>
        <v>8126</v>
      </c>
      <c r="T168" s="162" t="str">
        <f>MID(PAA[[#This Row],[Meta Proyecto de Inversión]],6,1)</f>
        <v>9</v>
      </c>
      <c r="U168" s="163" t="str">
        <f>IFERROR(VLOOKUP(N168,TD!$B$50:$F$54,2,0)," ")</f>
        <v>O230117</v>
      </c>
      <c r="V168" s="163" t="str">
        <f>IFERROR(VLOOKUP(N168,TD!$B$50:$F$54,3,0)," ")</f>
        <v>4599</v>
      </c>
      <c r="W168" s="163">
        <f>IFERROR(VLOOKUP(N168,TD!$B$50:$F$54,4,0)," ")</f>
        <v>20240207</v>
      </c>
      <c r="X168" s="162" t="s">
        <v>174</v>
      </c>
      <c r="Y168" s="163" t="str">
        <f>IFERROR(VLOOKUP(X168,TD!$J$51:$K$64,2,0)," ")</f>
        <v>Infraestructura física, mantenimiento y dotación (Sedes construidas, mantenidas reforzadas)</v>
      </c>
      <c r="Z168" s="164" t="str">
        <f t="shared" si="8"/>
        <v>08-Infraestructura física, mantenimiento y dotación (Sedes construidas, mantenidas reforzadas)</v>
      </c>
      <c r="AA168" s="162" t="s">
        <v>227</v>
      </c>
      <c r="AB168" s="163" t="str">
        <f>IFERROR(VLOOKUP(AA168,TD!$N$51:$O$66,2,0)," ")</f>
        <v>Sedes mantenidas</v>
      </c>
      <c r="AC168" s="164" t="str">
        <f t="shared" si="9"/>
        <v>016_Sedes mantenidas</v>
      </c>
      <c r="AD168" s="164" t="str">
        <f t="shared" si="10"/>
        <v>08-Infraestructura física, mantenimiento y dotación (Sedes construidas, mantenidas reforzadas) 016_Sedes mantenidas</v>
      </c>
      <c r="AE168" s="163" t="str">
        <f t="shared" si="11"/>
        <v>O23011745992024020708016</v>
      </c>
      <c r="AF168" s="163" t="str">
        <f>IFERROR(VLOOKUP(AD168,TD!$J$66:$K$89,2,0)," ")</f>
        <v>PM/0131/0108/45990160207</v>
      </c>
      <c r="AG168" s="118" t="s">
        <v>385</v>
      </c>
      <c r="AH168" s="162" t="s">
        <v>193</v>
      </c>
      <c r="AI168" s="165" t="str">
        <f>CONCATENATE(PAA[[#This Row],[Id Interno]],"-",PAA[[#This Row],[tipo de Contrato (TH talento humano - B/S bienes y/o servicios)]],"-",S168,"-",T168,"-",PAA[[#This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69" spans="2:35" ht="98" x14ac:dyDescent="0.35">
      <c r="B169" s="23">
        <v>20260131</v>
      </c>
      <c r="C169" s="99" t="s">
        <v>610</v>
      </c>
      <c r="D169" s="23" t="s">
        <v>105</v>
      </c>
      <c r="E169" s="23" t="s">
        <v>363</v>
      </c>
      <c r="F169" s="159" t="s">
        <v>145</v>
      </c>
      <c r="G169" s="160" t="s">
        <v>373</v>
      </c>
      <c r="H169" s="161">
        <v>7</v>
      </c>
      <c r="I169" s="161">
        <v>0</v>
      </c>
      <c r="J169" s="127">
        <v>26600000</v>
      </c>
      <c r="K169" s="88" t="s">
        <v>398</v>
      </c>
      <c r="L169" s="159" t="s">
        <v>154</v>
      </c>
      <c r="M169" s="162" t="s">
        <v>448</v>
      </c>
      <c r="N169" s="23" t="s">
        <v>197</v>
      </c>
      <c r="O169" s="150" t="s">
        <v>925</v>
      </c>
      <c r="P169" s="159" t="s">
        <v>348</v>
      </c>
      <c r="Q169" s="53">
        <v>80111600</v>
      </c>
      <c r="R169" s="162" t="s">
        <v>208</v>
      </c>
      <c r="S169" s="162" t="str">
        <f>MID(PAA[[#This Row],[Meta Proyecto de Inversión]],1,4)</f>
        <v>8126</v>
      </c>
      <c r="T169" s="162" t="str">
        <f>MID(PAA[[#This Row],[Meta Proyecto de Inversión]],6,1)</f>
        <v>9</v>
      </c>
      <c r="U169" s="163" t="str">
        <f>IFERROR(VLOOKUP(N169,TD!$B$50:$F$54,2,0)," ")</f>
        <v>O230117</v>
      </c>
      <c r="V169" s="163" t="str">
        <f>IFERROR(VLOOKUP(N169,TD!$B$50:$F$54,3,0)," ")</f>
        <v>4599</v>
      </c>
      <c r="W169" s="163">
        <f>IFERROR(VLOOKUP(N169,TD!$B$50:$F$54,4,0)," ")</f>
        <v>20240207</v>
      </c>
      <c r="X169" s="162" t="s">
        <v>174</v>
      </c>
      <c r="Y169" s="163" t="str">
        <f>IFERROR(VLOOKUP(X169,TD!$J$51:$K$64,2,0)," ")</f>
        <v>Infraestructura física, mantenimiento y dotación (Sedes construidas, mantenidas reforzadas)</v>
      </c>
      <c r="Z169" s="164" t="str">
        <f t="shared" si="8"/>
        <v>08-Infraestructura física, mantenimiento y dotación (Sedes construidas, mantenidas reforzadas)</v>
      </c>
      <c r="AA169" s="162" t="s">
        <v>227</v>
      </c>
      <c r="AB169" s="163" t="str">
        <f>IFERROR(VLOOKUP(AA169,TD!$N$51:$O$66,2,0)," ")</f>
        <v>Sedes mantenidas</v>
      </c>
      <c r="AC169" s="164" t="str">
        <f t="shared" si="9"/>
        <v>016_Sedes mantenidas</v>
      </c>
      <c r="AD169" s="164" t="str">
        <f t="shared" si="10"/>
        <v>08-Infraestructura física, mantenimiento y dotación (Sedes construidas, mantenidas reforzadas) 016_Sedes mantenidas</v>
      </c>
      <c r="AE169" s="163" t="str">
        <f t="shared" si="11"/>
        <v>O23011745992024020708016</v>
      </c>
      <c r="AF169" s="163" t="str">
        <f>IFERROR(VLOOKUP(AD169,TD!$J$66:$K$89,2,0)," ")</f>
        <v>PM/0131/0108/45990160207</v>
      </c>
      <c r="AG169" s="118" t="s">
        <v>385</v>
      </c>
      <c r="AH169" s="162" t="s">
        <v>193</v>
      </c>
      <c r="AI169" s="165" t="str">
        <f>CONCATENATE(PAA[[#This Row],[Id Interno]],"-",PAA[[#This Row],[tipo de Contrato (TH talento humano - B/S bienes y/o servicios)]],"-",S169,"-",T169,"-",PAA[[#This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0" spans="2:35" ht="98" x14ac:dyDescent="0.35">
      <c r="B170" s="23">
        <v>20260132</v>
      </c>
      <c r="C170" s="99" t="s">
        <v>610</v>
      </c>
      <c r="D170" s="23" t="s">
        <v>105</v>
      </c>
      <c r="E170" s="23" t="s">
        <v>363</v>
      </c>
      <c r="F170" s="159" t="s">
        <v>145</v>
      </c>
      <c r="G170" s="160" t="s">
        <v>373</v>
      </c>
      <c r="H170" s="161">
        <v>11</v>
      </c>
      <c r="I170" s="161">
        <v>0</v>
      </c>
      <c r="J170" s="127">
        <v>41800000</v>
      </c>
      <c r="K170" s="88" t="s">
        <v>398</v>
      </c>
      <c r="L170" s="159" t="s">
        <v>154</v>
      </c>
      <c r="M170" s="162" t="s">
        <v>448</v>
      </c>
      <c r="N170" s="23" t="s">
        <v>197</v>
      </c>
      <c r="O170" s="150" t="s">
        <v>925</v>
      </c>
      <c r="P170" s="159" t="s">
        <v>348</v>
      </c>
      <c r="Q170" s="53">
        <v>80111600</v>
      </c>
      <c r="R170" s="162" t="s">
        <v>208</v>
      </c>
      <c r="S170" s="162" t="str">
        <f>MID(PAA[[#This Row],[Meta Proyecto de Inversión]],1,4)</f>
        <v>8126</v>
      </c>
      <c r="T170" s="162" t="str">
        <f>MID(PAA[[#This Row],[Meta Proyecto de Inversión]],6,1)</f>
        <v>9</v>
      </c>
      <c r="U170" s="163" t="str">
        <f>IFERROR(VLOOKUP(N170,TD!$B$50:$F$54,2,0)," ")</f>
        <v>O230117</v>
      </c>
      <c r="V170" s="163" t="str">
        <f>IFERROR(VLOOKUP(N170,TD!$B$50:$F$54,3,0)," ")</f>
        <v>4599</v>
      </c>
      <c r="W170" s="163">
        <f>IFERROR(VLOOKUP(N170,TD!$B$50:$F$54,4,0)," ")</f>
        <v>20240207</v>
      </c>
      <c r="X170" s="162" t="s">
        <v>174</v>
      </c>
      <c r="Y170" s="163" t="str">
        <f>IFERROR(VLOOKUP(X170,TD!$J$51:$K$64,2,0)," ")</f>
        <v>Infraestructura física, mantenimiento y dotación (Sedes construidas, mantenidas reforzadas)</v>
      </c>
      <c r="Z170" s="164" t="str">
        <f t="shared" si="8"/>
        <v>08-Infraestructura física, mantenimiento y dotación (Sedes construidas, mantenidas reforzadas)</v>
      </c>
      <c r="AA170" s="162" t="s">
        <v>227</v>
      </c>
      <c r="AB170" s="163" t="str">
        <f>IFERROR(VLOOKUP(AA170,TD!$N$51:$O$66,2,0)," ")</f>
        <v>Sedes mantenidas</v>
      </c>
      <c r="AC170" s="164" t="str">
        <f t="shared" si="9"/>
        <v>016_Sedes mantenidas</v>
      </c>
      <c r="AD170" s="164" t="str">
        <f t="shared" si="10"/>
        <v>08-Infraestructura física, mantenimiento y dotación (Sedes construidas, mantenidas reforzadas) 016_Sedes mantenidas</v>
      </c>
      <c r="AE170" s="163" t="str">
        <f t="shared" si="11"/>
        <v>O23011745992024020708016</v>
      </c>
      <c r="AF170" s="163" t="str">
        <f>IFERROR(VLOOKUP(AD170,TD!$J$66:$K$89,2,0)," ")</f>
        <v>PM/0131/0108/45990160207</v>
      </c>
      <c r="AG170" s="118" t="s">
        <v>385</v>
      </c>
      <c r="AH170" s="162" t="s">
        <v>193</v>
      </c>
      <c r="AI170" s="165" t="str">
        <f>CONCATENATE(PAA[[#This Row],[Id Interno]],"-",PAA[[#This Row],[tipo de Contrato (TH talento humano - B/S bienes y/o servicios)]],"-",S170,"-",T170,"-",PAA[[#This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1" spans="2:35" ht="70" x14ac:dyDescent="0.35">
      <c r="B171" s="23">
        <v>20260133</v>
      </c>
      <c r="C171" s="99" t="s">
        <v>612</v>
      </c>
      <c r="D171" s="23" t="s">
        <v>105</v>
      </c>
      <c r="E171" s="23" t="s">
        <v>363</v>
      </c>
      <c r="F171" s="159" t="s">
        <v>145</v>
      </c>
      <c r="G171" s="160" t="s">
        <v>373</v>
      </c>
      <c r="H171" s="161">
        <v>7</v>
      </c>
      <c r="I171" s="161">
        <v>0</v>
      </c>
      <c r="J171" s="127">
        <v>28700000</v>
      </c>
      <c r="K171" s="88" t="s">
        <v>398</v>
      </c>
      <c r="L171" s="159" t="s">
        <v>154</v>
      </c>
      <c r="M171" s="162" t="s">
        <v>448</v>
      </c>
      <c r="N171" s="23" t="s">
        <v>197</v>
      </c>
      <c r="O171" s="150" t="s">
        <v>925</v>
      </c>
      <c r="P171" s="159" t="s">
        <v>348</v>
      </c>
      <c r="Q171" s="53">
        <v>80111600</v>
      </c>
      <c r="R171" s="162" t="s">
        <v>208</v>
      </c>
      <c r="S171" s="162" t="str">
        <f>MID(PAA[[#This Row],[Meta Proyecto de Inversión]],1,4)</f>
        <v>8126</v>
      </c>
      <c r="T171" s="162" t="str">
        <f>MID(PAA[[#This Row],[Meta Proyecto de Inversión]],6,1)</f>
        <v>9</v>
      </c>
      <c r="U171" s="163" t="str">
        <f>IFERROR(VLOOKUP(N171,TD!$B$50:$F$54,2,0)," ")</f>
        <v>O230117</v>
      </c>
      <c r="V171" s="163" t="str">
        <f>IFERROR(VLOOKUP(N171,TD!$B$50:$F$54,3,0)," ")</f>
        <v>4599</v>
      </c>
      <c r="W171" s="163">
        <f>IFERROR(VLOOKUP(N171,TD!$B$50:$F$54,4,0)," ")</f>
        <v>20240207</v>
      </c>
      <c r="X171" s="162" t="s">
        <v>174</v>
      </c>
      <c r="Y171" s="163" t="str">
        <f>IFERROR(VLOOKUP(X171,TD!$J$51:$K$64,2,0)," ")</f>
        <v>Infraestructura física, mantenimiento y dotación (Sedes construidas, mantenidas reforzadas)</v>
      </c>
      <c r="Z171" s="164" t="str">
        <f t="shared" si="8"/>
        <v>08-Infraestructura física, mantenimiento y dotación (Sedes construidas, mantenidas reforzadas)</v>
      </c>
      <c r="AA171" s="162" t="s">
        <v>227</v>
      </c>
      <c r="AB171" s="163" t="str">
        <f>IFERROR(VLOOKUP(AA171,TD!$N$51:$O$66,2,0)," ")</f>
        <v>Sedes mantenidas</v>
      </c>
      <c r="AC171" s="164" t="str">
        <f t="shared" si="9"/>
        <v>016_Sedes mantenidas</v>
      </c>
      <c r="AD171" s="164" t="str">
        <f t="shared" si="10"/>
        <v>08-Infraestructura física, mantenimiento y dotación (Sedes construidas, mantenidas reforzadas) 016_Sedes mantenidas</v>
      </c>
      <c r="AE171" s="163" t="str">
        <f t="shared" si="11"/>
        <v>O23011745992024020708016</v>
      </c>
      <c r="AF171" s="163" t="str">
        <f>IFERROR(VLOOKUP(AD171,TD!$J$66:$K$89,2,0)," ")</f>
        <v>PM/0131/0108/45990160207</v>
      </c>
      <c r="AG171" s="118" t="s">
        <v>385</v>
      </c>
      <c r="AH171" s="162" t="s">
        <v>193</v>
      </c>
      <c r="AI171" s="165" t="str">
        <f>CONCATENATE(PAA[[#This Row],[Id Interno]],"-",PAA[[#This Row],[tipo de Contrato (TH talento humano - B/S bienes y/o servicios)]],"-",S171,"-",T171,"-",PAA[[#This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72" spans="2:35" ht="84" x14ac:dyDescent="0.35">
      <c r="B172" s="23">
        <v>20260134</v>
      </c>
      <c r="C172" s="99" t="s">
        <v>613</v>
      </c>
      <c r="D172" s="23" t="s">
        <v>105</v>
      </c>
      <c r="E172" s="23" t="s">
        <v>363</v>
      </c>
      <c r="F172" s="159" t="s">
        <v>144</v>
      </c>
      <c r="G172" s="160" t="s">
        <v>373</v>
      </c>
      <c r="H172" s="161">
        <v>3</v>
      </c>
      <c r="I172" s="161">
        <v>15</v>
      </c>
      <c r="J172" s="127">
        <v>29400000</v>
      </c>
      <c r="K172" s="88" t="s">
        <v>398</v>
      </c>
      <c r="L172" s="159" t="s">
        <v>154</v>
      </c>
      <c r="M172" s="162" t="s">
        <v>448</v>
      </c>
      <c r="N172" s="23" t="s">
        <v>197</v>
      </c>
      <c r="O172" s="151" t="s">
        <v>925</v>
      </c>
      <c r="P172" s="159" t="s">
        <v>348</v>
      </c>
      <c r="Q172" s="53">
        <v>80111600</v>
      </c>
      <c r="R172" s="162" t="s">
        <v>208</v>
      </c>
      <c r="S172" s="162" t="str">
        <f>MID(PAA[[#This Row],[Meta Proyecto de Inversión]],1,4)</f>
        <v>8126</v>
      </c>
      <c r="T172" s="162" t="str">
        <f>MID(PAA[[#This Row],[Meta Proyecto de Inversión]],6,1)</f>
        <v>9</v>
      </c>
      <c r="U172" s="163" t="str">
        <f>IFERROR(VLOOKUP(N172,TD!$B$50:$F$54,2,0)," ")</f>
        <v>O230117</v>
      </c>
      <c r="V172" s="163" t="str">
        <f>IFERROR(VLOOKUP(N172,TD!$B$50:$F$54,3,0)," ")</f>
        <v>4599</v>
      </c>
      <c r="W172" s="163">
        <f>IFERROR(VLOOKUP(N172,TD!$B$50:$F$54,4,0)," ")</f>
        <v>20240207</v>
      </c>
      <c r="X172" s="162" t="s">
        <v>174</v>
      </c>
      <c r="Y172" s="163" t="str">
        <f>IFERROR(VLOOKUP(X172,TD!$J$51:$K$64,2,0)," ")</f>
        <v>Infraestructura física, mantenimiento y dotación (Sedes construidas, mantenidas reforzadas)</v>
      </c>
      <c r="Z172" s="164" t="str">
        <f t="shared" si="8"/>
        <v>08-Infraestructura física, mantenimiento y dotación (Sedes construidas, mantenidas reforzadas)</v>
      </c>
      <c r="AA172" s="162" t="s">
        <v>227</v>
      </c>
      <c r="AB172" s="163" t="str">
        <f>IFERROR(VLOOKUP(AA172,TD!$N$51:$O$66,2,0)," ")</f>
        <v>Sedes mantenidas</v>
      </c>
      <c r="AC172" s="164" t="str">
        <f t="shared" si="9"/>
        <v>016_Sedes mantenidas</v>
      </c>
      <c r="AD172" s="164" t="str">
        <f t="shared" si="10"/>
        <v>08-Infraestructura física, mantenimiento y dotación (Sedes construidas, mantenidas reforzadas) 016_Sedes mantenidas</v>
      </c>
      <c r="AE172" s="163" t="str">
        <f t="shared" si="11"/>
        <v>O23011745992024020708016</v>
      </c>
      <c r="AF172" s="163" t="str">
        <f>IFERROR(VLOOKUP(AD172,TD!$J$66:$K$89,2,0)," ")</f>
        <v>PM/0131/0108/45990160207</v>
      </c>
      <c r="AG172" s="118" t="s">
        <v>385</v>
      </c>
      <c r="AH172" s="162" t="s">
        <v>193</v>
      </c>
      <c r="AI172" s="165" t="str">
        <f>CONCATENATE(PAA[[#This Row],[Id Interno]],"-",PAA[[#This Row],[tipo de Contrato (TH talento humano - B/S bienes y/o servicios)]],"-",S172,"-",T172,"-",PAA[[#This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73" spans="2:35" ht="70" x14ac:dyDescent="0.35">
      <c r="B173" s="23">
        <v>20260135</v>
      </c>
      <c r="C173" s="99" t="s">
        <v>614</v>
      </c>
      <c r="D173" s="23" t="s">
        <v>105</v>
      </c>
      <c r="E173" s="23" t="s">
        <v>363</v>
      </c>
      <c r="F173" s="159" t="s">
        <v>144</v>
      </c>
      <c r="G173" s="160" t="s">
        <v>373</v>
      </c>
      <c r="H173" s="161">
        <v>5</v>
      </c>
      <c r="I173" s="161">
        <v>0</v>
      </c>
      <c r="J173" s="127">
        <v>29500000</v>
      </c>
      <c r="K173" s="88" t="s">
        <v>398</v>
      </c>
      <c r="L173" s="159" t="s">
        <v>154</v>
      </c>
      <c r="M173" s="162" t="s">
        <v>448</v>
      </c>
      <c r="N173" s="23" t="s">
        <v>197</v>
      </c>
      <c r="O173" s="150" t="s">
        <v>925</v>
      </c>
      <c r="P173" s="159" t="s">
        <v>348</v>
      </c>
      <c r="Q173" s="53">
        <v>80111600</v>
      </c>
      <c r="R173" s="162" t="s">
        <v>208</v>
      </c>
      <c r="S173" s="162" t="str">
        <f>MID(PAA[[#This Row],[Meta Proyecto de Inversión]],1,4)</f>
        <v>8126</v>
      </c>
      <c r="T173" s="162" t="str">
        <f>MID(PAA[[#This Row],[Meta Proyecto de Inversión]],6,1)</f>
        <v>9</v>
      </c>
      <c r="U173" s="163" t="str">
        <f>IFERROR(VLOOKUP(N173,TD!$B$50:$F$54,2,0)," ")</f>
        <v>O230117</v>
      </c>
      <c r="V173" s="163" t="str">
        <f>IFERROR(VLOOKUP(N173,TD!$B$50:$F$54,3,0)," ")</f>
        <v>4599</v>
      </c>
      <c r="W173" s="163">
        <f>IFERROR(VLOOKUP(N173,TD!$B$50:$F$54,4,0)," ")</f>
        <v>20240207</v>
      </c>
      <c r="X173" s="162" t="s">
        <v>174</v>
      </c>
      <c r="Y173" s="163" t="str">
        <f>IFERROR(VLOOKUP(X173,TD!$J$51:$K$64,2,0)," ")</f>
        <v>Infraestructura física, mantenimiento y dotación (Sedes construidas, mantenidas reforzadas)</v>
      </c>
      <c r="Z173" s="164" t="str">
        <f t="shared" si="8"/>
        <v>08-Infraestructura física, mantenimiento y dotación (Sedes construidas, mantenidas reforzadas)</v>
      </c>
      <c r="AA173" s="162" t="s">
        <v>227</v>
      </c>
      <c r="AB173" s="163" t="str">
        <f>IFERROR(VLOOKUP(AA173,TD!$N$51:$O$66,2,0)," ")</f>
        <v>Sedes mantenidas</v>
      </c>
      <c r="AC173" s="164" t="str">
        <f t="shared" si="9"/>
        <v>016_Sedes mantenidas</v>
      </c>
      <c r="AD173" s="164" t="str">
        <f t="shared" si="10"/>
        <v>08-Infraestructura física, mantenimiento y dotación (Sedes construidas, mantenidas reforzadas) 016_Sedes mantenidas</v>
      </c>
      <c r="AE173" s="163" t="str">
        <f t="shared" si="11"/>
        <v>O23011745992024020708016</v>
      </c>
      <c r="AF173" s="163" t="str">
        <f>IFERROR(VLOOKUP(AD173,TD!$J$66:$K$89,2,0)," ")</f>
        <v>PM/0131/0108/45990160207</v>
      </c>
      <c r="AG173" s="118" t="s">
        <v>385</v>
      </c>
      <c r="AH173" s="162" t="s">
        <v>193</v>
      </c>
      <c r="AI173" s="165" t="str">
        <f>CONCATENATE(PAA[[#This Row],[Id Interno]],"-",PAA[[#This Row],[tipo de Contrato (TH talento humano - B/S bienes y/o servicios)]],"-",S173,"-",T173,"-",PAA[[#This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74" spans="2:35" ht="70" x14ac:dyDescent="0.35">
      <c r="B174" s="23">
        <v>20260136</v>
      </c>
      <c r="C174" s="99" t="s">
        <v>449</v>
      </c>
      <c r="D174" s="23" t="s">
        <v>105</v>
      </c>
      <c r="E174" s="23" t="s">
        <v>363</v>
      </c>
      <c r="F174" s="159" t="s">
        <v>144</v>
      </c>
      <c r="G174" s="160" t="s">
        <v>373</v>
      </c>
      <c r="H174" s="161">
        <v>10</v>
      </c>
      <c r="I174" s="161">
        <v>0</v>
      </c>
      <c r="J174" s="127">
        <v>67000000</v>
      </c>
      <c r="K174" s="88" t="s">
        <v>398</v>
      </c>
      <c r="L174" s="159" t="s">
        <v>154</v>
      </c>
      <c r="M174" s="162" t="s">
        <v>448</v>
      </c>
      <c r="N174" s="23" t="s">
        <v>197</v>
      </c>
      <c r="O174" s="150" t="s">
        <v>925</v>
      </c>
      <c r="P174" s="159" t="s">
        <v>348</v>
      </c>
      <c r="Q174" s="53">
        <v>80111600</v>
      </c>
      <c r="R174" s="162" t="s">
        <v>208</v>
      </c>
      <c r="S174" s="162" t="str">
        <f>MID(PAA[[#This Row],[Meta Proyecto de Inversión]],1,4)</f>
        <v>8126</v>
      </c>
      <c r="T174" s="162" t="str">
        <f>MID(PAA[[#This Row],[Meta Proyecto de Inversión]],6,1)</f>
        <v>9</v>
      </c>
      <c r="U174" s="163" t="str">
        <f>IFERROR(VLOOKUP(N174,TD!$B$50:$F$54,2,0)," ")</f>
        <v>O230117</v>
      </c>
      <c r="V174" s="163" t="str">
        <f>IFERROR(VLOOKUP(N174,TD!$B$50:$F$54,3,0)," ")</f>
        <v>4599</v>
      </c>
      <c r="W174" s="163">
        <f>IFERROR(VLOOKUP(N174,TD!$B$50:$F$54,4,0)," ")</f>
        <v>20240207</v>
      </c>
      <c r="X174" s="162" t="s">
        <v>174</v>
      </c>
      <c r="Y174" s="163" t="str">
        <f>IFERROR(VLOOKUP(X174,TD!$J$51:$K$64,2,0)," ")</f>
        <v>Infraestructura física, mantenimiento y dotación (Sedes construidas, mantenidas reforzadas)</v>
      </c>
      <c r="Z174" s="164" t="str">
        <f t="shared" si="8"/>
        <v>08-Infraestructura física, mantenimiento y dotación (Sedes construidas, mantenidas reforzadas)</v>
      </c>
      <c r="AA174" s="162" t="s">
        <v>227</v>
      </c>
      <c r="AB174" s="163" t="str">
        <f>IFERROR(VLOOKUP(AA174,TD!$N$51:$O$66,2,0)," ")</f>
        <v>Sedes mantenidas</v>
      </c>
      <c r="AC174" s="164" t="str">
        <f t="shared" si="9"/>
        <v>016_Sedes mantenidas</v>
      </c>
      <c r="AD174" s="164" t="str">
        <f t="shared" si="10"/>
        <v>08-Infraestructura física, mantenimiento y dotación (Sedes construidas, mantenidas reforzadas) 016_Sedes mantenidas</v>
      </c>
      <c r="AE174" s="163" t="str">
        <f t="shared" si="11"/>
        <v>O23011745992024020708016</v>
      </c>
      <c r="AF174" s="163" t="str">
        <f>IFERROR(VLOOKUP(AD174,TD!$J$66:$K$89,2,0)," ")</f>
        <v>PM/0131/0108/45990160207</v>
      </c>
      <c r="AG174" s="118" t="s">
        <v>385</v>
      </c>
      <c r="AH174" s="162" t="s">
        <v>193</v>
      </c>
      <c r="AI174" s="165" t="str">
        <f>CONCATENATE(PAA[[#This Row],[Id Interno]],"-",PAA[[#This Row],[tipo de Contrato (TH talento humano - B/S bienes y/o servicios)]],"-",S174,"-",T174,"-",PAA[[#This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75" spans="2:35" ht="84" x14ac:dyDescent="0.35">
      <c r="B175" s="23">
        <v>20260137</v>
      </c>
      <c r="C175" s="99" t="s">
        <v>450</v>
      </c>
      <c r="D175" s="23" t="s">
        <v>105</v>
      </c>
      <c r="E175" s="23" t="s">
        <v>363</v>
      </c>
      <c r="F175" s="159" t="s">
        <v>145</v>
      </c>
      <c r="G175" s="160" t="s">
        <v>373</v>
      </c>
      <c r="H175" s="161">
        <v>10</v>
      </c>
      <c r="I175" s="161">
        <v>0</v>
      </c>
      <c r="J175" s="127">
        <v>36000000</v>
      </c>
      <c r="K175" s="88" t="s">
        <v>398</v>
      </c>
      <c r="L175" s="159" t="s">
        <v>154</v>
      </c>
      <c r="M175" s="162" t="s">
        <v>448</v>
      </c>
      <c r="N175" s="23" t="s">
        <v>197</v>
      </c>
      <c r="O175" s="150" t="s">
        <v>925</v>
      </c>
      <c r="P175" s="159" t="s">
        <v>348</v>
      </c>
      <c r="Q175" s="53">
        <v>80111600</v>
      </c>
      <c r="R175" s="162" t="s">
        <v>208</v>
      </c>
      <c r="S175" s="162" t="str">
        <f>MID(PAA[[#This Row],[Meta Proyecto de Inversión]],1,4)</f>
        <v>8126</v>
      </c>
      <c r="T175" s="162" t="str">
        <f>MID(PAA[[#This Row],[Meta Proyecto de Inversión]],6,1)</f>
        <v>9</v>
      </c>
      <c r="U175" s="163" t="str">
        <f>IFERROR(VLOOKUP(N175,TD!$B$50:$F$54,2,0)," ")</f>
        <v>O230117</v>
      </c>
      <c r="V175" s="163" t="str">
        <f>IFERROR(VLOOKUP(N175,TD!$B$50:$F$54,3,0)," ")</f>
        <v>4599</v>
      </c>
      <c r="W175" s="163">
        <f>IFERROR(VLOOKUP(N175,TD!$B$50:$F$54,4,0)," ")</f>
        <v>20240207</v>
      </c>
      <c r="X175" s="162" t="s">
        <v>174</v>
      </c>
      <c r="Y175" s="163" t="str">
        <f>IFERROR(VLOOKUP(X175,TD!$J$51:$K$64,2,0)," ")</f>
        <v>Infraestructura física, mantenimiento y dotación (Sedes construidas, mantenidas reforzadas)</v>
      </c>
      <c r="Z175" s="164" t="str">
        <f t="shared" si="8"/>
        <v>08-Infraestructura física, mantenimiento y dotación (Sedes construidas, mantenidas reforzadas)</v>
      </c>
      <c r="AA175" s="162" t="s">
        <v>227</v>
      </c>
      <c r="AB175" s="163" t="str">
        <f>IFERROR(VLOOKUP(AA175,TD!$N$51:$O$66,2,0)," ")</f>
        <v>Sedes mantenidas</v>
      </c>
      <c r="AC175" s="164" t="str">
        <f t="shared" si="9"/>
        <v>016_Sedes mantenidas</v>
      </c>
      <c r="AD175" s="164" t="str">
        <f t="shared" si="10"/>
        <v>08-Infraestructura física, mantenimiento y dotación (Sedes construidas, mantenidas reforzadas) 016_Sedes mantenidas</v>
      </c>
      <c r="AE175" s="163" t="str">
        <f t="shared" si="11"/>
        <v>O23011745992024020708016</v>
      </c>
      <c r="AF175" s="163" t="str">
        <f>IFERROR(VLOOKUP(AD175,TD!$J$66:$K$89,2,0)," ")</f>
        <v>PM/0131/0108/45990160207</v>
      </c>
      <c r="AG175" s="118" t="s">
        <v>385</v>
      </c>
      <c r="AH175" s="162" t="s">
        <v>193</v>
      </c>
      <c r="AI175" s="165" t="str">
        <f>CONCATENATE(PAA[[#This Row],[Id Interno]],"-",PAA[[#This Row],[tipo de Contrato (TH talento humano - B/S bienes y/o servicios)]],"-",S175,"-",T175,"-",PAA[[#This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76" spans="2:35" ht="98" x14ac:dyDescent="0.35">
      <c r="B176" s="23">
        <v>20260138</v>
      </c>
      <c r="C176" s="99" t="s">
        <v>451</v>
      </c>
      <c r="D176" s="23" t="s">
        <v>105</v>
      </c>
      <c r="E176" s="23" t="s">
        <v>363</v>
      </c>
      <c r="F176" s="159" t="s">
        <v>144</v>
      </c>
      <c r="G176" s="160" t="s">
        <v>373</v>
      </c>
      <c r="H176" s="161">
        <v>7</v>
      </c>
      <c r="I176" s="161">
        <v>0</v>
      </c>
      <c r="J176" s="127">
        <v>50400000</v>
      </c>
      <c r="K176" s="88" t="s">
        <v>398</v>
      </c>
      <c r="L176" s="159" t="s">
        <v>154</v>
      </c>
      <c r="M176" s="162" t="s">
        <v>448</v>
      </c>
      <c r="N176" s="23" t="s">
        <v>197</v>
      </c>
      <c r="O176" s="150" t="s">
        <v>925</v>
      </c>
      <c r="P176" s="159" t="s">
        <v>348</v>
      </c>
      <c r="Q176" s="53">
        <v>80111600</v>
      </c>
      <c r="R176" s="162" t="s">
        <v>208</v>
      </c>
      <c r="S176" s="162" t="str">
        <f>MID(PAA[[#This Row],[Meta Proyecto de Inversión]],1,4)</f>
        <v>8126</v>
      </c>
      <c r="T176" s="162" t="str">
        <f>MID(PAA[[#This Row],[Meta Proyecto de Inversión]],6,1)</f>
        <v>9</v>
      </c>
      <c r="U176" s="163" t="str">
        <f>IFERROR(VLOOKUP(N176,TD!$B$50:$F$54,2,0)," ")</f>
        <v>O230117</v>
      </c>
      <c r="V176" s="163" t="str">
        <f>IFERROR(VLOOKUP(N176,TD!$B$50:$F$54,3,0)," ")</f>
        <v>4599</v>
      </c>
      <c r="W176" s="163">
        <f>IFERROR(VLOOKUP(N176,TD!$B$50:$F$54,4,0)," ")</f>
        <v>20240207</v>
      </c>
      <c r="X176" s="162" t="s">
        <v>174</v>
      </c>
      <c r="Y176" s="163" t="str">
        <f>IFERROR(VLOOKUP(X176,TD!$J$51:$K$64,2,0)," ")</f>
        <v>Infraestructura física, mantenimiento y dotación (Sedes construidas, mantenidas reforzadas)</v>
      </c>
      <c r="Z176" s="164" t="str">
        <f t="shared" si="8"/>
        <v>08-Infraestructura física, mantenimiento y dotación (Sedes construidas, mantenidas reforzadas)</v>
      </c>
      <c r="AA176" s="162" t="s">
        <v>227</v>
      </c>
      <c r="AB176" s="163" t="str">
        <f>IFERROR(VLOOKUP(AA176,TD!$N$51:$O$66,2,0)," ")</f>
        <v>Sedes mantenidas</v>
      </c>
      <c r="AC176" s="164" t="str">
        <f t="shared" si="9"/>
        <v>016_Sedes mantenidas</v>
      </c>
      <c r="AD176" s="164" t="str">
        <f t="shared" si="10"/>
        <v>08-Infraestructura física, mantenimiento y dotación (Sedes construidas, mantenidas reforzadas) 016_Sedes mantenidas</v>
      </c>
      <c r="AE176" s="163" t="str">
        <f t="shared" si="11"/>
        <v>O23011745992024020708016</v>
      </c>
      <c r="AF176" s="163" t="str">
        <f>IFERROR(VLOOKUP(AD176,TD!$J$66:$K$89,2,0)," ")</f>
        <v>PM/0131/0108/45990160207</v>
      </c>
      <c r="AG176" s="118" t="s">
        <v>385</v>
      </c>
      <c r="AH176" s="162" t="s">
        <v>193</v>
      </c>
      <c r="AI176" s="165" t="str">
        <f>CONCATENATE(PAA[[#This Row],[Id Interno]],"-",PAA[[#This Row],[tipo de Contrato (TH talento humano - B/S bienes y/o servicios)]],"-",S176,"-",T176,"-",PAA[[#This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77" spans="2:35" ht="112" x14ac:dyDescent="0.35">
      <c r="B177" s="23">
        <v>20260139</v>
      </c>
      <c r="C177" s="99" t="s">
        <v>970</v>
      </c>
      <c r="D177" s="23" t="s">
        <v>105</v>
      </c>
      <c r="E177" s="23" t="s">
        <v>363</v>
      </c>
      <c r="F177" s="159" t="s">
        <v>144</v>
      </c>
      <c r="G177" s="160" t="s">
        <v>373</v>
      </c>
      <c r="H177" s="161">
        <v>7</v>
      </c>
      <c r="I177" s="161">
        <v>0</v>
      </c>
      <c r="J177" s="127">
        <v>50400000</v>
      </c>
      <c r="K177" s="88" t="s">
        <v>398</v>
      </c>
      <c r="L177" s="159" t="s">
        <v>154</v>
      </c>
      <c r="M177" s="162" t="s">
        <v>448</v>
      </c>
      <c r="N177" s="23" t="s">
        <v>197</v>
      </c>
      <c r="O177" s="150" t="s">
        <v>925</v>
      </c>
      <c r="P177" s="159" t="s">
        <v>348</v>
      </c>
      <c r="Q177" s="53">
        <v>80111600</v>
      </c>
      <c r="R177" s="162" t="s">
        <v>208</v>
      </c>
      <c r="S177" s="162" t="str">
        <f>MID(PAA[[#This Row],[Meta Proyecto de Inversión]],1,4)</f>
        <v>8126</v>
      </c>
      <c r="T177" s="162" t="str">
        <f>MID(PAA[[#This Row],[Meta Proyecto de Inversión]],6,1)</f>
        <v>9</v>
      </c>
      <c r="U177" s="163" t="str">
        <f>IFERROR(VLOOKUP(N177,TD!$B$50:$F$54,2,0)," ")</f>
        <v>O230117</v>
      </c>
      <c r="V177" s="163" t="str">
        <f>IFERROR(VLOOKUP(N177,TD!$B$50:$F$54,3,0)," ")</f>
        <v>4599</v>
      </c>
      <c r="W177" s="163">
        <f>IFERROR(VLOOKUP(N177,TD!$B$50:$F$54,4,0)," ")</f>
        <v>20240207</v>
      </c>
      <c r="X177" s="162" t="s">
        <v>174</v>
      </c>
      <c r="Y177" s="163" t="str">
        <f>IFERROR(VLOOKUP(X177,TD!$J$51:$K$64,2,0)," ")</f>
        <v>Infraestructura física, mantenimiento y dotación (Sedes construidas, mantenidas reforzadas)</v>
      </c>
      <c r="Z177" s="164" t="str">
        <f t="shared" si="8"/>
        <v>08-Infraestructura física, mantenimiento y dotación (Sedes construidas, mantenidas reforzadas)</v>
      </c>
      <c r="AA177" s="162" t="s">
        <v>227</v>
      </c>
      <c r="AB177" s="163" t="str">
        <f>IFERROR(VLOOKUP(AA177,TD!$N$51:$O$66,2,0)," ")</f>
        <v>Sedes mantenidas</v>
      </c>
      <c r="AC177" s="164" t="str">
        <f t="shared" si="9"/>
        <v>016_Sedes mantenidas</v>
      </c>
      <c r="AD177" s="164" t="str">
        <f t="shared" si="10"/>
        <v>08-Infraestructura física, mantenimiento y dotación (Sedes construidas, mantenidas reforzadas) 016_Sedes mantenidas</v>
      </c>
      <c r="AE177" s="163" t="str">
        <f t="shared" si="11"/>
        <v>O23011745992024020708016</v>
      </c>
      <c r="AF177" s="163" t="str">
        <f>IFERROR(VLOOKUP(AD177,TD!$J$66:$K$89,2,0)," ")</f>
        <v>PM/0131/0108/45990160207</v>
      </c>
      <c r="AG177" s="118" t="s">
        <v>385</v>
      </c>
      <c r="AH177" s="162" t="s">
        <v>193</v>
      </c>
      <c r="AI177" s="165" t="str">
        <f>CONCATENATE(PAA[[#This Row],[Id Interno]],"-",PAA[[#This Row],[tipo de Contrato (TH talento humano - B/S bienes y/o servicios)]],"-",S177,"-",T177,"-",PAA[[#This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78" spans="2:35" ht="84" x14ac:dyDescent="0.35">
      <c r="B178" s="23">
        <v>20260140</v>
      </c>
      <c r="C178" s="99" t="s">
        <v>615</v>
      </c>
      <c r="D178" s="23" t="s">
        <v>105</v>
      </c>
      <c r="E178" s="23" t="s">
        <v>363</v>
      </c>
      <c r="F178" s="159" t="s">
        <v>144</v>
      </c>
      <c r="G178" s="160" t="s">
        <v>373</v>
      </c>
      <c r="H178" s="161">
        <v>7</v>
      </c>
      <c r="I178" s="161">
        <v>0</v>
      </c>
      <c r="J178" s="127">
        <v>38500000</v>
      </c>
      <c r="K178" s="88" t="s">
        <v>398</v>
      </c>
      <c r="L178" s="159" t="s">
        <v>154</v>
      </c>
      <c r="M178" s="162" t="s">
        <v>448</v>
      </c>
      <c r="N178" s="23" t="s">
        <v>197</v>
      </c>
      <c r="O178" s="150" t="s">
        <v>925</v>
      </c>
      <c r="P178" s="159" t="s">
        <v>348</v>
      </c>
      <c r="Q178" s="53">
        <v>80111600</v>
      </c>
      <c r="R178" s="162" t="s">
        <v>208</v>
      </c>
      <c r="S178" s="162" t="str">
        <f>MID(PAA[[#This Row],[Meta Proyecto de Inversión]],1,4)</f>
        <v>8126</v>
      </c>
      <c r="T178" s="162" t="str">
        <f>MID(PAA[[#This Row],[Meta Proyecto de Inversión]],6,1)</f>
        <v>9</v>
      </c>
      <c r="U178" s="163" t="str">
        <f>IFERROR(VLOOKUP(N178,TD!$B$50:$F$54,2,0)," ")</f>
        <v>O230117</v>
      </c>
      <c r="V178" s="163" t="str">
        <f>IFERROR(VLOOKUP(N178,TD!$B$50:$F$54,3,0)," ")</f>
        <v>4599</v>
      </c>
      <c r="W178" s="163">
        <f>IFERROR(VLOOKUP(N178,TD!$B$50:$F$54,4,0)," ")</f>
        <v>20240207</v>
      </c>
      <c r="X178" s="162" t="s">
        <v>174</v>
      </c>
      <c r="Y178" s="163" t="str">
        <f>IFERROR(VLOOKUP(X178,TD!$J$51:$K$64,2,0)," ")</f>
        <v>Infraestructura física, mantenimiento y dotación (Sedes construidas, mantenidas reforzadas)</v>
      </c>
      <c r="Z178" s="164" t="str">
        <f t="shared" si="8"/>
        <v>08-Infraestructura física, mantenimiento y dotación (Sedes construidas, mantenidas reforzadas)</v>
      </c>
      <c r="AA178" s="162" t="s">
        <v>227</v>
      </c>
      <c r="AB178" s="163" t="str">
        <f>IFERROR(VLOOKUP(AA178,TD!$N$51:$O$66,2,0)," ")</f>
        <v>Sedes mantenidas</v>
      </c>
      <c r="AC178" s="164" t="str">
        <f t="shared" si="9"/>
        <v>016_Sedes mantenidas</v>
      </c>
      <c r="AD178" s="164" t="str">
        <f t="shared" si="10"/>
        <v>08-Infraestructura física, mantenimiento y dotación (Sedes construidas, mantenidas reforzadas) 016_Sedes mantenidas</v>
      </c>
      <c r="AE178" s="163" t="str">
        <f t="shared" si="11"/>
        <v>O23011745992024020708016</v>
      </c>
      <c r="AF178" s="163" t="str">
        <f>IFERROR(VLOOKUP(AD178,TD!$J$66:$K$89,2,0)," ")</f>
        <v>PM/0131/0108/45990160207</v>
      </c>
      <c r="AG178" s="118" t="s">
        <v>385</v>
      </c>
      <c r="AH178" s="162" t="s">
        <v>193</v>
      </c>
      <c r="AI178" s="165" t="str">
        <f>CONCATENATE(PAA[[#This Row],[Id Interno]],"-",PAA[[#This Row],[tipo de Contrato (TH talento humano - B/S bienes y/o servicios)]],"-",S178,"-",T178,"-",PAA[[#This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79" spans="2:35" ht="84" x14ac:dyDescent="0.35">
      <c r="B179" s="23">
        <v>20260141</v>
      </c>
      <c r="C179" s="99" t="s">
        <v>452</v>
      </c>
      <c r="D179" s="23" t="s">
        <v>105</v>
      </c>
      <c r="E179" s="23" t="s">
        <v>363</v>
      </c>
      <c r="F179" s="159" t="s">
        <v>144</v>
      </c>
      <c r="G179" s="160" t="s">
        <v>373</v>
      </c>
      <c r="H179" s="161">
        <v>10</v>
      </c>
      <c r="I179" s="161">
        <v>0</v>
      </c>
      <c r="J179" s="127">
        <v>69000000</v>
      </c>
      <c r="K179" s="88" t="s">
        <v>398</v>
      </c>
      <c r="L179" s="159" t="s">
        <v>154</v>
      </c>
      <c r="M179" s="162" t="s">
        <v>448</v>
      </c>
      <c r="N179" s="23" t="s">
        <v>197</v>
      </c>
      <c r="O179" s="150" t="s">
        <v>925</v>
      </c>
      <c r="P179" s="159" t="s">
        <v>348</v>
      </c>
      <c r="Q179" s="53">
        <v>80111600</v>
      </c>
      <c r="R179" s="162" t="s">
        <v>208</v>
      </c>
      <c r="S179" s="162" t="str">
        <f>MID(PAA[[#This Row],[Meta Proyecto de Inversión]],1,4)</f>
        <v>8126</v>
      </c>
      <c r="T179" s="162" t="str">
        <f>MID(PAA[[#This Row],[Meta Proyecto de Inversión]],6,1)</f>
        <v>9</v>
      </c>
      <c r="U179" s="163" t="str">
        <f>IFERROR(VLOOKUP(N179,TD!$B$50:$F$54,2,0)," ")</f>
        <v>O230117</v>
      </c>
      <c r="V179" s="163" t="str">
        <f>IFERROR(VLOOKUP(N179,TD!$B$50:$F$54,3,0)," ")</f>
        <v>4599</v>
      </c>
      <c r="W179" s="163">
        <f>IFERROR(VLOOKUP(N179,TD!$B$50:$F$54,4,0)," ")</f>
        <v>20240207</v>
      </c>
      <c r="X179" s="162" t="s">
        <v>174</v>
      </c>
      <c r="Y179" s="163" t="str">
        <f>IFERROR(VLOOKUP(X179,TD!$J$51:$K$64,2,0)," ")</f>
        <v>Infraestructura física, mantenimiento y dotación (Sedes construidas, mantenidas reforzadas)</v>
      </c>
      <c r="Z179" s="164" t="str">
        <f t="shared" si="8"/>
        <v>08-Infraestructura física, mantenimiento y dotación (Sedes construidas, mantenidas reforzadas)</v>
      </c>
      <c r="AA179" s="162" t="s">
        <v>227</v>
      </c>
      <c r="AB179" s="163" t="str">
        <f>IFERROR(VLOOKUP(AA179,TD!$N$51:$O$66,2,0)," ")</f>
        <v>Sedes mantenidas</v>
      </c>
      <c r="AC179" s="164" t="str">
        <f t="shared" si="9"/>
        <v>016_Sedes mantenidas</v>
      </c>
      <c r="AD179" s="164" t="str">
        <f t="shared" si="10"/>
        <v>08-Infraestructura física, mantenimiento y dotación (Sedes construidas, mantenidas reforzadas) 016_Sedes mantenidas</v>
      </c>
      <c r="AE179" s="163" t="str">
        <f t="shared" si="11"/>
        <v>O23011745992024020708016</v>
      </c>
      <c r="AF179" s="163" t="str">
        <f>IFERROR(VLOOKUP(AD179,TD!$J$66:$K$89,2,0)," ")</f>
        <v>PM/0131/0108/45990160207</v>
      </c>
      <c r="AG179" s="118" t="s">
        <v>385</v>
      </c>
      <c r="AH179" s="162" t="s">
        <v>193</v>
      </c>
      <c r="AI179" s="165" t="str">
        <f>CONCATENATE(PAA[[#This Row],[Id Interno]],"-",PAA[[#This Row],[tipo de Contrato (TH talento humano - B/S bienes y/o servicios)]],"-",S179,"-",T179,"-",PAA[[#This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80" spans="2:35" ht="84" x14ac:dyDescent="0.35">
      <c r="B180" s="23">
        <v>20260142</v>
      </c>
      <c r="C180" s="99" t="s">
        <v>453</v>
      </c>
      <c r="D180" s="23" t="s">
        <v>105</v>
      </c>
      <c r="E180" s="23" t="s">
        <v>363</v>
      </c>
      <c r="F180" s="159" t="s">
        <v>145</v>
      </c>
      <c r="G180" s="160" t="s">
        <v>373</v>
      </c>
      <c r="H180" s="161">
        <v>7</v>
      </c>
      <c r="I180" s="161">
        <v>0</v>
      </c>
      <c r="J180" s="127">
        <v>28700000</v>
      </c>
      <c r="K180" s="88" t="s">
        <v>398</v>
      </c>
      <c r="L180" s="159" t="s">
        <v>154</v>
      </c>
      <c r="M180" s="162" t="s">
        <v>448</v>
      </c>
      <c r="N180" s="23" t="s">
        <v>197</v>
      </c>
      <c r="O180" s="150" t="s">
        <v>925</v>
      </c>
      <c r="P180" s="159" t="s">
        <v>348</v>
      </c>
      <c r="Q180" s="53">
        <v>80111600</v>
      </c>
      <c r="R180" s="162" t="s">
        <v>208</v>
      </c>
      <c r="S180" s="162" t="str">
        <f>MID(PAA[[#This Row],[Meta Proyecto de Inversión]],1,4)</f>
        <v>8126</v>
      </c>
      <c r="T180" s="162" t="str">
        <f>MID(PAA[[#This Row],[Meta Proyecto de Inversión]],6,1)</f>
        <v>9</v>
      </c>
      <c r="U180" s="163" t="str">
        <f>IFERROR(VLOOKUP(N180,TD!$B$50:$F$54,2,0)," ")</f>
        <v>O230117</v>
      </c>
      <c r="V180" s="163" t="str">
        <f>IFERROR(VLOOKUP(N180,TD!$B$50:$F$54,3,0)," ")</f>
        <v>4599</v>
      </c>
      <c r="W180" s="163">
        <f>IFERROR(VLOOKUP(N180,TD!$B$50:$F$54,4,0)," ")</f>
        <v>20240207</v>
      </c>
      <c r="X180" s="162" t="s">
        <v>174</v>
      </c>
      <c r="Y180" s="163" t="str">
        <f>IFERROR(VLOOKUP(X180,TD!$J$51:$K$64,2,0)," ")</f>
        <v>Infraestructura física, mantenimiento y dotación (Sedes construidas, mantenidas reforzadas)</v>
      </c>
      <c r="Z180" s="164" t="str">
        <f t="shared" si="8"/>
        <v>08-Infraestructura física, mantenimiento y dotación (Sedes construidas, mantenidas reforzadas)</v>
      </c>
      <c r="AA180" s="162" t="s">
        <v>227</v>
      </c>
      <c r="AB180" s="163" t="str">
        <f>IFERROR(VLOOKUP(AA180,TD!$N$51:$O$66,2,0)," ")</f>
        <v>Sedes mantenidas</v>
      </c>
      <c r="AC180" s="164" t="str">
        <f t="shared" si="9"/>
        <v>016_Sedes mantenidas</v>
      </c>
      <c r="AD180" s="164" t="str">
        <f t="shared" si="10"/>
        <v>08-Infraestructura física, mantenimiento y dotación (Sedes construidas, mantenidas reforzadas) 016_Sedes mantenidas</v>
      </c>
      <c r="AE180" s="163" t="str">
        <f t="shared" si="11"/>
        <v>O23011745992024020708016</v>
      </c>
      <c r="AF180" s="163" t="str">
        <f>IFERROR(VLOOKUP(AD180,TD!$J$66:$K$89,2,0)," ")</f>
        <v>PM/0131/0108/45990160207</v>
      </c>
      <c r="AG180" s="118" t="s">
        <v>385</v>
      </c>
      <c r="AH180" s="162" t="s">
        <v>193</v>
      </c>
      <c r="AI180" s="165" t="str">
        <f>CONCATENATE(PAA[[#This Row],[Id Interno]],"-",PAA[[#This Row],[tipo de Contrato (TH talento humano - B/S bienes y/o servicios)]],"-",S180,"-",T180,"-",PAA[[#This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81" spans="2:35" ht="84" x14ac:dyDescent="0.35">
      <c r="B181" s="23">
        <v>20260143</v>
      </c>
      <c r="C181" s="99" t="s">
        <v>454</v>
      </c>
      <c r="D181" s="23" t="s">
        <v>105</v>
      </c>
      <c r="E181" s="23" t="s">
        <v>363</v>
      </c>
      <c r="F181" s="159" t="s">
        <v>144</v>
      </c>
      <c r="G181" s="160" t="s">
        <v>373</v>
      </c>
      <c r="H181" s="161">
        <v>7</v>
      </c>
      <c r="I181" s="161">
        <v>0</v>
      </c>
      <c r="J181" s="127">
        <v>45080000</v>
      </c>
      <c r="K181" s="88" t="s">
        <v>398</v>
      </c>
      <c r="L181" s="159" t="s">
        <v>154</v>
      </c>
      <c r="M181" s="162" t="s">
        <v>448</v>
      </c>
      <c r="N181" s="23" t="s">
        <v>197</v>
      </c>
      <c r="O181" s="150" t="s">
        <v>925</v>
      </c>
      <c r="P181" s="159" t="s">
        <v>348</v>
      </c>
      <c r="Q181" s="53">
        <v>80111600</v>
      </c>
      <c r="R181" s="162" t="s">
        <v>208</v>
      </c>
      <c r="S181" s="162" t="str">
        <f>MID(PAA[[#This Row],[Meta Proyecto de Inversión]],1,4)</f>
        <v>8126</v>
      </c>
      <c r="T181" s="162" t="str">
        <f>MID(PAA[[#This Row],[Meta Proyecto de Inversión]],6,1)</f>
        <v>9</v>
      </c>
      <c r="U181" s="163" t="str">
        <f>IFERROR(VLOOKUP(N181,TD!$B$50:$F$54,2,0)," ")</f>
        <v>O230117</v>
      </c>
      <c r="V181" s="163" t="str">
        <f>IFERROR(VLOOKUP(N181,TD!$B$50:$F$54,3,0)," ")</f>
        <v>4599</v>
      </c>
      <c r="W181" s="163">
        <f>IFERROR(VLOOKUP(N181,TD!$B$50:$F$54,4,0)," ")</f>
        <v>20240207</v>
      </c>
      <c r="X181" s="162" t="s">
        <v>174</v>
      </c>
      <c r="Y181" s="163" t="str">
        <f>IFERROR(VLOOKUP(X181,TD!$J$51:$K$64,2,0)," ")</f>
        <v>Infraestructura física, mantenimiento y dotación (Sedes construidas, mantenidas reforzadas)</v>
      </c>
      <c r="Z181" s="164" t="str">
        <f t="shared" si="8"/>
        <v>08-Infraestructura física, mantenimiento y dotación (Sedes construidas, mantenidas reforzadas)</v>
      </c>
      <c r="AA181" s="162" t="s">
        <v>227</v>
      </c>
      <c r="AB181" s="163" t="str">
        <f>IFERROR(VLOOKUP(AA181,TD!$N$51:$O$66,2,0)," ")</f>
        <v>Sedes mantenidas</v>
      </c>
      <c r="AC181" s="164" t="str">
        <f t="shared" si="9"/>
        <v>016_Sedes mantenidas</v>
      </c>
      <c r="AD181" s="164" t="str">
        <f t="shared" si="10"/>
        <v>08-Infraestructura física, mantenimiento y dotación (Sedes construidas, mantenidas reforzadas) 016_Sedes mantenidas</v>
      </c>
      <c r="AE181" s="163" t="str">
        <f t="shared" si="11"/>
        <v>O23011745992024020708016</v>
      </c>
      <c r="AF181" s="163" t="str">
        <f>IFERROR(VLOOKUP(AD181,TD!$J$66:$K$89,2,0)," ")</f>
        <v>PM/0131/0108/45990160207</v>
      </c>
      <c r="AG181" s="118" t="s">
        <v>385</v>
      </c>
      <c r="AH181" s="162" t="s">
        <v>193</v>
      </c>
      <c r="AI181" s="165" t="str">
        <f>CONCATENATE(PAA[[#This Row],[Id Interno]],"-",PAA[[#This Row],[tipo de Contrato (TH talento humano - B/S bienes y/o servicios)]],"-",S181,"-",T181,"-",PAA[[#This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82" spans="2:35" ht="84" x14ac:dyDescent="0.35">
      <c r="B182" s="23">
        <v>20260144</v>
      </c>
      <c r="C182" s="99" t="s">
        <v>455</v>
      </c>
      <c r="D182" s="23" t="s">
        <v>105</v>
      </c>
      <c r="E182" s="23" t="s">
        <v>363</v>
      </c>
      <c r="F182" s="159" t="s">
        <v>144</v>
      </c>
      <c r="G182" s="160" t="s">
        <v>373</v>
      </c>
      <c r="H182" s="161">
        <v>11</v>
      </c>
      <c r="I182" s="161">
        <v>0</v>
      </c>
      <c r="J182" s="127">
        <v>53900000</v>
      </c>
      <c r="K182" s="88" t="s">
        <v>398</v>
      </c>
      <c r="L182" s="159" t="s">
        <v>154</v>
      </c>
      <c r="M182" s="162" t="s">
        <v>448</v>
      </c>
      <c r="N182" s="23" t="s">
        <v>197</v>
      </c>
      <c r="O182" s="150" t="s">
        <v>925</v>
      </c>
      <c r="P182" s="159" t="s">
        <v>348</v>
      </c>
      <c r="Q182" s="53">
        <v>80111600</v>
      </c>
      <c r="R182" s="162" t="s">
        <v>208</v>
      </c>
      <c r="S182" s="162" t="str">
        <f>MID(PAA[[#This Row],[Meta Proyecto de Inversión]],1,4)</f>
        <v>8126</v>
      </c>
      <c r="T182" s="162" t="str">
        <f>MID(PAA[[#This Row],[Meta Proyecto de Inversión]],6,1)</f>
        <v>9</v>
      </c>
      <c r="U182" s="163" t="str">
        <f>IFERROR(VLOOKUP(N182,TD!$B$50:$F$54,2,0)," ")</f>
        <v>O230117</v>
      </c>
      <c r="V182" s="163" t="str">
        <f>IFERROR(VLOOKUP(N182,TD!$B$50:$F$54,3,0)," ")</f>
        <v>4599</v>
      </c>
      <c r="W182" s="163">
        <f>IFERROR(VLOOKUP(N182,TD!$B$50:$F$54,4,0)," ")</f>
        <v>20240207</v>
      </c>
      <c r="X182" s="162" t="s">
        <v>174</v>
      </c>
      <c r="Y182" s="163" t="str">
        <f>IFERROR(VLOOKUP(X182,TD!$J$51:$K$64,2,0)," ")</f>
        <v>Infraestructura física, mantenimiento y dotación (Sedes construidas, mantenidas reforzadas)</v>
      </c>
      <c r="Z182" s="164" t="str">
        <f t="shared" si="8"/>
        <v>08-Infraestructura física, mantenimiento y dotación (Sedes construidas, mantenidas reforzadas)</v>
      </c>
      <c r="AA182" s="162" t="s">
        <v>227</v>
      </c>
      <c r="AB182" s="163" t="str">
        <f>IFERROR(VLOOKUP(AA182,TD!$N$51:$O$66,2,0)," ")</f>
        <v>Sedes mantenidas</v>
      </c>
      <c r="AC182" s="164" t="str">
        <f t="shared" si="9"/>
        <v>016_Sedes mantenidas</v>
      </c>
      <c r="AD182" s="164" t="str">
        <f t="shared" si="10"/>
        <v>08-Infraestructura física, mantenimiento y dotación (Sedes construidas, mantenidas reforzadas) 016_Sedes mantenidas</v>
      </c>
      <c r="AE182" s="163" t="str">
        <f t="shared" si="11"/>
        <v>O23011745992024020708016</v>
      </c>
      <c r="AF182" s="163" t="str">
        <f>IFERROR(VLOOKUP(AD182,TD!$J$66:$K$89,2,0)," ")</f>
        <v>PM/0131/0108/45990160207</v>
      </c>
      <c r="AG182" s="118" t="s">
        <v>385</v>
      </c>
      <c r="AH182" s="162" t="s">
        <v>193</v>
      </c>
      <c r="AI182" s="165" t="str">
        <f>CONCATENATE(PAA[[#This Row],[Id Interno]],"-",PAA[[#This Row],[tipo de Contrato (TH talento humano - B/S bienes y/o servicios)]],"-",S182,"-",T182,"-",PAA[[#This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83" spans="2:35" ht="84" x14ac:dyDescent="0.35">
      <c r="B183" s="23">
        <v>20260145</v>
      </c>
      <c r="C183" s="99" t="s">
        <v>880</v>
      </c>
      <c r="D183" s="23" t="s">
        <v>105</v>
      </c>
      <c r="E183" s="23" t="s">
        <v>363</v>
      </c>
      <c r="F183" s="159" t="s">
        <v>145</v>
      </c>
      <c r="G183" s="160" t="s">
        <v>373</v>
      </c>
      <c r="H183" s="161">
        <v>8</v>
      </c>
      <c r="I183" s="161">
        <v>0</v>
      </c>
      <c r="J183" s="127">
        <v>32000000</v>
      </c>
      <c r="K183" s="88" t="s">
        <v>398</v>
      </c>
      <c r="L183" s="159" t="s">
        <v>154</v>
      </c>
      <c r="M183" s="162" t="s">
        <v>448</v>
      </c>
      <c r="N183" s="23" t="s">
        <v>197</v>
      </c>
      <c r="O183" s="150" t="s">
        <v>925</v>
      </c>
      <c r="P183" s="159" t="s">
        <v>348</v>
      </c>
      <c r="Q183" s="53">
        <v>80111600</v>
      </c>
      <c r="R183" s="162" t="s">
        <v>208</v>
      </c>
      <c r="S183" s="162" t="str">
        <f>MID(PAA[[#This Row],[Meta Proyecto de Inversión]],1,4)</f>
        <v>8126</v>
      </c>
      <c r="T183" s="162" t="str">
        <f>MID(PAA[[#This Row],[Meta Proyecto de Inversión]],6,1)</f>
        <v>9</v>
      </c>
      <c r="U183" s="163" t="str">
        <f>IFERROR(VLOOKUP(N183,TD!$B$50:$F$54,2,0)," ")</f>
        <v>O230117</v>
      </c>
      <c r="V183" s="163" t="str">
        <f>IFERROR(VLOOKUP(N183,TD!$B$50:$F$54,3,0)," ")</f>
        <v>4599</v>
      </c>
      <c r="W183" s="163">
        <f>IFERROR(VLOOKUP(N183,TD!$B$50:$F$54,4,0)," ")</f>
        <v>20240207</v>
      </c>
      <c r="X183" s="162" t="s">
        <v>174</v>
      </c>
      <c r="Y183" s="163" t="str">
        <f>IFERROR(VLOOKUP(X183,TD!$J$51:$K$64,2,0)," ")</f>
        <v>Infraestructura física, mantenimiento y dotación (Sedes construidas, mantenidas reforzadas)</v>
      </c>
      <c r="Z183" s="164" t="str">
        <f t="shared" si="8"/>
        <v>08-Infraestructura física, mantenimiento y dotación (Sedes construidas, mantenidas reforzadas)</v>
      </c>
      <c r="AA183" s="162" t="s">
        <v>227</v>
      </c>
      <c r="AB183" s="163" t="str">
        <f>IFERROR(VLOOKUP(AA183,TD!$N$51:$O$66,2,0)," ")</f>
        <v>Sedes mantenidas</v>
      </c>
      <c r="AC183" s="164" t="str">
        <f t="shared" si="9"/>
        <v>016_Sedes mantenidas</v>
      </c>
      <c r="AD183" s="164" t="str">
        <f t="shared" si="10"/>
        <v>08-Infraestructura física, mantenimiento y dotación (Sedes construidas, mantenidas reforzadas) 016_Sedes mantenidas</v>
      </c>
      <c r="AE183" s="163" t="str">
        <f t="shared" si="11"/>
        <v>O23011745992024020708016</v>
      </c>
      <c r="AF183" s="163" t="str">
        <f>IFERROR(VLOOKUP(AD183,TD!$J$66:$K$89,2,0)," ")</f>
        <v>PM/0131/0108/45990160207</v>
      </c>
      <c r="AG183" s="118" t="s">
        <v>385</v>
      </c>
      <c r="AH183" s="162" t="s">
        <v>193</v>
      </c>
      <c r="AI183" s="165" t="str">
        <f>CONCATENATE(PAA[[#This Row],[Id Interno]],"-",PAA[[#This Row],[tipo de Contrato (TH talento humano - B/S bienes y/o servicios)]],"-",S183,"-",T183,"-",PAA[[#This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84" spans="2:35" ht="70" x14ac:dyDescent="0.35">
      <c r="B184" s="23">
        <v>20260146</v>
      </c>
      <c r="C184" s="99" t="s">
        <v>456</v>
      </c>
      <c r="D184" s="23" t="s">
        <v>105</v>
      </c>
      <c r="E184" s="23" t="s">
        <v>363</v>
      </c>
      <c r="F184" s="159" t="s">
        <v>144</v>
      </c>
      <c r="G184" s="160" t="s">
        <v>373</v>
      </c>
      <c r="H184" s="161">
        <v>7</v>
      </c>
      <c r="I184" s="161">
        <v>0</v>
      </c>
      <c r="J184" s="127">
        <v>40600000</v>
      </c>
      <c r="K184" s="88" t="s">
        <v>398</v>
      </c>
      <c r="L184" s="159" t="s">
        <v>154</v>
      </c>
      <c r="M184" s="162" t="s">
        <v>448</v>
      </c>
      <c r="N184" s="23" t="s">
        <v>197</v>
      </c>
      <c r="O184" s="150" t="s">
        <v>925</v>
      </c>
      <c r="P184" s="159" t="s">
        <v>348</v>
      </c>
      <c r="Q184" s="53">
        <v>80111600</v>
      </c>
      <c r="R184" s="162" t="s">
        <v>208</v>
      </c>
      <c r="S184" s="162" t="str">
        <f>MID(PAA[[#This Row],[Meta Proyecto de Inversión]],1,4)</f>
        <v>8126</v>
      </c>
      <c r="T184" s="162" t="str">
        <f>MID(PAA[[#This Row],[Meta Proyecto de Inversión]],6,1)</f>
        <v>9</v>
      </c>
      <c r="U184" s="163" t="str">
        <f>IFERROR(VLOOKUP(N184,TD!$B$50:$F$54,2,0)," ")</f>
        <v>O230117</v>
      </c>
      <c r="V184" s="163" t="str">
        <f>IFERROR(VLOOKUP(N184,TD!$B$50:$F$54,3,0)," ")</f>
        <v>4599</v>
      </c>
      <c r="W184" s="163">
        <f>IFERROR(VLOOKUP(N184,TD!$B$50:$F$54,4,0)," ")</f>
        <v>20240207</v>
      </c>
      <c r="X184" s="162" t="s">
        <v>174</v>
      </c>
      <c r="Y184" s="163" t="str">
        <f>IFERROR(VLOOKUP(X184,TD!$J$51:$K$64,2,0)," ")</f>
        <v>Infraestructura física, mantenimiento y dotación (Sedes construidas, mantenidas reforzadas)</v>
      </c>
      <c r="Z184" s="164" t="str">
        <f t="shared" si="8"/>
        <v>08-Infraestructura física, mantenimiento y dotación (Sedes construidas, mantenidas reforzadas)</v>
      </c>
      <c r="AA184" s="162" t="s">
        <v>227</v>
      </c>
      <c r="AB184" s="163" t="str">
        <f>IFERROR(VLOOKUP(AA184,TD!$N$51:$O$66,2,0)," ")</f>
        <v>Sedes mantenidas</v>
      </c>
      <c r="AC184" s="164" t="str">
        <f t="shared" si="9"/>
        <v>016_Sedes mantenidas</v>
      </c>
      <c r="AD184" s="164" t="str">
        <f t="shared" si="10"/>
        <v>08-Infraestructura física, mantenimiento y dotación (Sedes construidas, mantenidas reforzadas) 016_Sedes mantenidas</v>
      </c>
      <c r="AE184" s="163" t="str">
        <f t="shared" si="11"/>
        <v>O23011745992024020708016</v>
      </c>
      <c r="AF184" s="163" t="str">
        <f>IFERROR(VLOOKUP(AD184,TD!$J$66:$K$89,2,0)," ")</f>
        <v>PM/0131/0108/45990160207</v>
      </c>
      <c r="AG184" s="118" t="s">
        <v>385</v>
      </c>
      <c r="AH184" s="162" t="s">
        <v>193</v>
      </c>
      <c r="AI184" s="165" t="str">
        <f>CONCATENATE(PAA[[#This Row],[Id Interno]],"-",PAA[[#This Row],[tipo de Contrato (TH talento humano - B/S bienes y/o servicios)]],"-",S184,"-",T184,"-",PAA[[#This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85" spans="2:35" ht="84" x14ac:dyDescent="0.35">
      <c r="B185" s="23">
        <v>20260147</v>
      </c>
      <c r="C185" s="99" t="s">
        <v>457</v>
      </c>
      <c r="D185" s="23" t="s">
        <v>105</v>
      </c>
      <c r="E185" s="23" t="s">
        <v>363</v>
      </c>
      <c r="F185" s="159" t="s">
        <v>144</v>
      </c>
      <c r="G185" s="160" t="s">
        <v>373</v>
      </c>
      <c r="H185" s="161">
        <v>11</v>
      </c>
      <c r="I185" s="161">
        <v>0</v>
      </c>
      <c r="J185" s="127">
        <v>67100000</v>
      </c>
      <c r="K185" s="88" t="s">
        <v>398</v>
      </c>
      <c r="L185" s="159" t="s">
        <v>154</v>
      </c>
      <c r="M185" s="162" t="s">
        <v>448</v>
      </c>
      <c r="N185" s="23" t="s">
        <v>197</v>
      </c>
      <c r="O185" s="150" t="s">
        <v>925</v>
      </c>
      <c r="P185" s="159" t="s">
        <v>348</v>
      </c>
      <c r="Q185" s="53">
        <v>80111600</v>
      </c>
      <c r="R185" s="162" t="s">
        <v>208</v>
      </c>
      <c r="S185" s="162" t="str">
        <f>MID(PAA[[#This Row],[Meta Proyecto de Inversión]],1,4)</f>
        <v>8126</v>
      </c>
      <c r="T185" s="162" t="str">
        <f>MID(PAA[[#This Row],[Meta Proyecto de Inversión]],6,1)</f>
        <v>9</v>
      </c>
      <c r="U185" s="163" t="str">
        <f>IFERROR(VLOOKUP(N185,TD!$B$50:$F$54,2,0)," ")</f>
        <v>O230117</v>
      </c>
      <c r="V185" s="163" t="str">
        <f>IFERROR(VLOOKUP(N185,TD!$B$50:$F$54,3,0)," ")</f>
        <v>4599</v>
      </c>
      <c r="W185" s="163">
        <f>IFERROR(VLOOKUP(N185,TD!$B$50:$F$54,4,0)," ")</f>
        <v>20240207</v>
      </c>
      <c r="X185" s="162" t="s">
        <v>174</v>
      </c>
      <c r="Y185" s="163" t="str">
        <f>IFERROR(VLOOKUP(X185,TD!$J$51:$K$64,2,0)," ")</f>
        <v>Infraestructura física, mantenimiento y dotación (Sedes construidas, mantenidas reforzadas)</v>
      </c>
      <c r="Z185" s="164" t="str">
        <f t="shared" si="8"/>
        <v>08-Infraestructura física, mantenimiento y dotación (Sedes construidas, mantenidas reforzadas)</v>
      </c>
      <c r="AA185" s="162" t="s">
        <v>227</v>
      </c>
      <c r="AB185" s="163" t="str">
        <f>IFERROR(VLOOKUP(AA185,TD!$N$51:$O$66,2,0)," ")</f>
        <v>Sedes mantenidas</v>
      </c>
      <c r="AC185" s="164" t="str">
        <f t="shared" si="9"/>
        <v>016_Sedes mantenidas</v>
      </c>
      <c r="AD185" s="164" t="str">
        <f t="shared" si="10"/>
        <v>08-Infraestructura física, mantenimiento y dotación (Sedes construidas, mantenidas reforzadas) 016_Sedes mantenidas</v>
      </c>
      <c r="AE185" s="163" t="str">
        <f t="shared" si="11"/>
        <v>O23011745992024020708016</v>
      </c>
      <c r="AF185" s="163" t="str">
        <f>IFERROR(VLOOKUP(AD185,TD!$J$66:$K$89,2,0)," ")</f>
        <v>PM/0131/0108/45990160207</v>
      </c>
      <c r="AG185" s="118" t="s">
        <v>385</v>
      </c>
      <c r="AH185" s="162" t="s">
        <v>193</v>
      </c>
      <c r="AI185" s="165" t="str">
        <f>CONCATENATE(PAA[[#This Row],[Id Interno]],"-",PAA[[#This Row],[tipo de Contrato (TH talento humano - B/S bienes y/o servicios)]],"-",S185,"-",T185,"-",PAA[[#This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86" spans="2:35" ht="98" x14ac:dyDescent="0.35">
      <c r="B186" s="23">
        <v>20260148</v>
      </c>
      <c r="C186" s="99" t="s">
        <v>616</v>
      </c>
      <c r="D186" s="23" t="s">
        <v>105</v>
      </c>
      <c r="E186" s="23" t="s">
        <v>363</v>
      </c>
      <c r="F186" s="159" t="s">
        <v>145</v>
      </c>
      <c r="G186" s="160" t="s">
        <v>373</v>
      </c>
      <c r="H186" s="161">
        <v>7</v>
      </c>
      <c r="I186" s="161">
        <v>0</v>
      </c>
      <c r="J186" s="127">
        <v>28000000</v>
      </c>
      <c r="K186" s="88" t="s">
        <v>398</v>
      </c>
      <c r="L186" s="159" t="s">
        <v>154</v>
      </c>
      <c r="M186" s="162" t="s">
        <v>448</v>
      </c>
      <c r="N186" s="23" t="s">
        <v>197</v>
      </c>
      <c r="O186" s="150" t="s">
        <v>925</v>
      </c>
      <c r="P186" s="159" t="s">
        <v>348</v>
      </c>
      <c r="Q186" s="53">
        <v>80111600</v>
      </c>
      <c r="R186" s="162" t="s">
        <v>208</v>
      </c>
      <c r="S186" s="162" t="str">
        <f>MID(PAA[[#This Row],[Meta Proyecto de Inversión]],1,4)</f>
        <v>8126</v>
      </c>
      <c r="T186" s="162" t="str">
        <f>MID(PAA[[#This Row],[Meta Proyecto de Inversión]],6,1)</f>
        <v>9</v>
      </c>
      <c r="U186" s="163" t="str">
        <f>IFERROR(VLOOKUP(N186,TD!$B$50:$F$54,2,0)," ")</f>
        <v>O230117</v>
      </c>
      <c r="V186" s="163" t="str">
        <f>IFERROR(VLOOKUP(N186,TD!$B$50:$F$54,3,0)," ")</f>
        <v>4599</v>
      </c>
      <c r="W186" s="163">
        <f>IFERROR(VLOOKUP(N186,TD!$B$50:$F$54,4,0)," ")</f>
        <v>20240207</v>
      </c>
      <c r="X186" s="162" t="s">
        <v>174</v>
      </c>
      <c r="Y186" s="163" t="str">
        <f>IFERROR(VLOOKUP(X186,TD!$J$51:$K$64,2,0)," ")</f>
        <v>Infraestructura física, mantenimiento y dotación (Sedes construidas, mantenidas reforzadas)</v>
      </c>
      <c r="Z186" s="164" t="str">
        <f t="shared" si="8"/>
        <v>08-Infraestructura física, mantenimiento y dotación (Sedes construidas, mantenidas reforzadas)</v>
      </c>
      <c r="AA186" s="162" t="s">
        <v>227</v>
      </c>
      <c r="AB186" s="163" t="str">
        <f>IFERROR(VLOOKUP(AA186,TD!$N$51:$O$66,2,0)," ")</f>
        <v>Sedes mantenidas</v>
      </c>
      <c r="AC186" s="164" t="str">
        <f t="shared" si="9"/>
        <v>016_Sedes mantenidas</v>
      </c>
      <c r="AD186" s="164" t="str">
        <f t="shared" si="10"/>
        <v>08-Infraestructura física, mantenimiento y dotación (Sedes construidas, mantenidas reforzadas) 016_Sedes mantenidas</v>
      </c>
      <c r="AE186" s="163" t="str">
        <f t="shared" si="11"/>
        <v>O23011745992024020708016</v>
      </c>
      <c r="AF186" s="163" t="str">
        <f>IFERROR(VLOOKUP(AD186,TD!$J$66:$K$89,2,0)," ")</f>
        <v>PM/0131/0108/45990160207</v>
      </c>
      <c r="AG186" s="118" t="s">
        <v>385</v>
      </c>
      <c r="AH186" s="162" t="s">
        <v>193</v>
      </c>
      <c r="AI186" s="165" t="str">
        <f>CONCATENATE(PAA[[#This Row],[Id Interno]],"-",PAA[[#This Row],[tipo de Contrato (TH talento humano - B/S bienes y/o servicios)]],"-",S186,"-",T186,"-",PAA[[#This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87" spans="2:35" ht="98" x14ac:dyDescent="0.35">
      <c r="B187" s="23">
        <v>20260149</v>
      </c>
      <c r="C187" s="99" t="s">
        <v>458</v>
      </c>
      <c r="D187" s="23" t="s">
        <v>105</v>
      </c>
      <c r="E187" s="23" t="s">
        <v>363</v>
      </c>
      <c r="F187" s="159" t="s">
        <v>144</v>
      </c>
      <c r="G187" s="160" t="s">
        <v>373</v>
      </c>
      <c r="H187" s="161">
        <v>7</v>
      </c>
      <c r="I187" s="161">
        <v>0</v>
      </c>
      <c r="J187" s="127">
        <v>42700000</v>
      </c>
      <c r="K187" s="88" t="s">
        <v>398</v>
      </c>
      <c r="L187" s="159" t="s">
        <v>154</v>
      </c>
      <c r="M187" s="162" t="s">
        <v>448</v>
      </c>
      <c r="N187" s="23" t="s">
        <v>197</v>
      </c>
      <c r="O187" s="150" t="s">
        <v>925</v>
      </c>
      <c r="P187" s="159" t="s">
        <v>348</v>
      </c>
      <c r="Q187" s="53">
        <v>80111600</v>
      </c>
      <c r="R187" s="162" t="s">
        <v>208</v>
      </c>
      <c r="S187" s="162" t="str">
        <f>MID(PAA[[#This Row],[Meta Proyecto de Inversión]],1,4)</f>
        <v>8126</v>
      </c>
      <c r="T187" s="162" t="str">
        <f>MID(PAA[[#This Row],[Meta Proyecto de Inversión]],6,1)</f>
        <v>9</v>
      </c>
      <c r="U187" s="163" t="str">
        <f>IFERROR(VLOOKUP(N187,TD!$B$50:$F$54,2,0)," ")</f>
        <v>O230117</v>
      </c>
      <c r="V187" s="163" t="str">
        <f>IFERROR(VLOOKUP(N187,TD!$B$50:$F$54,3,0)," ")</f>
        <v>4599</v>
      </c>
      <c r="W187" s="163">
        <f>IFERROR(VLOOKUP(N187,TD!$B$50:$F$54,4,0)," ")</f>
        <v>20240207</v>
      </c>
      <c r="X187" s="162" t="s">
        <v>174</v>
      </c>
      <c r="Y187" s="163" t="str">
        <f>IFERROR(VLOOKUP(X187,TD!$J$51:$K$64,2,0)," ")</f>
        <v>Infraestructura física, mantenimiento y dotación (Sedes construidas, mantenidas reforzadas)</v>
      </c>
      <c r="Z187" s="164" t="str">
        <f t="shared" si="8"/>
        <v>08-Infraestructura física, mantenimiento y dotación (Sedes construidas, mantenidas reforzadas)</v>
      </c>
      <c r="AA187" s="162" t="s">
        <v>227</v>
      </c>
      <c r="AB187" s="163" t="str">
        <f>IFERROR(VLOOKUP(AA187,TD!$N$51:$O$66,2,0)," ")</f>
        <v>Sedes mantenidas</v>
      </c>
      <c r="AC187" s="164" t="str">
        <f t="shared" si="9"/>
        <v>016_Sedes mantenidas</v>
      </c>
      <c r="AD187" s="164" t="str">
        <f t="shared" si="10"/>
        <v>08-Infraestructura física, mantenimiento y dotación (Sedes construidas, mantenidas reforzadas) 016_Sedes mantenidas</v>
      </c>
      <c r="AE187" s="163" t="str">
        <f t="shared" si="11"/>
        <v>O23011745992024020708016</v>
      </c>
      <c r="AF187" s="163" t="str">
        <f>IFERROR(VLOOKUP(AD187,TD!$J$66:$K$89,2,0)," ")</f>
        <v>PM/0131/0108/45990160207</v>
      </c>
      <c r="AG187" s="118" t="s">
        <v>385</v>
      </c>
      <c r="AH187" s="162" t="s">
        <v>193</v>
      </c>
      <c r="AI187" s="165" t="str">
        <f>CONCATENATE(PAA[[#This Row],[Id Interno]],"-",PAA[[#This Row],[tipo de Contrato (TH talento humano - B/S bienes y/o servicios)]],"-",S187,"-",T187,"-",PAA[[#This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88" spans="2:35" ht="98" x14ac:dyDescent="0.35">
      <c r="B188" s="23">
        <v>20260150</v>
      </c>
      <c r="C188" s="99" t="s">
        <v>458</v>
      </c>
      <c r="D188" s="23" t="s">
        <v>105</v>
      </c>
      <c r="E188" s="23" t="s">
        <v>363</v>
      </c>
      <c r="F188" s="159" t="s">
        <v>144</v>
      </c>
      <c r="G188" s="160" t="s">
        <v>373</v>
      </c>
      <c r="H188" s="161">
        <v>7</v>
      </c>
      <c r="I188" s="161">
        <v>0</v>
      </c>
      <c r="J188" s="127">
        <v>42700000</v>
      </c>
      <c r="K188" s="88" t="s">
        <v>398</v>
      </c>
      <c r="L188" s="159" t="s">
        <v>154</v>
      </c>
      <c r="M188" s="162" t="s">
        <v>448</v>
      </c>
      <c r="N188" s="23" t="s">
        <v>197</v>
      </c>
      <c r="O188" s="150" t="s">
        <v>925</v>
      </c>
      <c r="P188" s="159" t="s">
        <v>348</v>
      </c>
      <c r="Q188" s="53">
        <v>80111600</v>
      </c>
      <c r="R188" s="162" t="s">
        <v>208</v>
      </c>
      <c r="S188" s="162" t="str">
        <f>MID(PAA[[#This Row],[Meta Proyecto de Inversión]],1,4)</f>
        <v>8126</v>
      </c>
      <c r="T188" s="162" t="str">
        <f>MID(PAA[[#This Row],[Meta Proyecto de Inversión]],6,1)</f>
        <v>9</v>
      </c>
      <c r="U188" s="163" t="str">
        <f>IFERROR(VLOOKUP(N188,TD!$B$50:$F$54,2,0)," ")</f>
        <v>O230117</v>
      </c>
      <c r="V188" s="163" t="str">
        <f>IFERROR(VLOOKUP(N188,TD!$B$50:$F$54,3,0)," ")</f>
        <v>4599</v>
      </c>
      <c r="W188" s="163">
        <f>IFERROR(VLOOKUP(N188,TD!$B$50:$F$54,4,0)," ")</f>
        <v>20240207</v>
      </c>
      <c r="X188" s="162" t="s">
        <v>174</v>
      </c>
      <c r="Y188" s="163" t="str">
        <f>IFERROR(VLOOKUP(X188,TD!$J$51:$K$64,2,0)," ")</f>
        <v>Infraestructura física, mantenimiento y dotación (Sedes construidas, mantenidas reforzadas)</v>
      </c>
      <c r="Z188" s="164" t="str">
        <f t="shared" si="8"/>
        <v>08-Infraestructura física, mantenimiento y dotación (Sedes construidas, mantenidas reforzadas)</v>
      </c>
      <c r="AA188" s="162" t="s">
        <v>227</v>
      </c>
      <c r="AB188" s="163" t="str">
        <f>IFERROR(VLOOKUP(AA188,TD!$N$51:$O$66,2,0)," ")</f>
        <v>Sedes mantenidas</v>
      </c>
      <c r="AC188" s="164" t="str">
        <f t="shared" si="9"/>
        <v>016_Sedes mantenidas</v>
      </c>
      <c r="AD188" s="164" t="str">
        <f t="shared" si="10"/>
        <v>08-Infraestructura física, mantenimiento y dotación (Sedes construidas, mantenidas reforzadas) 016_Sedes mantenidas</v>
      </c>
      <c r="AE188" s="163" t="str">
        <f t="shared" si="11"/>
        <v>O23011745992024020708016</v>
      </c>
      <c r="AF188" s="163" t="str">
        <f>IFERROR(VLOOKUP(AD188,TD!$J$66:$K$89,2,0)," ")</f>
        <v>PM/0131/0108/45990160207</v>
      </c>
      <c r="AG188" s="118" t="s">
        <v>385</v>
      </c>
      <c r="AH188" s="162" t="s">
        <v>193</v>
      </c>
      <c r="AI188" s="165" t="str">
        <f>CONCATENATE(PAA[[#This Row],[Id Interno]],"-",PAA[[#This Row],[tipo de Contrato (TH talento humano - B/S bienes y/o servicios)]],"-",S188,"-",T188,"-",PAA[[#This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89" spans="2:35" ht="98" x14ac:dyDescent="0.35">
      <c r="B189" s="23">
        <v>20260151</v>
      </c>
      <c r="C189" s="99" t="s">
        <v>458</v>
      </c>
      <c r="D189" s="23" t="s">
        <v>105</v>
      </c>
      <c r="E189" s="23" t="s">
        <v>363</v>
      </c>
      <c r="F189" s="159" t="s">
        <v>144</v>
      </c>
      <c r="G189" s="160" t="s">
        <v>373</v>
      </c>
      <c r="H189" s="161">
        <v>7</v>
      </c>
      <c r="I189" s="161">
        <v>0</v>
      </c>
      <c r="J189" s="127">
        <v>42700000</v>
      </c>
      <c r="K189" s="88" t="s">
        <v>398</v>
      </c>
      <c r="L189" s="159" t="s">
        <v>154</v>
      </c>
      <c r="M189" s="162" t="s">
        <v>448</v>
      </c>
      <c r="N189" s="23" t="s">
        <v>197</v>
      </c>
      <c r="O189" s="150" t="s">
        <v>925</v>
      </c>
      <c r="P189" s="159" t="s">
        <v>348</v>
      </c>
      <c r="Q189" s="53">
        <v>80111600</v>
      </c>
      <c r="R189" s="162" t="s">
        <v>208</v>
      </c>
      <c r="S189" s="162" t="str">
        <f>MID(PAA[[#This Row],[Meta Proyecto de Inversión]],1,4)</f>
        <v>8126</v>
      </c>
      <c r="T189" s="162" t="str">
        <f>MID(PAA[[#This Row],[Meta Proyecto de Inversión]],6,1)</f>
        <v>9</v>
      </c>
      <c r="U189" s="163" t="str">
        <f>IFERROR(VLOOKUP(N189,TD!$B$50:$F$54,2,0)," ")</f>
        <v>O230117</v>
      </c>
      <c r="V189" s="163" t="str">
        <f>IFERROR(VLOOKUP(N189,TD!$B$50:$F$54,3,0)," ")</f>
        <v>4599</v>
      </c>
      <c r="W189" s="163">
        <f>IFERROR(VLOOKUP(N189,TD!$B$50:$F$54,4,0)," ")</f>
        <v>20240207</v>
      </c>
      <c r="X189" s="162" t="s">
        <v>174</v>
      </c>
      <c r="Y189" s="163" t="str">
        <f>IFERROR(VLOOKUP(X189,TD!$J$51:$K$64,2,0)," ")</f>
        <v>Infraestructura física, mantenimiento y dotación (Sedes construidas, mantenidas reforzadas)</v>
      </c>
      <c r="Z189" s="164" t="str">
        <f t="shared" si="8"/>
        <v>08-Infraestructura física, mantenimiento y dotación (Sedes construidas, mantenidas reforzadas)</v>
      </c>
      <c r="AA189" s="162" t="s">
        <v>227</v>
      </c>
      <c r="AB189" s="163" t="str">
        <f>IFERROR(VLOOKUP(AA189,TD!$N$51:$O$66,2,0)," ")</f>
        <v>Sedes mantenidas</v>
      </c>
      <c r="AC189" s="164" t="str">
        <f t="shared" si="9"/>
        <v>016_Sedes mantenidas</v>
      </c>
      <c r="AD189" s="164" t="str">
        <f t="shared" si="10"/>
        <v>08-Infraestructura física, mantenimiento y dotación (Sedes construidas, mantenidas reforzadas) 016_Sedes mantenidas</v>
      </c>
      <c r="AE189" s="163" t="str">
        <f t="shared" si="11"/>
        <v>O23011745992024020708016</v>
      </c>
      <c r="AF189" s="163" t="str">
        <f>IFERROR(VLOOKUP(AD189,TD!$J$66:$K$89,2,0)," ")</f>
        <v>PM/0131/0108/45990160207</v>
      </c>
      <c r="AG189" s="118" t="s">
        <v>385</v>
      </c>
      <c r="AH189" s="162" t="s">
        <v>193</v>
      </c>
      <c r="AI189" s="165" t="str">
        <f>CONCATENATE(PAA[[#This Row],[Id Interno]],"-",PAA[[#This Row],[tipo de Contrato (TH talento humano - B/S bienes y/o servicios)]],"-",S189,"-",T189,"-",PAA[[#This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0" spans="2:35" ht="98" x14ac:dyDescent="0.35">
      <c r="B190" s="23">
        <v>20260152</v>
      </c>
      <c r="C190" s="99" t="s">
        <v>459</v>
      </c>
      <c r="D190" s="23" t="s">
        <v>105</v>
      </c>
      <c r="E190" s="23" t="s">
        <v>363</v>
      </c>
      <c r="F190" s="159" t="s">
        <v>144</v>
      </c>
      <c r="G190" s="160" t="s">
        <v>373</v>
      </c>
      <c r="H190" s="161">
        <v>7</v>
      </c>
      <c r="I190" s="161">
        <v>0</v>
      </c>
      <c r="J190" s="127">
        <v>34300000</v>
      </c>
      <c r="K190" s="88" t="s">
        <v>398</v>
      </c>
      <c r="L190" s="159" t="s">
        <v>154</v>
      </c>
      <c r="M190" s="162" t="s">
        <v>448</v>
      </c>
      <c r="N190" s="23" t="s">
        <v>197</v>
      </c>
      <c r="O190" s="150" t="s">
        <v>925</v>
      </c>
      <c r="P190" s="159" t="s">
        <v>348</v>
      </c>
      <c r="Q190" s="53">
        <v>80111600</v>
      </c>
      <c r="R190" s="162" t="s">
        <v>208</v>
      </c>
      <c r="S190" s="162" t="str">
        <f>MID(PAA[[#This Row],[Meta Proyecto de Inversión]],1,4)</f>
        <v>8126</v>
      </c>
      <c r="T190" s="162" t="str">
        <f>MID(PAA[[#This Row],[Meta Proyecto de Inversión]],6,1)</f>
        <v>9</v>
      </c>
      <c r="U190" s="163" t="str">
        <f>IFERROR(VLOOKUP(N190,TD!$B$50:$F$54,2,0)," ")</f>
        <v>O230117</v>
      </c>
      <c r="V190" s="163" t="str">
        <f>IFERROR(VLOOKUP(N190,TD!$B$50:$F$54,3,0)," ")</f>
        <v>4599</v>
      </c>
      <c r="W190" s="163">
        <f>IFERROR(VLOOKUP(N190,TD!$B$50:$F$54,4,0)," ")</f>
        <v>20240207</v>
      </c>
      <c r="X190" s="162" t="s">
        <v>174</v>
      </c>
      <c r="Y190" s="163" t="str">
        <f>IFERROR(VLOOKUP(X190,TD!$J$51:$K$64,2,0)," ")</f>
        <v>Infraestructura física, mantenimiento y dotación (Sedes construidas, mantenidas reforzadas)</v>
      </c>
      <c r="Z190" s="164" t="str">
        <f t="shared" si="8"/>
        <v>08-Infraestructura física, mantenimiento y dotación (Sedes construidas, mantenidas reforzadas)</v>
      </c>
      <c r="AA190" s="162" t="s">
        <v>227</v>
      </c>
      <c r="AB190" s="163" t="str">
        <f>IFERROR(VLOOKUP(AA190,TD!$N$51:$O$66,2,0)," ")</f>
        <v>Sedes mantenidas</v>
      </c>
      <c r="AC190" s="164" t="str">
        <f t="shared" si="9"/>
        <v>016_Sedes mantenidas</v>
      </c>
      <c r="AD190" s="164" t="str">
        <f t="shared" si="10"/>
        <v>08-Infraestructura física, mantenimiento y dotación (Sedes construidas, mantenidas reforzadas) 016_Sedes mantenidas</v>
      </c>
      <c r="AE190" s="163" t="str">
        <f t="shared" si="11"/>
        <v>O23011745992024020708016</v>
      </c>
      <c r="AF190" s="163" t="str">
        <f>IFERROR(VLOOKUP(AD190,TD!$J$66:$K$89,2,0)," ")</f>
        <v>PM/0131/0108/45990160207</v>
      </c>
      <c r="AG190" s="118" t="s">
        <v>385</v>
      </c>
      <c r="AH190" s="162" t="s">
        <v>193</v>
      </c>
      <c r="AI190" s="165" t="str">
        <f>CONCATENATE(PAA[[#This Row],[Id Interno]],"-",PAA[[#This Row],[tipo de Contrato (TH talento humano - B/S bienes y/o servicios)]],"-",S190,"-",T190,"-",PAA[[#This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91" spans="2:35" ht="112" x14ac:dyDescent="0.35">
      <c r="B191" s="23">
        <v>20260153</v>
      </c>
      <c r="C191" s="99" t="s">
        <v>460</v>
      </c>
      <c r="D191" s="23" t="s">
        <v>105</v>
      </c>
      <c r="E191" s="23" t="s">
        <v>363</v>
      </c>
      <c r="F191" s="159" t="s">
        <v>144</v>
      </c>
      <c r="G191" s="160" t="s">
        <v>373</v>
      </c>
      <c r="H191" s="161">
        <v>7</v>
      </c>
      <c r="I191" s="161">
        <v>0</v>
      </c>
      <c r="J191" s="127">
        <v>36400000</v>
      </c>
      <c r="K191" s="88" t="s">
        <v>398</v>
      </c>
      <c r="L191" s="159" t="s">
        <v>154</v>
      </c>
      <c r="M191" s="162" t="s">
        <v>448</v>
      </c>
      <c r="N191" s="23" t="s">
        <v>197</v>
      </c>
      <c r="O191" s="150" t="s">
        <v>925</v>
      </c>
      <c r="P191" s="159" t="s">
        <v>348</v>
      </c>
      <c r="Q191" s="53">
        <v>80111600</v>
      </c>
      <c r="R191" s="162" t="s">
        <v>208</v>
      </c>
      <c r="S191" s="162" t="str">
        <f>MID(PAA[[#This Row],[Meta Proyecto de Inversión]],1,4)</f>
        <v>8126</v>
      </c>
      <c r="T191" s="162" t="str">
        <f>MID(PAA[[#This Row],[Meta Proyecto de Inversión]],6,1)</f>
        <v>9</v>
      </c>
      <c r="U191" s="163" t="str">
        <f>IFERROR(VLOOKUP(N191,TD!$B$50:$F$54,2,0)," ")</f>
        <v>O230117</v>
      </c>
      <c r="V191" s="163" t="str">
        <f>IFERROR(VLOOKUP(N191,TD!$B$50:$F$54,3,0)," ")</f>
        <v>4599</v>
      </c>
      <c r="W191" s="163">
        <f>IFERROR(VLOOKUP(N191,TD!$B$50:$F$54,4,0)," ")</f>
        <v>20240207</v>
      </c>
      <c r="X191" s="162" t="s">
        <v>174</v>
      </c>
      <c r="Y191" s="163" t="str">
        <f>IFERROR(VLOOKUP(X191,TD!$J$51:$K$64,2,0)," ")</f>
        <v>Infraestructura física, mantenimiento y dotación (Sedes construidas, mantenidas reforzadas)</v>
      </c>
      <c r="Z191" s="164" t="str">
        <f t="shared" si="8"/>
        <v>08-Infraestructura física, mantenimiento y dotación (Sedes construidas, mantenidas reforzadas)</v>
      </c>
      <c r="AA191" s="167" t="s">
        <v>227</v>
      </c>
      <c r="AB191" s="163" t="str">
        <f>IFERROR(VLOOKUP(AA191,TD!$N$51:$O$66,2,0)," ")</f>
        <v>Sedes mantenidas</v>
      </c>
      <c r="AC191" s="164" t="str">
        <f t="shared" si="9"/>
        <v>016_Sedes mantenidas</v>
      </c>
      <c r="AD191" s="164" t="str">
        <f t="shared" si="10"/>
        <v>08-Infraestructura física, mantenimiento y dotación (Sedes construidas, mantenidas reforzadas) 016_Sedes mantenidas</v>
      </c>
      <c r="AE191" s="163" t="str">
        <f t="shared" si="11"/>
        <v>O23011745992024020708016</v>
      </c>
      <c r="AF191" s="163" t="str">
        <f>IFERROR(VLOOKUP(AD191,TD!$J$66:$K$89,2,0)," ")</f>
        <v>PM/0131/0108/45990160207</v>
      </c>
      <c r="AG191" s="118" t="s">
        <v>385</v>
      </c>
      <c r="AH191" s="162" t="s">
        <v>193</v>
      </c>
      <c r="AI191" s="165" t="str">
        <f>CONCATENATE(PAA[[#This Row],[Id Interno]],"-",PAA[[#This Row],[tipo de Contrato (TH talento humano - B/S bienes y/o servicios)]],"-",S191,"-",T191,"-",PAA[[#This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92" spans="2:35" ht="98" x14ac:dyDescent="0.35">
      <c r="B192" s="23">
        <v>20260154</v>
      </c>
      <c r="C192" s="99" t="s">
        <v>461</v>
      </c>
      <c r="D192" s="23" t="s">
        <v>105</v>
      </c>
      <c r="E192" s="23" t="s">
        <v>363</v>
      </c>
      <c r="F192" s="159" t="s">
        <v>144</v>
      </c>
      <c r="G192" s="160" t="s">
        <v>373</v>
      </c>
      <c r="H192" s="161">
        <v>11</v>
      </c>
      <c r="I192" s="161">
        <v>0</v>
      </c>
      <c r="J192" s="127">
        <v>77000000</v>
      </c>
      <c r="K192" s="88" t="s">
        <v>398</v>
      </c>
      <c r="L192" s="159" t="s">
        <v>154</v>
      </c>
      <c r="M192" s="162" t="s">
        <v>448</v>
      </c>
      <c r="N192" s="23" t="s">
        <v>197</v>
      </c>
      <c r="O192" s="150" t="s">
        <v>925</v>
      </c>
      <c r="P192" s="159" t="s">
        <v>348</v>
      </c>
      <c r="Q192" s="53">
        <v>80111600</v>
      </c>
      <c r="R192" s="162" t="s">
        <v>208</v>
      </c>
      <c r="S192" s="162" t="str">
        <f>MID(PAA[[#This Row],[Meta Proyecto de Inversión]],1,4)</f>
        <v>8126</v>
      </c>
      <c r="T192" s="162" t="str">
        <f>MID(PAA[[#This Row],[Meta Proyecto de Inversión]],6,1)</f>
        <v>9</v>
      </c>
      <c r="U192" s="163" t="str">
        <f>IFERROR(VLOOKUP(N192,TD!$B$50:$F$54,2,0)," ")</f>
        <v>O230117</v>
      </c>
      <c r="V192" s="163" t="str">
        <f>IFERROR(VLOOKUP(N192,TD!$B$50:$F$54,3,0)," ")</f>
        <v>4599</v>
      </c>
      <c r="W192" s="163">
        <f>IFERROR(VLOOKUP(N192,TD!$B$50:$F$54,4,0)," ")</f>
        <v>20240207</v>
      </c>
      <c r="X192" s="162" t="s">
        <v>174</v>
      </c>
      <c r="Y192" s="163" t="str">
        <f>IFERROR(VLOOKUP(X192,TD!$J$51:$K$64,2,0)," ")</f>
        <v>Infraestructura física, mantenimiento y dotación (Sedes construidas, mantenidas reforzadas)</v>
      </c>
      <c r="Z192" s="164" t="str">
        <f t="shared" si="8"/>
        <v>08-Infraestructura física, mantenimiento y dotación (Sedes construidas, mantenidas reforzadas)</v>
      </c>
      <c r="AA192" s="167" t="s">
        <v>227</v>
      </c>
      <c r="AB192" s="163" t="str">
        <f>IFERROR(VLOOKUP(AA192,TD!$N$51:$O$66,2,0)," ")</f>
        <v>Sedes mantenidas</v>
      </c>
      <c r="AC192" s="164" t="str">
        <f t="shared" si="9"/>
        <v>016_Sedes mantenidas</v>
      </c>
      <c r="AD192" s="164" t="str">
        <f t="shared" si="10"/>
        <v>08-Infraestructura física, mantenimiento y dotación (Sedes construidas, mantenidas reforzadas) 016_Sedes mantenidas</v>
      </c>
      <c r="AE192" s="163" t="str">
        <f t="shared" si="11"/>
        <v>O23011745992024020708016</v>
      </c>
      <c r="AF192" s="163" t="str">
        <f>IFERROR(VLOOKUP(AD192,TD!$J$66:$K$89,2,0)," ")</f>
        <v>PM/0131/0108/45990160207</v>
      </c>
      <c r="AG192" s="118" t="s">
        <v>385</v>
      </c>
      <c r="AH192" s="162" t="s">
        <v>193</v>
      </c>
      <c r="AI192" s="165" t="str">
        <f>CONCATENATE(PAA[[#This Row],[Id Interno]],"-",PAA[[#This Row],[tipo de Contrato (TH talento humano - B/S bienes y/o servicios)]],"-",S192,"-",T192,"-",PAA[[#This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93" spans="2:35" ht="112" x14ac:dyDescent="0.35">
      <c r="B193" s="23">
        <v>20260155</v>
      </c>
      <c r="C193" s="99" t="s">
        <v>462</v>
      </c>
      <c r="D193" s="23" t="s">
        <v>105</v>
      </c>
      <c r="E193" s="23" t="s">
        <v>363</v>
      </c>
      <c r="F193" s="159" t="s">
        <v>144</v>
      </c>
      <c r="G193" s="160" t="s">
        <v>373</v>
      </c>
      <c r="H193" s="161">
        <v>10</v>
      </c>
      <c r="I193" s="161">
        <v>0</v>
      </c>
      <c r="J193" s="127">
        <v>64000000</v>
      </c>
      <c r="K193" s="88" t="s">
        <v>398</v>
      </c>
      <c r="L193" s="159" t="s">
        <v>154</v>
      </c>
      <c r="M193" s="162" t="s">
        <v>448</v>
      </c>
      <c r="N193" s="23" t="s">
        <v>197</v>
      </c>
      <c r="O193" s="150" t="s">
        <v>925</v>
      </c>
      <c r="P193" s="159" t="s">
        <v>348</v>
      </c>
      <c r="Q193" s="53">
        <v>80111600</v>
      </c>
      <c r="R193" s="162" t="s">
        <v>208</v>
      </c>
      <c r="S193" s="162" t="str">
        <f>MID(PAA[[#This Row],[Meta Proyecto de Inversión]],1,4)</f>
        <v>8126</v>
      </c>
      <c r="T193" s="162" t="str">
        <f>MID(PAA[[#This Row],[Meta Proyecto de Inversión]],6,1)</f>
        <v>9</v>
      </c>
      <c r="U193" s="163" t="str">
        <f>IFERROR(VLOOKUP(N193,TD!$B$50:$F$54,2,0)," ")</f>
        <v>O230117</v>
      </c>
      <c r="V193" s="163" t="str">
        <f>IFERROR(VLOOKUP(N193,TD!$B$50:$F$54,3,0)," ")</f>
        <v>4599</v>
      </c>
      <c r="W193" s="163">
        <f>IFERROR(VLOOKUP(N193,TD!$B$50:$F$54,4,0)," ")</f>
        <v>20240207</v>
      </c>
      <c r="X193" s="162" t="s">
        <v>174</v>
      </c>
      <c r="Y193" s="163" t="str">
        <f>IFERROR(VLOOKUP(X193,TD!$J$51:$K$64,2,0)," ")</f>
        <v>Infraestructura física, mantenimiento y dotación (Sedes construidas, mantenidas reforzadas)</v>
      </c>
      <c r="Z193" s="164" t="str">
        <f t="shared" si="8"/>
        <v>08-Infraestructura física, mantenimiento y dotación (Sedes construidas, mantenidas reforzadas)</v>
      </c>
      <c r="AA193" s="167" t="s">
        <v>227</v>
      </c>
      <c r="AB193" s="163" t="str">
        <f>IFERROR(VLOOKUP(AA193,TD!$N$51:$O$66,2,0)," ")</f>
        <v>Sedes mantenidas</v>
      </c>
      <c r="AC193" s="164" t="str">
        <f t="shared" si="9"/>
        <v>016_Sedes mantenidas</v>
      </c>
      <c r="AD193" s="164" t="str">
        <f t="shared" si="10"/>
        <v>08-Infraestructura física, mantenimiento y dotación (Sedes construidas, mantenidas reforzadas) 016_Sedes mantenidas</v>
      </c>
      <c r="AE193" s="163" t="str">
        <f t="shared" si="11"/>
        <v>O23011745992024020708016</v>
      </c>
      <c r="AF193" s="163" t="str">
        <f>IFERROR(VLOOKUP(AD193,TD!$J$66:$K$89,2,0)," ")</f>
        <v>PM/0131/0108/45990160207</v>
      </c>
      <c r="AG193" s="118" t="s">
        <v>385</v>
      </c>
      <c r="AH193" s="162" t="s">
        <v>193</v>
      </c>
      <c r="AI193" s="165" t="str">
        <f>CONCATENATE(PAA[[#This Row],[Id Interno]],"-",PAA[[#This Row],[tipo de Contrato (TH talento humano - B/S bienes y/o servicios)]],"-",S193,"-",T193,"-",PAA[[#This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94" spans="2:35" ht="98" x14ac:dyDescent="0.35">
      <c r="B194" s="23">
        <v>20260156</v>
      </c>
      <c r="C194" s="99" t="s">
        <v>463</v>
      </c>
      <c r="D194" s="23" t="s">
        <v>105</v>
      </c>
      <c r="E194" s="23" t="s">
        <v>363</v>
      </c>
      <c r="F194" s="159" t="s">
        <v>144</v>
      </c>
      <c r="G194" s="160" t="s">
        <v>373</v>
      </c>
      <c r="H194" s="161">
        <v>11</v>
      </c>
      <c r="I194" s="161">
        <v>0</v>
      </c>
      <c r="J194" s="127">
        <v>77000000</v>
      </c>
      <c r="K194" s="88" t="s">
        <v>398</v>
      </c>
      <c r="L194" s="159" t="s">
        <v>154</v>
      </c>
      <c r="M194" s="162" t="s">
        <v>448</v>
      </c>
      <c r="N194" s="23" t="s">
        <v>197</v>
      </c>
      <c r="O194" s="150" t="s">
        <v>925</v>
      </c>
      <c r="P194" s="159" t="s">
        <v>348</v>
      </c>
      <c r="Q194" s="53">
        <v>80111600</v>
      </c>
      <c r="R194" s="162" t="s">
        <v>208</v>
      </c>
      <c r="S194" s="162" t="str">
        <f>MID(PAA[[#This Row],[Meta Proyecto de Inversión]],1,4)</f>
        <v>8126</v>
      </c>
      <c r="T194" s="162" t="str">
        <f>MID(PAA[[#This Row],[Meta Proyecto de Inversión]],6,1)</f>
        <v>9</v>
      </c>
      <c r="U194" s="163" t="str">
        <f>IFERROR(VLOOKUP(N194,TD!$B$50:$F$54,2,0)," ")</f>
        <v>O230117</v>
      </c>
      <c r="V194" s="163" t="str">
        <f>IFERROR(VLOOKUP(N194,TD!$B$50:$F$54,3,0)," ")</f>
        <v>4599</v>
      </c>
      <c r="W194" s="163">
        <f>IFERROR(VLOOKUP(N194,TD!$B$50:$F$54,4,0)," ")</f>
        <v>20240207</v>
      </c>
      <c r="X194" s="162" t="s">
        <v>174</v>
      </c>
      <c r="Y194" s="163" t="str">
        <f>IFERROR(VLOOKUP(X194,TD!$J$51:$K$64,2,0)," ")</f>
        <v>Infraestructura física, mantenimiento y dotación (Sedes construidas, mantenidas reforzadas)</v>
      </c>
      <c r="Z194" s="164" t="str">
        <f t="shared" si="8"/>
        <v>08-Infraestructura física, mantenimiento y dotación (Sedes construidas, mantenidas reforzadas)</v>
      </c>
      <c r="AA194" s="167" t="s">
        <v>227</v>
      </c>
      <c r="AB194" s="163" t="str">
        <f>IFERROR(VLOOKUP(AA194,TD!$N$51:$O$66,2,0)," ")</f>
        <v>Sedes mantenidas</v>
      </c>
      <c r="AC194" s="164" t="str">
        <f t="shared" si="9"/>
        <v>016_Sedes mantenidas</v>
      </c>
      <c r="AD194" s="164" t="str">
        <f t="shared" si="10"/>
        <v>08-Infraestructura física, mantenimiento y dotación (Sedes construidas, mantenidas reforzadas) 016_Sedes mantenidas</v>
      </c>
      <c r="AE194" s="163" t="str">
        <f t="shared" si="11"/>
        <v>O23011745992024020708016</v>
      </c>
      <c r="AF194" s="163" t="str">
        <f>IFERROR(VLOOKUP(AD194,TD!$J$66:$K$89,2,0)," ")</f>
        <v>PM/0131/0108/45990160207</v>
      </c>
      <c r="AG194" s="118" t="s">
        <v>385</v>
      </c>
      <c r="AH194" s="162" t="s">
        <v>193</v>
      </c>
      <c r="AI194" s="165" t="str">
        <f>CONCATENATE(PAA[[#This Row],[Id Interno]],"-",PAA[[#This Row],[tipo de Contrato (TH talento humano - B/S bienes y/o servicios)]],"-",S194,"-",T194,"-",PAA[[#This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95" spans="2:35" ht="112" x14ac:dyDescent="0.35">
      <c r="B195" s="23">
        <v>20260157</v>
      </c>
      <c r="C195" s="99" t="s">
        <v>617</v>
      </c>
      <c r="D195" s="23" t="s">
        <v>105</v>
      </c>
      <c r="E195" s="23" t="s">
        <v>363</v>
      </c>
      <c r="F195" s="159" t="s">
        <v>144</v>
      </c>
      <c r="G195" s="160" t="s">
        <v>373</v>
      </c>
      <c r="H195" s="161">
        <v>10</v>
      </c>
      <c r="I195" s="161">
        <v>0</v>
      </c>
      <c r="J195" s="127">
        <v>65000000</v>
      </c>
      <c r="K195" s="88" t="s">
        <v>398</v>
      </c>
      <c r="L195" s="159" t="s">
        <v>154</v>
      </c>
      <c r="M195" s="162" t="s">
        <v>448</v>
      </c>
      <c r="N195" s="23" t="s">
        <v>197</v>
      </c>
      <c r="O195" s="150" t="s">
        <v>925</v>
      </c>
      <c r="P195" s="159" t="s">
        <v>348</v>
      </c>
      <c r="Q195" s="53">
        <v>80111600</v>
      </c>
      <c r="R195" s="162" t="s">
        <v>208</v>
      </c>
      <c r="S195" s="162" t="str">
        <f>MID(PAA[[#This Row],[Meta Proyecto de Inversión]],1,4)</f>
        <v>8126</v>
      </c>
      <c r="T195" s="162" t="str">
        <f>MID(PAA[[#This Row],[Meta Proyecto de Inversión]],6,1)</f>
        <v>9</v>
      </c>
      <c r="U195" s="163" t="str">
        <f>IFERROR(VLOOKUP(N195,TD!$B$50:$F$54,2,0)," ")</f>
        <v>O230117</v>
      </c>
      <c r="V195" s="163" t="str">
        <f>IFERROR(VLOOKUP(N195,TD!$B$50:$F$54,3,0)," ")</f>
        <v>4599</v>
      </c>
      <c r="W195" s="163">
        <f>IFERROR(VLOOKUP(N195,TD!$B$50:$F$54,4,0)," ")</f>
        <v>20240207</v>
      </c>
      <c r="X195" s="162" t="s">
        <v>174</v>
      </c>
      <c r="Y195" s="163" t="str">
        <f>IFERROR(VLOOKUP(X195,TD!$J$51:$K$64,2,0)," ")</f>
        <v>Infraestructura física, mantenimiento y dotación (Sedes construidas, mantenidas reforzadas)</v>
      </c>
      <c r="Z195" s="164" t="str">
        <f t="shared" si="8"/>
        <v>08-Infraestructura física, mantenimiento y dotación (Sedes construidas, mantenidas reforzadas)</v>
      </c>
      <c r="AA195" s="167" t="s">
        <v>227</v>
      </c>
      <c r="AB195" s="163" t="str">
        <f>IFERROR(VLOOKUP(AA195,TD!$N$51:$O$66,2,0)," ")</f>
        <v>Sedes mantenidas</v>
      </c>
      <c r="AC195" s="164" t="str">
        <f t="shared" si="9"/>
        <v>016_Sedes mantenidas</v>
      </c>
      <c r="AD195" s="164" t="str">
        <f t="shared" si="10"/>
        <v>08-Infraestructura física, mantenimiento y dotación (Sedes construidas, mantenidas reforzadas) 016_Sedes mantenidas</v>
      </c>
      <c r="AE195" s="163" t="str">
        <f t="shared" si="11"/>
        <v>O23011745992024020708016</v>
      </c>
      <c r="AF195" s="163" t="str">
        <f>IFERROR(VLOOKUP(AD195,TD!$J$66:$K$89,2,0)," ")</f>
        <v>PM/0131/0108/45990160207</v>
      </c>
      <c r="AG195" s="118" t="s">
        <v>385</v>
      </c>
      <c r="AH195" s="162" t="s">
        <v>193</v>
      </c>
      <c r="AI195" s="165" t="str">
        <f>CONCATENATE(PAA[[#This Row],[Id Interno]],"-",PAA[[#This Row],[tipo de Contrato (TH talento humano - B/S bienes y/o servicios)]],"-",S195,"-",T195,"-",PAA[[#This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96" spans="2:35" ht="98" x14ac:dyDescent="0.35">
      <c r="B196" s="23">
        <v>20260158</v>
      </c>
      <c r="C196" s="99" t="s">
        <v>464</v>
      </c>
      <c r="D196" s="23" t="s">
        <v>105</v>
      </c>
      <c r="E196" s="23" t="s">
        <v>363</v>
      </c>
      <c r="F196" s="159" t="s">
        <v>144</v>
      </c>
      <c r="G196" s="160" t="s">
        <v>373</v>
      </c>
      <c r="H196" s="161">
        <v>7</v>
      </c>
      <c r="I196" s="161">
        <v>0</v>
      </c>
      <c r="J196" s="127">
        <v>51800000</v>
      </c>
      <c r="K196" s="88" t="s">
        <v>398</v>
      </c>
      <c r="L196" s="159" t="s">
        <v>154</v>
      </c>
      <c r="M196" s="162" t="s">
        <v>448</v>
      </c>
      <c r="N196" s="23" t="s">
        <v>197</v>
      </c>
      <c r="O196" s="150" t="s">
        <v>925</v>
      </c>
      <c r="P196" s="159" t="s">
        <v>348</v>
      </c>
      <c r="Q196" s="53">
        <v>80111600</v>
      </c>
      <c r="R196" s="162" t="s">
        <v>208</v>
      </c>
      <c r="S196" s="162" t="str">
        <f>MID(PAA[[#This Row],[Meta Proyecto de Inversión]],1,4)</f>
        <v>8126</v>
      </c>
      <c r="T196" s="162" t="str">
        <f>MID(PAA[[#This Row],[Meta Proyecto de Inversión]],6,1)</f>
        <v>9</v>
      </c>
      <c r="U196" s="163" t="str">
        <f>IFERROR(VLOOKUP(N196,TD!$B$50:$F$54,2,0)," ")</f>
        <v>O230117</v>
      </c>
      <c r="V196" s="163" t="str">
        <f>IFERROR(VLOOKUP(N196,TD!$B$50:$F$54,3,0)," ")</f>
        <v>4599</v>
      </c>
      <c r="W196" s="163">
        <f>IFERROR(VLOOKUP(N196,TD!$B$50:$F$54,4,0)," ")</f>
        <v>20240207</v>
      </c>
      <c r="X196" s="162" t="s">
        <v>174</v>
      </c>
      <c r="Y196" s="163" t="str">
        <f>IFERROR(VLOOKUP(X196,TD!$J$51:$K$64,2,0)," ")</f>
        <v>Infraestructura física, mantenimiento y dotación (Sedes construidas, mantenidas reforzadas)</v>
      </c>
      <c r="Z196" s="164" t="str">
        <f t="shared" si="8"/>
        <v>08-Infraestructura física, mantenimiento y dotación (Sedes construidas, mantenidas reforzadas)</v>
      </c>
      <c r="AA196" s="167" t="s">
        <v>227</v>
      </c>
      <c r="AB196" s="163" t="str">
        <f>IFERROR(VLOOKUP(AA196,TD!$N$51:$O$66,2,0)," ")</f>
        <v>Sedes mantenidas</v>
      </c>
      <c r="AC196" s="164" t="str">
        <f t="shared" si="9"/>
        <v>016_Sedes mantenidas</v>
      </c>
      <c r="AD196" s="164" t="str">
        <f t="shared" si="10"/>
        <v>08-Infraestructura física, mantenimiento y dotación (Sedes construidas, mantenidas reforzadas) 016_Sedes mantenidas</v>
      </c>
      <c r="AE196" s="163" t="str">
        <f t="shared" si="11"/>
        <v>O23011745992024020708016</v>
      </c>
      <c r="AF196" s="163" t="str">
        <f>IFERROR(VLOOKUP(AD196,TD!$J$66:$K$89,2,0)," ")</f>
        <v>PM/0131/0108/45990160207</v>
      </c>
      <c r="AG196" s="118" t="s">
        <v>385</v>
      </c>
      <c r="AH196" s="162" t="s">
        <v>193</v>
      </c>
      <c r="AI196" s="165" t="str">
        <f>CONCATENATE(PAA[[#This Row],[Id Interno]],"-",PAA[[#This Row],[tipo de Contrato (TH talento humano - B/S bienes y/o servicios)]],"-",S196,"-",T196,"-",PAA[[#This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97" spans="2:35" ht="98" x14ac:dyDescent="0.35">
      <c r="B197" s="23">
        <v>20260159</v>
      </c>
      <c r="C197" s="99" t="s">
        <v>618</v>
      </c>
      <c r="D197" s="23" t="s">
        <v>105</v>
      </c>
      <c r="E197" s="23" t="s">
        <v>363</v>
      </c>
      <c r="F197" s="159" t="s">
        <v>144</v>
      </c>
      <c r="G197" s="160" t="s">
        <v>373</v>
      </c>
      <c r="H197" s="161">
        <v>7</v>
      </c>
      <c r="I197" s="161">
        <v>0</v>
      </c>
      <c r="J197" s="127">
        <v>64400000</v>
      </c>
      <c r="K197" s="88" t="s">
        <v>398</v>
      </c>
      <c r="L197" s="159" t="s">
        <v>154</v>
      </c>
      <c r="M197" s="162" t="s">
        <v>448</v>
      </c>
      <c r="N197" s="23" t="s">
        <v>197</v>
      </c>
      <c r="O197" s="150" t="s">
        <v>925</v>
      </c>
      <c r="P197" s="159" t="s">
        <v>348</v>
      </c>
      <c r="Q197" s="53">
        <v>80111600</v>
      </c>
      <c r="R197" s="162" t="s">
        <v>208</v>
      </c>
      <c r="S197" s="162" t="str">
        <f>MID(PAA[[#This Row],[Meta Proyecto de Inversión]],1,4)</f>
        <v>8126</v>
      </c>
      <c r="T197" s="162" t="str">
        <f>MID(PAA[[#This Row],[Meta Proyecto de Inversión]],6,1)</f>
        <v>9</v>
      </c>
      <c r="U197" s="163" t="str">
        <f>IFERROR(VLOOKUP(N197,TD!$B$50:$F$54,2,0)," ")</f>
        <v>O230117</v>
      </c>
      <c r="V197" s="163" t="str">
        <f>IFERROR(VLOOKUP(N197,TD!$B$50:$F$54,3,0)," ")</f>
        <v>4599</v>
      </c>
      <c r="W197" s="163">
        <f>IFERROR(VLOOKUP(N197,TD!$B$50:$F$54,4,0)," ")</f>
        <v>20240207</v>
      </c>
      <c r="X197" s="162" t="s">
        <v>174</v>
      </c>
      <c r="Y197" s="163" t="str">
        <f>IFERROR(VLOOKUP(X197,TD!$J$51:$K$64,2,0)," ")</f>
        <v>Infraestructura física, mantenimiento y dotación (Sedes construidas, mantenidas reforzadas)</v>
      </c>
      <c r="Z197" s="164" t="str">
        <f t="shared" si="8"/>
        <v>08-Infraestructura física, mantenimiento y dotación (Sedes construidas, mantenidas reforzadas)</v>
      </c>
      <c r="AA197" s="167" t="s">
        <v>227</v>
      </c>
      <c r="AB197" s="163" t="str">
        <f>IFERROR(VLOOKUP(AA197,TD!$N$51:$O$66,2,0)," ")</f>
        <v>Sedes mantenidas</v>
      </c>
      <c r="AC197" s="164" t="str">
        <f t="shared" si="9"/>
        <v>016_Sedes mantenidas</v>
      </c>
      <c r="AD197" s="164" t="str">
        <f t="shared" si="10"/>
        <v>08-Infraestructura física, mantenimiento y dotación (Sedes construidas, mantenidas reforzadas) 016_Sedes mantenidas</v>
      </c>
      <c r="AE197" s="163" t="str">
        <f t="shared" si="11"/>
        <v>O23011745992024020708016</v>
      </c>
      <c r="AF197" s="163" t="str">
        <f>IFERROR(VLOOKUP(AD197,TD!$J$66:$K$89,2,0)," ")</f>
        <v>PM/0131/0108/45990160207</v>
      </c>
      <c r="AG197" s="118" t="s">
        <v>385</v>
      </c>
      <c r="AH197" s="162" t="s">
        <v>193</v>
      </c>
      <c r="AI197" s="165" t="str">
        <f>CONCATENATE(PAA[[#This Row],[Id Interno]],"-",PAA[[#This Row],[tipo de Contrato (TH talento humano - B/S bienes y/o servicios)]],"-",S197,"-",T197,"-",PAA[[#This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98" spans="2:35" ht="98" x14ac:dyDescent="0.35">
      <c r="B198" s="23">
        <v>20260160</v>
      </c>
      <c r="C198" s="99" t="s">
        <v>619</v>
      </c>
      <c r="D198" s="23" t="s">
        <v>105</v>
      </c>
      <c r="E198" s="23" t="s">
        <v>363</v>
      </c>
      <c r="F198" s="159" t="s">
        <v>145</v>
      </c>
      <c r="G198" s="160" t="s">
        <v>373</v>
      </c>
      <c r="H198" s="161">
        <v>7</v>
      </c>
      <c r="I198" s="161">
        <v>0</v>
      </c>
      <c r="J198" s="127">
        <v>25200000</v>
      </c>
      <c r="K198" s="88" t="s">
        <v>398</v>
      </c>
      <c r="L198" s="159" t="s">
        <v>154</v>
      </c>
      <c r="M198" s="162" t="s">
        <v>448</v>
      </c>
      <c r="N198" s="23" t="s">
        <v>197</v>
      </c>
      <c r="O198" s="150" t="s">
        <v>925</v>
      </c>
      <c r="P198" s="159" t="s">
        <v>348</v>
      </c>
      <c r="Q198" s="53">
        <v>80111600</v>
      </c>
      <c r="R198" s="162" t="s">
        <v>208</v>
      </c>
      <c r="S198" s="162" t="str">
        <f>MID(PAA[[#This Row],[Meta Proyecto de Inversión]],1,4)</f>
        <v>8126</v>
      </c>
      <c r="T198" s="162" t="str">
        <f>MID(PAA[[#This Row],[Meta Proyecto de Inversión]],6,1)</f>
        <v>9</v>
      </c>
      <c r="U198" s="163" t="str">
        <f>IFERROR(VLOOKUP(N198,TD!$B$50:$F$54,2,0)," ")</f>
        <v>O230117</v>
      </c>
      <c r="V198" s="163" t="str">
        <f>IFERROR(VLOOKUP(N198,TD!$B$50:$F$54,3,0)," ")</f>
        <v>4599</v>
      </c>
      <c r="W198" s="163">
        <f>IFERROR(VLOOKUP(N198,TD!$B$50:$F$54,4,0)," ")</f>
        <v>20240207</v>
      </c>
      <c r="X198" s="162" t="s">
        <v>174</v>
      </c>
      <c r="Y198" s="163" t="str">
        <f>IFERROR(VLOOKUP(X198,TD!$J$51:$K$64,2,0)," ")</f>
        <v>Infraestructura física, mantenimiento y dotación (Sedes construidas, mantenidas reforzadas)</v>
      </c>
      <c r="Z198" s="164" t="str">
        <f t="shared" si="8"/>
        <v>08-Infraestructura física, mantenimiento y dotación (Sedes construidas, mantenidas reforzadas)</v>
      </c>
      <c r="AA198" s="167" t="s">
        <v>227</v>
      </c>
      <c r="AB198" s="163" t="str">
        <f>IFERROR(VLOOKUP(AA198,TD!$N$51:$O$66,2,0)," ")</f>
        <v>Sedes mantenidas</v>
      </c>
      <c r="AC198" s="164" t="str">
        <f t="shared" si="9"/>
        <v>016_Sedes mantenidas</v>
      </c>
      <c r="AD198" s="164" t="str">
        <f t="shared" si="10"/>
        <v>08-Infraestructura física, mantenimiento y dotación (Sedes construidas, mantenidas reforzadas) 016_Sedes mantenidas</v>
      </c>
      <c r="AE198" s="163" t="str">
        <f t="shared" si="11"/>
        <v>O23011745992024020708016</v>
      </c>
      <c r="AF198" s="163" t="str">
        <f>IFERROR(VLOOKUP(AD198,TD!$J$66:$K$89,2,0)," ")</f>
        <v>PM/0131/0108/45990160207</v>
      </c>
      <c r="AG198" s="118" t="s">
        <v>385</v>
      </c>
      <c r="AH198" s="162" t="s">
        <v>193</v>
      </c>
      <c r="AI198" s="165" t="str">
        <f>CONCATENATE(PAA[[#This Row],[Id Interno]],"-",PAA[[#This Row],[tipo de Contrato (TH talento humano - B/S bienes y/o servicios)]],"-",S198,"-",T198,"-",PAA[[#This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99" spans="2:35" ht="84" x14ac:dyDescent="0.35">
      <c r="B199" s="23">
        <v>20260161</v>
      </c>
      <c r="C199" s="99" t="s">
        <v>465</v>
      </c>
      <c r="D199" s="23" t="s">
        <v>105</v>
      </c>
      <c r="E199" s="23" t="s">
        <v>363</v>
      </c>
      <c r="F199" s="159" t="s">
        <v>144</v>
      </c>
      <c r="G199" s="160" t="s">
        <v>373</v>
      </c>
      <c r="H199" s="161">
        <v>7</v>
      </c>
      <c r="I199" s="161">
        <v>0</v>
      </c>
      <c r="J199" s="127">
        <v>41300000</v>
      </c>
      <c r="K199" s="88" t="s">
        <v>398</v>
      </c>
      <c r="L199" s="159" t="s">
        <v>154</v>
      </c>
      <c r="M199" s="162" t="s">
        <v>448</v>
      </c>
      <c r="N199" s="23" t="s">
        <v>197</v>
      </c>
      <c r="O199" s="150" t="s">
        <v>925</v>
      </c>
      <c r="P199" s="159" t="s">
        <v>348</v>
      </c>
      <c r="Q199" s="53">
        <v>80111600</v>
      </c>
      <c r="R199" s="162" t="s">
        <v>208</v>
      </c>
      <c r="S199" s="162" t="str">
        <f>MID(PAA[[#This Row],[Meta Proyecto de Inversión]],1,4)</f>
        <v>8126</v>
      </c>
      <c r="T199" s="162" t="str">
        <f>MID(PAA[[#This Row],[Meta Proyecto de Inversión]],6,1)</f>
        <v>9</v>
      </c>
      <c r="U199" s="163" t="str">
        <f>IFERROR(VLOOKUP(N199,TD!$B$50:$F$54,2,0)," ")</f>
        <v>O230117</v>
      </c>
      <c r="V199" s="163" t="str">
        <f>IFERROR(VLOOKUP(N199,TD!$B$50:$F$54,3,0)," ")</f>
        <v>4599</v>
      </c>
      <c r="W199" s="163">
        <f>IFERROR(VLOOKUP(N199,TD!$B$50:$F$54,4,0)," ")</f>
        <v>20240207</v>
      </c>
      <c r="X199" s="162" t="s">
        <v>174</v>
      </c>
      <c r="Y199" s="163" t="str">
        <f>IFERROR(VLOOKUP(X199,TD!$J$51:$K$64,2,0)," ")</f>
        <v>Infraestructura física, mantenimiento y dotación (Sedes construidas, mantenidas reforzadas)</v>
      </c>
      <c r="Z199" s="164" t="str">
        <f t="shared" si="8"/>
        <v>08-Infraestructura física, mantenimiento y dotación (Sedes construidas, mantenidas reforzadas)</v>
      </c>
      <c r="AA199" s="167" t="s">
        <v>227</v>
      </c>
      <c r="AB199" s="163" t="str">
        <f>IFERROR(VLOOKUP(AA199,TD!$N$51:$O$66,2,0)," ")</f>
        <v>Sedes mantenidas</v>
      </c>
      <c r="AC199" s="164" t="str">
        <f t="shared" si="9"/>
        <v>016_Sedes mantenidas</v>
      </c>
      <c r="AD199" s="164" t="str">
        <f t="shared" si="10"/>
        <v>08-Infraestructura física, mantenimiento y dotación (Sedes construidas, mantenidas reforzadas) 016_Sedes mantenidas</v>
      </c>
      <c r="AE199" s="163" t="str">
        <f t="shared" si="11"/>
        <v>O23011745992024020708016</v>
      </c>
      <c r="AF199" s="163" t="str">
        <f>IFERROR(VLOOKUP(AD199,TD!$J$66:$K$89,2,0)," ")</f>
        <v>PM/0131/0108/45990160207</v>
      </c>
      <c r="AG199" s="118" t="s">
        <v>385</v>
      </c>
      <c r="AH199" s="162" t="s">
        <v>193</v>
      </c>
      <c r="AI199" s="165" t="str">
        <f>CONCATENATE(PAA[[#This Row],[Id Interno]],"-",PAA[[#This Row],[tipo de Contrato (TH talento humano - B/S bienes y/o servicios)]],"-",S199,"-",T199,"-",PAA[[#This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00" spans="2:35" ht="112" x14ac:dyDescent="0.35">
      <c r="B200" s="23">
        <v>20260162</v>
      </c>
      <c r="C200" s="99" t="s">
        <v>620</v>
      </c>
      <c r="D200" s="23" t="s">
        <v>105</v>
      </c>
      <c r="E200" s="23" t="s">
        <v>363</v>
      </c>
      <c r="F200" s="159" t="s">
        <v>144</v>
      </c>
      <c r="G200" s="160" t="s">
        <v>373</v>
      </c>
      <c r="H200" s="161">
        <v>8</v>
      </c>
      <c r="I200" s="161">
        <v>0</v>
      </c>
      <c r="J200" s="127">
        <v>57600000</v>
      </c>
      <c r="K200" s="88" t="s">
        <v>398</v>
      </c>
      <c r="L200" s="159" t="s">
        <v>154</v>
      </c>
      <c r="M200" s="162" t="s">
        <v>448</v>
      </c>
      <c r="N200" s="23" t="s">
        <v>197</v>
      </c>
      <c r="O200" s="150" t="s">
        <v>925</v>
      </c>
      <c r="P200" s="159" t="s">
        <v>348</v>
      </c>
      <c r="Q200" s="53">
        <v>80111600</v>
      </c>
      <c r="R200" s="162" t="s">
        <v>208</v>
      </c>
      <c r="S200" s="162" t="str">
        <f>MID(PAA[[#This Row],[Meta Proyecto de Inversión]],1,4)</f>
        <v>8126</v>
      </c>
      <c r="T200" s="162" t="str">
        <f>MID(PAA[[#This Row],[Meta Proyecto de Inversión]],6,1)</f>
        <v>9</v>
      </c>
      <c r="U200" s="163" t="str">
        <f>IFERROR(VLOOKUP(N200,TD!$B$50:$F$54,2,0)," ")</f>
        <v>O230117</v>
      </c>
      <c r="V200" s="163" t="str">
        <f>IFERROR(VLOOKUP(N200,TD!$B$50:$F$54,3,0)," ")</f>
        <v>4599</v>
      </c>
      <c r="W200" s="163">
        <f>IFERROR(VLOOKUP(N200,TD!$B$50:$F$54,4,0)," ")</f>
        <v>20240207</v>
      </c>
      <c r="X200" s="162" t="s">
        <v>174</v>
      </c>
      <c r="Y200" s="163" t="str">
        <f>IFERROR(VLOOKUP(X200,TD!$J$51:$K$64,2,0)," ")</f>
        <v>Infraestructura física, mantenimiento y dotación (Sedes construidas, mantenidas reforzadas)</v>
      </c>
      <c r="Z200" s="164" t="str">
        <f t="shared" si="8"/>
        <v>08-Infraestructura física, mantenimiento y dotación (Sedes construidas, mantenidas reforzadas)</v>
      </c>
      <c r="AA200" s="167" t="s">
        <v>227</v>
      </c>
      <c r="AB200" s="163" t="str">
        <f>IFERROR(VLOOKUP(AA200,TD!$N$51:$O$66,2,0)," ")</f>
        <v>Sedes mantenidas</v>
      </c>
      <c r="AC200" s="164" t="str">
        <f t="shared" si="9"/>
        <v>016_Sedes mantenidas</v>
      </c>
      <c r="AD200" s="164" t="str">
        <f t="shared" si="10"/>
        <v>08-Infraestructura física, mantenimiento y dotación (Sedes construidas, mantenidas reforzadas) 016_Sedes mantenidas</v>
      </c>
      <c r="AE200" s="163" t="str">
        <f t="shared" si="11"/>
        <v>O23011745992024020708016</v>
      </c>
      <c r="AF200" s="163" t="str">
        <f>IFERROR(VLOOKUP(AD200,TD!$J$66:$K$89,2,0)," ")</f>
        <v>PM/0131/0108/45990160207</v>
      </c>
      <c r="AG200" s="118" t="s">
        <v>385</v>
      </c>
      <c r="AH200" s="162" t="s">
        <v>193</v>
      </c>
      <c r="AI200" s="165" t="str">
        <f>CONCATENATE(PAA[[#This Row],[Id Interno]],"-",PAA[[#This Row],[tipo de Contrato (TH talento humano - B/S bienes y/o servicios)]],"-",S200,"-",T200,"-",PAA[[#This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01" spans="2:35" ht="126" x14ac:dyDescent="0.35">
      <c r="B201" s="23">
        <v>20260163</v>
      </c>
      <c r="C201" s="99" t="s">
        <v>621</v>
      </c>
      <c r="D201" s="23" t="s">
        <v>105</v>
      </c>
      <c r="E201" s="23" t="s">
        <v>363</v>
      </c>
      <c r="F201" s="159" t="s">
        <v>144</v>
      </c>
      <c r="G201" s="160" t="s">
        <v>373</v>
      </c>
      <c r="H201" s="161">
        <v>5</v>
      </c>
      <c r="I201" s="161">
        <v>0</v>
      </c>
      <c r="J201" s="127">
        <v>46000000</v>
      </c>
      <c r="K201" s="88" t="s">
        <v>398</v>
      </c>
      <c r="L201" s="159" t="s">
        <v>154</v>
      </c>
      <c r="M201" s="162" t="s">
        <v>448</v>
      </c>
      <c r="N201" s="23" t="s">
        <v>197</v>
      </c>
      <c r="O201" s="150" t="s">
        <v>925</v>
      </c>
      <c r="P201" s="159" t="s">
        <v>348</v>
      </c>
      <c r="Q201" s="53">
        <v>80111600</v>
      </c>
      <c r="R201" s="162" t="s">
        <v>208</v>
      </c>
      <c r="S201" s="162" t="str">
        <f>MID(PAA[[#This Row],[Meta Proyecto de Inversión]],1,4)</f>
        <v>8126</v>
      </c>
      <c r="T201" s="162" t="str">
        <f>MID(PAA[[#This Row],[Meta Proyecto de Inversión]],6,1)</f>
        <v>9</v>
      </c>
      <c r="U201" s="163" t="str">
        <f>IFERROR(VLOOKUP(N201,TD!$B$50:$F$54,2,0)," ")</f>
        <v>O230117</v>
      </c>
      <c r="V201" s="163" t="str">
        <f>IFERROR(VLOOKUP(N201,TD!$B$50:$F$54,3,0)," ")</f>
        <v>4599</v>
      </c>
      <c r="W201" s="163">
        <f>IFERROR(VLOOKUP(N201,TD!$B$50:$F$54,4,0)," ")</f>
        <v>20240207</v>
      </c>
      <c r="X201" s="162" t="s">
        <v>174</v>
      </c>
      <c r="Y201" s="163" t="str">
        <f>IFERROR(VLOOKUP(X201,TD!$J$51:$K$64,2,0)," ")</f>
        <v>Infraestructura física, mantenimiento y dotación (Sedes construidas, mantenidas reforzadas)</v>
      </c>
      <c r="Z201" s="164" t="str">
        <f t="shared" si="8"/>
        <v>08-Infraestructura física, mantenimiento y dotación (Sedes construidas, mantenidas reforzadas)</v>
      </c>
      <c r="AA201" s="167" t="s">
        <v>227</v>
      </c>
      <c r="AB201" s="163" t="str">
        <f>IFERROR(VLOOKUP(AA201,TD!$N$51:$O$66,2,0)," ")</f>
        <v>Sedes mantenidas</v>
      </c>
      <c r="AC201" s="164" t="str">
        <f t="shared" si="9"/>
        <v>016_Sedes mantenidas</v>
      </c>
      <c r="AD201" s="164" t="str">
        <f t="shared" si="10"/>
        <v>08-Infraestructura física, mantenimiento y dotación (Sedes construidas, mantenidas reforzadas) 016_Sedes mantenidas</v>
      </c>
      <c r="AE201" s="163" t="str">
        <f t="shared" si="11"/>
        <v>O23011745992024020708016</v>
      </c>
      <c r="AF201" s="163" t="str">
        <f>IFERROR(VLOOKUP(AD201,TD!$J$66:$K$89,2,0)," ")</f>
        <v>PM/0131/0108/45990160207</v>
      </c>
      <c r="AG201" s="118" t="s">
        <v>385</v>
      </c>
      <c r="AH201" s="162" t="s">
        <v>193</v>
      </c>
      <c r="AI201" s="165" t="str">
        <f>CONCATENATE(PAA[[#This Row],[Id Interno]],"-",PAA[[#This Row],[tipo de Contrato (TH talento humano - B/S bienes y/o servicios)]],"-",S201,"-",T201,"-",PAA[[#This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02" spans="2:35" ht="98" x14ac:dyDescent="0.35">
      <c r="B202" s="23">
        <v>20260164</v>
      </c>
      <c r="C202" s="99" t="s">
        <v>466</v>
      </c>
      <c r="D202" s="23" t="s">
        <v>105</v>
      </c>
      <c r="E202" s="23" t="s">
        <v>363</v>
      </c>
      <c r="F202" s="159" t="s">
        <v>144</v>
      </c>
      <c r="G202" s="160" t="s">
        <v>373</v>
      </c>
      <c r="H202" s="161">
        <v>7</v>
      </c>
      <c r="I202" s="161">
        <v>0</v>
      </c>
      <c r="J202" s="127">
        <v>50400000</v>
      </c>
      <c r="K202" s="88" t="s">
        <v>398</v>
      </c>
      <c r="L202" s="159" t="s">
        <v>154</v>
      </c>
      <c r="M202" s="162" t="s">
        <v>448</v>
      </c>
      <c r="N202" s="23" t="s">
        <v>197</v>
      </c>
      <c r="O202" s="150" t="s">
        <v>925</v>
      </c>
      <c r="P202" s="159" t="s">
        <v>348</v>
      </c>
      <c r="Q202" s="53">
        <v>80111600</v>
      </c>
      <c r="R202" s="162" t="s">
        <v>208</v>
      </c>
      <c r="S202" s="162" t="str">
        <f>MID(PAA[[#This Row],[Meta Proyecto de Inversión]],1,4)</f>
        <v>8126</v>
      </c>
      <c r="T202" s="162" t="str">
        <f>MID(PAA[[#This Row],[Meta Proyecto de Inversión]],6,1)</f>
        <v>9</v>
      </c>
      <c r="U202" s="163" t="str">
        <f>IFERROR(VLOOKUP(N202,TD!$B$50:$F$54,2,0)," ")</f>
        <v>O230117</v>
      </c>
      <c r="V202" s="163" t="str">
        <f>IFERROR(VLOOKUP(N202,TD!$B$50:$F$54,3,0)," ")</f>
        <v>4599</v>
      </c>
      <c r="W202" s="163">
        <f>IFERROR(VLOOKUP(N202,TD!$B$50:$F$54,4,0)," ")</f>
        <v>20240207</v>
      </c>
      <c r="X202" s="162" t="s">
        <v>174</v>
      </c>
      <c r="Y202" s="163" t="str">
        <f>IFERROR(VLOOKUP(X202,TD!$J$51:$K$64,2,0)," ")</f>
        <v>Infraestructura física, mantenimiento y dotación (Sedes construidas, mantenidas reforzadas)</v>
      </c>
      <c r="Z202" s="164" t="str">
        <f t="shared" si="8"/>
        <v>08-Infraestructura física, mantenimiento y dotación (Sedes construidas, mantenidas reforzadas)</v>
      </c>
      <c r="AA202" s="167" t="s">
        <v>227</v>
      </c>
      <c r="AB202" s="163" t="str">
        <f>IFERROR(VLOOKUP(AA202,TD!$N$51:$O$66,2,0)," ")</f>
        <v>Sedes mantenidas</v>
      </c>
      <c r="AC202" s="164" t="str">
        <f t="shared" si="9"/>
        <v>016_Sedes mantenidas</v>
      </c>
      <c r="AD202" s="164" t="str">
        <f t="shared" si="10"/>
        <v>08-Infraestructura física, mantenimiento y dotación (Sedes construidas, mantenidas reforzadas) 016_Sedes mantenidas</v>
      </c>
      <c r="AE202" s="163" t="str">
        <f t="shared" si="11"/>
        <v>O23011745992024020708016</v>
      </c>
      <c r="AF202" s="163" t="str">
        <f>IFERROR(VLOOKUP(AD202,TD!$J$66:$K$89,2,0)," ")</f>
        <v>PM/0131/0108/45990160207</v>
      </c>
      <c r="AG202" s="118" t="s">
        <v>385</v>
      </c>
      <c r="AH202" s="162" t="s">
        <v>193</v>
      </c>
      <c r="AI202" s="165" t="str">
        <f>CONCATENATE(PAA[[#This Row],[Id Interno]],"-",PAA[[#This Row],[tipo de Contrato (TH talento humano - B/S bienes y/o servicios)]],"-",S202,"-",T202,"-",PAA[[#This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03" spans="2:35" ht="98" x14ac:dyDescent="0.35">
      <c r="B203" s="23">
        <v>20260165</v>
      </c>
      <c r="C203" s="99" t="s">
        <v>622</v>
      </c>
      <c r="D203" s="23" t="s">
        <v>105</v>
      </c>
      <c r="E203" s="23" t="s">
        <v>363</v>
      </c>
      <c r="F203" s="159" t="s">
        <v>144</v>
      </c>
      <c r="G203" s="160" t="s">
        <v>373</v>
      </c>
      <c r="H203" s="161">
        <v>7</v>
      </c>
      <c r="I203" s="161">
        <v>0</v>
      </c>
      <c r="J203" s="127">
        <v>60900000</v>
      </c>
      <c r="K203" s="88" t="s">
        <v>398</v>
      </c>
      <c r="L203" s="159" t="s">
        <v>154</v>
      </c>
      <c r="M203" s="162" t="s">
        <v>448</v>
      </c>
      <c r="N203" s="23" t="s">
        <v>197</v>
      </c>
      <c r="O203" s="150" t="s">
        <v>925</v>
      </c>
      <c r="P203" s="159" t="s">
        <v>348</v>
      </c>
      <c r="Q203" s="53">
        <v>80111600</v>
      </c>
      <c r="R203" s="162" t="s">
        <v>208</v>
      </c>
      <c r="S203" s="162" t="str">
        <f>MID(PAA[[#This Row],[Meta Proyecto de Inversión]],1,4)</f>
        <v>8126</v>
      </c>
      <c r="T203" s="162" t="str">
        <f>MID(PAA[[#This Row],[Meta Proyecto de Inversión]],6,1)</f>
        <v>9</v>
      </c>
      <c r="U203" s="163" t="str">
        <f>IFERROR(VLOOKUP(N203,TD!$B$50:$F$54,2,0)," ")</f>
        <v>O230117</v>
      </c>
      <c r="V203" s="163" t="str">
        <f>IFERROR(VLOOKUP(N203,TD!$B$50:$F$54,3,0)," ")</f>
        <v>4599</v>
      </c>
      <c r="W203" s="163">
        <f>IFERROR(VLOOKUP(N203,TD!$B$50:$F$54,4,0)," ")</f>
        <v>20240207</v>
      </c>
      <c r="X203" s="162" t="s">
        <v>174</v>
      </c>
      <c r="Y203" s="163" t="str">
        <f>IFERROR(VLOOKUP(X203,TD!$J$51:$K$64,2,0)," ")</f>
        <v>Infraestructura física, mantenimiento y dotación (Sedes construidas, mantenidas reforzadas)</v>
      </c>
      <c r="Z203" s="164" t="str">
        <f t="shared" si="8"/>
        <v>08-Infraestructura física, mantenimiento y dotación (Sedes construidas, mantenidas reforzadas)</v>
      </c>
      <c r="AA203" s="167" t="s">
        <v>227</v>
      </c>
      <c r="AB203" s="163" t="str">
        <f>IFERROR(VLOOKUP(AA203,TD!$N$51:$O$66,2,0)," ")</f>
        <v>Sedes mantenidas</v>
      </c>
      <c r="AC203" s="164" t="str">
        <f t="shared" si="9"/>
        <v>016_Sedes mantenidas</v>
      </c>
      <c r="AD203" s="164" t="str">
        <f t="shared" si="10"/>
        <v>08-Infraestructura física, mantenimiento y dotación (Sedes construidas, mantenidas reforzadas) 016_Sedes mantenidas</v>
      </c>
      <c r="AE203" s="163" t="str">
        <f t="shared" si="11"/>
        <v>O23011745992024020708016</v>
      </c>
      <c r="AF203" s="163" t="str">
        <f>IFERROR(VLOOKUP(AD203,TD!$J$66:$K$89,2,0)," ")</f>
        <v>PM/0131/0108/45990160207</v>
      </c>
      <c r="AG203" s="118" t="s">
        <v>385</v>
      </c>
      <c r="AH203" s="162" t="s">
        <v>193</v>
      </c>
      <c r="AI203" s="165" t="str">
        <f>CONCATENATE(PAA[[#This Row],[Id Interno]],"-",PAA[[#This Row],[tipo de Contrato (TH talento humano - B/S bienes y/o servicios)]],"-",S203,"-",T203,"-",PAA[[#This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04" spans="2:35" ht="84" x14ac:dyDescent="0.35">
      <c r="B204" s="23">
        <v>20260166</v>
      </c>
      <c r="C204" s="99" t="s">
        <v>467</v>
      </c>
      <c r="D204" s="23" t="s">
        <v>105</v>
      </c>
      <c r="E204" s="23" t="s">
        <v>363</v>
      </c>
      <c r="F204" s="159" t="s">
        <v>144</v>
      </c>
      <c r="G204" s="160" t="s">
        <v>373</v>
      </c>
      <c r="H204" s="161">
        <v>7</v>
      </c>
      <c r="I204" s="161">
        <v>0</v>
      </c>
      <c r="J204" s="127">
        <v>62300000</v>
      </c>
      <c r="K204" s="88" t="s">
        <v>398</v>
      </c>
      <c r="L204" s="159" t="s">
        <v>154</v>
      </c>
      <c r="M204" s="162" t="s">
        <v>448</v>
      </c>
      <c r="N204" s="23" t="s">
        <v>197</v>
      </c>
      <c r="O204" s="150" t="s">
        <v>925</v>
      </c>
      <c r="P204" s="159" t="s">
        <v>348</v>
      </c>
      <c r="Q204" s="53">
        <v>80111600</v>
      </c>
      <c r="R204" s="162" t="s">
        <v>208</v>
      </c>
      <c r="S204" s="162" t="str">
        <f>MID(PAA[[#This Row],[Meta Proyecto de Inversión]],1,4)</f>
        <v>8126</v>
      </c>
      <c r="T204" s="162" t="str">
        <f>MID(PAA[[#This Row],[Meta Proyecto de Inversión]],6,1)</f>
        <v>9</v>
      </c>
      <c r="U204" s="163" t="str">
        <f>IFERROR(VLOOKUP(N204,TD!$B$50:$F$54,2,0)," ")</f>
        <v>O230117</v>
      </c>
      <c r="V204" s="163" t="str">
        <f>IFERROR(VLOOKUP(N204,TD!$B$50:$F$54,3,0)," ")</f>
        <v>4599</v>
      </c>
      <c r="W204" s="163">
        <f>IFERROR(VLOOKUP(N204,TD!$B$50:$F$54,4,0)," ")</f>
        <v>20240207</v>
      </c>
      <c r="X204" s="162" t="s">
        <v>174</v>
      </c>
      <c r="Y204" s="163" t="str">
        <f>IFERROR(VLOOKUP(X204,TD!$J$51:$K$64,2,0)," ")</f>
        <v>Infraestructura física, mantenimiento y dotación (Sedes construidas, mantenidas reforzadas)</v>
      </c>
      <c r="Z204" s="164" t="str">
        <f t="shared" ref="Z204:Z267" si="12">CONCATENATE(X204,"-",Y204)</f>
        <v>08-Infraestructura física, mantenimiento y dotación (Sedes construidas, mantenidas reforzadas)</v>
      </c>
      <c r="AA204" s="167" t="s">
        <v>227</v>
      </c>
      <c r="AB204" s="163" t="str">
        <f>IFERROR(VLOOKUP(AA204,TD!$N$51:$O$66,2,0)," ")</f>
        <v>Sedes mantenidas</v>
      </c>
      <c r="AC204" s="164" t="str">
        <f t="shared" ref="AC204:AC267" si="13">CONCATENATE(AA204,"_",AB204)</f>
        <v>016_Sedes mantenidas</v>
      </c>
      <c r="AD204" s="164" t="str">
        <f t="shared" ref="AD204:AD267" si="14">CONCATENATE(Z204," ",AC204)</f>
        <v>08-Infraestructura física, mantenimiento y dotación (Sedes construidas, mantenidas reforzadas) 016_Sedes mantenidas</v>
      </c>
      <c r="AE204" s="163" t="str">
        <f t="shared" ref="AE204:AE267" si="15">CONCATENATE(U204,V204,W204,X204,AA204)</f>
        <v>O23011745992024020708016</v>
      </c>
      <c r="AF204" s="163" t="str">
        <f>IFERROR(VLOOKUP(AD204,TD!$J$66:$K$89,2,0)," ")</f>
        <v>PM/0131/0108/45990160207</v>
      </c>
      <c r="AG204" s="118" t="s">
        <v>385</v>
      </c>
      <c r="AH204" s="162" t="s">
        <v>193</v>
      </c>
      <c r="AI204" s="165" t="str">
        <f>CONCATENATE(PAA[[#This Row],[Id Interno]],"-",PAA[[#This Row],[tipo de Contrato (TH talento humano - B/S bienes y/o servicios)]],"-",S204,"-",T204,"-",PAA[[#This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05" spans="2:35" ht="168" x14ac:dyDescent="0.35">
      <c r="B205" s="23">
        <v>20260167</v>
      </c>
      <c r="C205" s="99" t="s">
        <v>623</v>
      </c>
      <c r="D205" s="23" t="s">
        <v>105</v>
      </c>
      <c r="E205" s="23" t="s">
        <v>363</v>
      </c>
      <c r="F205" s="159" t="s">
        <v>144</v>
      </c>
      <c r="G205" s="160" t="s">
        <v>373</v>
      </c>
      <c r="H205" s="161">
        <v>10</v>
      </c>
      <c r="I205" s="161">
        <v>0</v>
      </c>
      <c r="J205" s="127">
        <v>83000000</v>
      </c>
      <c r="K205" s="88" t="s">
        <v>398</v>
      </c>
      <c r="L205" s="159" t="s">
        <v>154</v>
      </c>
      <c r="M205" s="162" t="s">
        <v>448</v>
      </c>
      <c r="N205" s="23" t="s">
        <v>197</v>
      </c>
      <c r="O205" s="150" t="s">
        <v>925</v>
      </c>
      <c r="P205" s="159" t="s">
        <v>348</v>
      </c>
      <c r="Q205" s="53">
        <v>80111600</v>
      </c>
      <c r="R205" s="162" t="s">
        <v>208</v>
      </c>
      <c r="S205" s="162" t="str">
        <f>MID(PAA[[#This Row],[Meta Proyecto de Inversión]],1,4)</f>
        <v>8126</v>
      </c>
      <c r="T205" s="162" t="str">
        <f>MID(PAA[[#This Row],[Meta Proyecto de Inversión]],6,1)</f>
        <v>9</v>
      </c>
      <c r="U205" s="163" t="str">
        <f>IFERROR(VLOOKUP(N205,TD!$B$50:$F$54,2,0)," ")</f>
        <v>O230117</v>
      </c>
      <c r="V205" s="163" t="str">
        <f>IFERROR(VLOOKUP(N205,TD!$B$50:$F$54,3,0)," ")</f>
        <v>4599</v>
      </c>
      <c r="W205" s="163">
        <f>IFERROR(VLOOKUP(N205,TD!$B$50:$F$54,4,0)," ")</f>
        <v>20240207</v>
      </c>
      <c r="X205" s="162" t="s">
        <v>174</v>
      </c>
      <c r="Y205" s="163" t="str">
        <f>IFERROR(VLOOKUP(X205,TD!$J$51:$K$64,2,0)," ")</f>
        <v>Infraestructura física, mantenimiento y dotación (Sedes construidas, mantenidas reforzadas)</v>
      </c>
      <c r="Z205" s="164" t="str">
        <f t="shared" si="12"/>
        <v>08-Infraestructura física, mantenimiento y dotación (Sedes construidas, mantenidas reforzadas)</v>
      </c>
      <c r="AA205" s="167" t="s">
        <v>227</v>
      </c>
      <c r="AB205" s="163" t="str">
        <f>IFERROR(VLOOKUP(AA205,TD!$N$51:$O$66,2,0)," ")</f>
        <v>Sedes mantenidas</v>
      </c>
      <c r="AC205" s="164" t="str">
        <f t="shared" si="13"/>
        <v>016_Sedes mantenidas</v>
      </c>
      <c r="AD205" s="164" t="str">
        <f t="shared" si="14"/>
        <v>08-Infraestructura física, mantenimiento y dotación (Sedes construidas, mantenidas reforzadas) 016_Sedes mantenidas</v>
      </c>
      <c r="AE205" s="163" t="str">
        <f t="shared" si="15"/>
        <v>O23011745992024020708016</v>
      </c>
      <c r="AF205" s="163" t="str">
        <f>IFERROR(VLOOKUP(AD205,TD!$J$66:$K$89,2,0)," ")</f>
        <v>PM/0131/0108/45990160207</v>
      </c>
      <c r="AG205" s="118" t="s">
        <v>385</v>
      </c>
      <c r="AH205" s="162" t="s">
        <v>193</v>
      </c>
      <c r="AI205" s="165" t="str">
        <f>CONCATENATE(PAA[[#This Row],[Id Interno]],"-",PAA[[#This Row],[tipo de Contrato (TH talento humano - B/S bienes y/o servicios)]],"-",S205,"-",T205,"-",PAA[[#This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06" spans="2:35" ht="84" x14ac:dyDescent="0.35">
      <c r="B206" s="23">
        <v>20260168</v>
      </c>
      <c r="C206" s="99" t="s">
        <v>468</v>
      </c>
      <c r="D206" s="23" t="s">
        <v>105</v>
      </c>
      <c r="E206" s="23" t="s">
        <v>363</v>
      </c>
      <c r="F206" s="159" t="s">
        <v>144</v>
      </c>
      <c r="G206" s="160" t="s">
        <v>373</v>
      </c>
      <c r="H206" s="161">
        <v>11</v>
      </c>
      <c r="I206" s="161">
        <v>0</v>
      </c>
      <c r="J206" s="127">
        <v>92400000</v>
      </c>
      <c r="K206" s="88" t="s">
        <v>398</v>
      </c>
      <c r="L206" s="159" t="s">
        <v>154</v>
      </c>
      <c r="M206" s="162" t="s">
        <v>448</v>
      </c>
      <c r="N206" s="23" t="s">
        <v>197</v>
      </c>
      <c r="O206" s="150" t="s">
        <v>925</v>
      </c>
      <c r="P206" s="159" t="s">
        <v>348</v>
      </c>
      <c r="Q206" s="53">
        <v>80111600</v>
      </c>
      <c r="R206" s="162" t="s">
        <v>208</v>
      </c>
      <c r="S206" s="162" t="str">
        <f>MID(PAA[[#This Row],[Meta Proyecto de Inversión]],1,4)</f>
        <v>8126</v>
      </c>
      <c r="T206" s="162" t="str">
        <f>MID(PAA[[#This Row],[Meta Proyecto de Inversión]],6,1)</f>
        <v>9</v>
      </c>
      <c r="U206" s="163" t="str">
        <f>IFERROR(VLOOKUP(N206,TD!$B$50:$F$54,2,0)," ")</f>
        <v>O230117</v>
      </c>
      <c r="V206" s="163" t="str">
        <f>IFERROR(VLOOKUP(N206,TD!$B$50:$F$54,3,0)," ")</f>
        <v>4599</v>
      </c>
      <c r="W206" s="163">
        <f>IFERROR(VLOOKUP(N206,TD!$B$50:$F$54,4,0)," ")</f>
        <v>20240207</v>
      </c>
      <c r="X206" s="162" t="s">
        <v>174</v>
      </c>
      <c r="Y206" s="163" t="str">
        <f>IFERROR(VLOOKUP(X206,TD!$J$51:$K$64,2,0)," ")</f>
        <v>Infraestructura física, mantenimiento y dotación (Sedes construidas, mantenidas reforzadas)</v>
      </c>
      <c r="Z206" s="164" t="str">
        <f t="shared" si="12"/>
        <v>08-Infraestructura física, mantenimiento y dotación (Sedes construidas, mantenidas reforzadas)</v>
      </c>
      <c r="AA206" s="167" t="s">
        <v>227</v>
      </c>
      <c r="AB206" s="163" t="str">
        <f>IFERROR(VLOOKUP(AA206,TD!$N$51:$O$66,2,0)," ")</f>
        <v>Sedes mantenidas</v>
      </c>
      <c r="AC206" s="164" t="str">
        <f t="shared" si="13"/>
        <v>016_Sedes mantenidas</v>
      </c>
      <c r="AD206" s="164" t="str">
        <f t="shared" si="14"/>
        <v>08-Infraestructura física, mantenimiento y dotación (Sedes construidas, mantenidas reforzadas) 016_Sedes mantenidas</v>
      </c>
      <c r="AE206" s="163" t="str">
        <f t="shared" si="15"/>
        <v>O23011745992024020708016</v>
      </c>
      <c r="AF206" s="163" t="str">
        <f>IFERROR(VLOOKUP(AD206,TD!$J$66:$K$89,2,0)," ")</f>
        <v>PM/0131/0108/45990160207</v>
      </c>
      <c r="AG206" s="118" t="s">
        <v>385</v>
      </c>
      <c r="AH206" s="162" t="s">
        <v>193</v>
      </c>
      <c r="AI206" s="165" t="str">
        <f>CONCATENATE(PAA[[#This Row],[Id Interno]],"-",PAA[[#This Row],[tipo de Contrato (TH talento humano - B/S bienes y/o servicios)]],"-",S206,"-",T206,"-",PAA[[#This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07" spans="2:35" ht="70" x14ac:dyDescent="0.35">
      <c r="B207" s="23">
        <v>20260169</v>
      </c>
      <c r="C207" s="99" t="s">
        <v>469</v>
      </c>
      <c r="D207" s="23" t="s">
        <v>105</v>
      </c>
      <c r="E207" s="23" t="s">
        <v>363</v>
      </c>
      <c r="F207" s="159" t="s">
        <v>144</v>
      </c>
      <c r="G207" s="160" t="s">
        <v>373</v>
      </c>
      <c r="H207" s="161">
        <v>8</v>
      </c>
      <c r="I207" s="161">
        <v>0</v>
      </c>
      <c r="J207" s="127">
        <v>66400000</v>
      </c>
      <c r="K207" s="88" t="s">
        <v>398</v>
      </c>
      <c r="L207" s="159" t="s">
        <v>154</v>
      </c>
      <c r="M207" s="162" t="s">
        <v>448</v>
      </c>
      <c r="N207" s="23" t="s">
        <v>197</v>
      </c>
      <c r="O207" s="150" t="s">
        <v>925</v>
      </c>
      <c r="P207" s="159" t="s">
        <v>348</v>
      </c>
      <c r="Q207" s="53">
        <v>80111600</v>
      </c>
      <c r="R207" s="162" t="s">
        <v>208</v>
      </c>
      <c r="S207" s="162" t="str">
        <f>MID(PAA[[#This Row],[Meta Proyecto de Inversión]],1,4)</f>
        <v>8126</v>
      </c>
      <c r="T207" s="162" t="str">
        <f>MID(PAA[[#This Row],[Meta Proyecto de Inversión]],6,1)</f>
        <v>9</v>
      </c>
      <c r="U207" s="163" t="str">
        <f>IFERROR(VLOOKUP(N207,TD!$B$50:$F$54,2,0)," ")</f>
        <v>O230117</v>
      </c>
      <c r="V207" s="163" t="str">
        <f>IFERROR(VLOOKUP(N207,TD!$B$50:$F$54,3,0)," ")</f>
        <v>4599</v>
      </c>
      <c r="W207" s="163">
        <f>IFERROR(VLOOKUP(N207,TD!$B$50:$F$54,4,0)," ")</f>
        <v>20240207</v>
      </c>
      <c r="X207" s="162" t="s">
        <v>174</v>
      </c>
      <c r="Y207" s="163" t="str">
        <f>IFERROR(VLOOKUP(X207,TD!$J$51:$K$64,2,0)," ")</f>
        <v>Infraestructura física, mantenimiento y dotación (Sedes construidas, mantenidas reforzadas)</v>
      </c>
      <c r="Z207" s="164" t="str">
        <f t="shared" si="12"/>
        <v>08-Infraestructura física, mantenimiento y dotación (Sedes construidas, mantenidas reforzadas)</v>
      </c>
      <c r="AA207" s="167" t="s">
        <v>227</v>
      </c>
      <c r="AB207" s="163" t="str">
        <f>IFERROR(VLOOKUP(AA207,TD!$N$51:$O$66,2,0)," ")</f>
        <v>Sedes mantenidas</v>
      </c>
      <c r="AC207" s="164" t="str">
        <f t="shared" si="13"/>
        <v>016_Sedes mantenidas</v>
      </c>
      <c r="AD207" s="164" t="str">
        <f t="shared" si="14"/>
        <v>08-Infraestructura física, mantenimiento y dotación (Sedes construidas, mantenidas reforzadas) 016_Sedes mantenidas</v>
      </c>
      <c r="AE207" s="163" t="str">
        <f t="shared" si="15"/>
        <v>O23011745992024020708016</v>
      </c>
      <c r="AF207" s="163" t="str">
        <f>IFERROR(VLOOKUP(AD207,TD!$J$66:$K$89,2,0)," ")</f>
        <v>PM/0131/0108/45990160207</v>
      </c>
      <c r="AG207" s="118" t="s">
        <v>385</v>
      </c>
      <c r="AH207" s="162" t="s">
        <v>193</v>
      </c>
      <c r="AI207" s="165" t="str">
        <f>CONCATENATE(PAA[[#This Row],[Id Interno]],"-",PAA[[#This Row],[tipo de Contrato (TH talento humano - B/S bienes y/o servicios)]],"-",S207,"-",T207,"-",PAA[[#This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08" spans="2:35" ht="84" x14ac:dyDescent="0.35">
      <c r="B208" s="23">
        <v>20260170</v>
      </c>
      <c r="C208" s="99" t="s">
        <v>470</v>
      </c>
      <c r="D208" s="23" t="s">
        <v>105</v>
      </c>
      <c r="E208" s="23" t="s">
        <v>363</v>
      </c>
      <c r="F208" s="159" t="s">
        <v>144</v>
      </c>
      <c r="G208" s="160" t="s">
        <v>373</v>
      </c>
      <c r="H208" s="161">
        <v>11</v>
      </c>
      <c r="I208" s="161">
        <v>0</v>
      </c>
      <c r="J208" s="127">
        <v>60500000</v>
      </c>
      <c r="K208" s="88" t="s">
        <v>398</v>
      </c>
      <c r="L208" s="159" t="s">
        <v>154</v>
      </c>
      <c r="M208" s="162" t="s">
        <v>448</v>
      </c>
      <c r="N208" s="23" t="s">
        <v>197</v>
      </c>
      <c r="O208" s="150" t="s">
        <v>925</v>
      </c>
      <c r="P208" s="159" t="s">
        <v>348</v>
      </c>
      <c r="Q208" s="53">
        <v>80111600</v>
      </c>
      <c r="R208" s="162" t="s">
        <v>208</v>
      </c>
      <c r="S208" s="162" t="str">
        <f>MID(PAA[[#This Row],[Meta Proyecto de Inversión]],1,4)</f>
        <v>8126</v>
      </c>
      <c r="T208" s="162" t="str">
        <f>MID(PAA[[#This Row],[Meta Proyecto de Inversión]],6,1)</f>
        <v>9</v>
      </c>
      <c r="U208" s="163" t="str">
        <f>IFERROR(VLOOKUP(N208,TD!$B$50:$F$54,2,0)," ")</f>
        <v>O230117</v>
      </c>
      <c r="V208" s="163" t="str">
        <f>IFERROR(VLOOKUP(N208,TD!$B$50:$F$54,3,0)," ")</f>
        <v>4599</v>
      </c>
      <c r="W208" s="163">
        <f>IFERROR(VLOOKUP(N208,TD!$B$50:$F$54,4,0)," ")</f>
        <v>20240207</v>
      </c>
      <c r="X208" s="162" t="s">
        <v>174</v>
      </c>
      <c r="Y208" s="163" t="str">
        <f>IFERROR(VLOOKUP(X208,TD!$J$51:$K$64,2,0)," ")</f>
        <v>Infraestructura física, mantenimiento y dotación (Sedes construidas, mantenidas reforzadas)</v>
      </c>
      <c r="Z208" s="164" t="str">
        <f t="shared" si="12"/>
        <v>08-Infraestructura física, mantenimiento y dotación (Sedes construidas, mantenidas reforzadas)</v>
      </c>
      <c r="AA208" s="167" t="s">
        <v>227</v>
      </c>
      <c r="AB208" s="163" t="str">
        <f>IFERROR(VLOOKUP(AA208,TD!$N$51:$O$66,2,0)," ")</f>
        <v>Sedes mantenidas</v>
      </c>
      <c r="AC208" s="164" t="str">
        <f t="shared" si="13"/>
        <v>016_Sedes mantenidas</v>
      </c>
      <c r="AD208" s="164" t="str">
        <f t="shared" si="14"/>
        <v>08-Infraestructura física, mantenimiento y dotación (Sedes construidas, mantenidas reforzadas) 016_Sedes mantenidas</v>
      </c>
      <c r="AE208" s="163" t="str">
        <f t="shared" si="15"/>
        <v>O23011745992024020708016</v>
      </c>
      <c r="AF208" s="163" t="str">
        <f>IFERROR(VLOOKUP(AD208,TD!$J$66:$K$89,2,0)," ")</f>
        <v>PM/0131/0108/45990160207</v>
      </c>
      <c r="AG208" s="118" t="s">
        <v>385</v>
      </c>
      <c r="AH208" s="162" t="s">
        <v>193</v>
      </c>
      <c r="AI208" s="165" t="str">
        <f>CONCATENATE(PAA[[#This Row],[Id Interno]],"-",PAA[[#This Row],[tipo de Contrato (TH talento humano - B/S bienes y/o servicios)]],"-",S208,"-",T208,"-",PAA[[#This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09" spans="2:35" ht="98" x14ac:dyDescent="0.35">
      <c r="B209" s="23">
        <v>20260171</v>
      </c>
      <c r="C209" s="99" t="s">
        <v>624</v>
      </c>
      <c r="D209" s="23" t="s">
        <v>105</v>
      </c>
      <c r="E209" s="23" t="s">
        <v>363</v>
      </c>
      <c r="F209" s="159" t="s">
        <v>144</v>
      </c>
      <c r="G209" s="160" t="s">
        <v>373</v>
      </c>
      <c r="H209" s="161">
        <v>7</v>
      </c>
      <c r="I209" s="161">
        <v>0</v>
      </c>
      <c r="J209" s="127">
        <v>37800000</v>
      </c>
      <c r="K209" s="88" t="s">
        <v>398</v>
      </c>
      <c r="L209" s="159" t="s">
        <v>154</v>
      </c>
      <c r="M209" s="162" t="s">
        <v>448</v>
      </c>
      <c r="N209" s="23" t="s">
        <v>197</v>
      </c>
      <c r="O209" s="150" t="s">
        <v>925</v>
      </c>
      <c r="P209" s="159" t="s">
        <v>348</v>
      </c>
      <c r="Q209" s="53">
        <v>80111600</v>
      </c>
      <c r="R209" s="162" t="s">
        <v>208</v>
      </c>
      <c r="S209" s="162" t="str">
        <f>MID(PAA[[#This Row],[Meta Proyecto de Inversión]],1,4)</f>
        <v>8126</v>
      </c>
      <c r="T209" s="162" t="str">
        <f>MID(PAA[[#This Row],[Meta Proyecto de Inversión]],6,1)</f>
        <v>9</v>
      </c>
      <c r="U209" s="163" t="str">
        <f>IFERROR(VLOOKUP(N209,TD!$B$50:$F$54,2,0)," ")</f>
        <v>O230117</v>
      </c>
      <c r="V209" s="163" t="str">
        <f>IFERROR(VLOOKUP(N209,TD!$B$50:$F$54,3,0)," ")</f>
        <v>4599</v>
      </c>
      <c r="W209" s="163">
        <f>IFERROR(VLOOKUP(N209,TD!$B$50:$F$54,4,0)," ")</f>
        <v>20240207</v>
      </c>
      <c r="X209" s="162" t="s">
        <v>174</v>
      </c>
      <c r="Y209" s="163" t="str">
        <f>IFERROR(VLOOKUP(X209,TD!$J$51:$K$64,2,0)," ")</f>
        <v>Infraestructura física, mantenimiento y dotación (Sedes construidas, mantenidas reforzadas)</v>
      </c>
      <c r="Z209" s="164" t="str">
        <f t="shared" si="12"/>
        <v>08-Infraestructura física, mantenimiento y dotación (Sedes construidas, mantenidas reforzadas)</v>
      </c>
      <c r="AA209" s="167" t="s">
        <v>227</v>
      </c>
      <c r="AB209" s="163" t="str">
        <f>IFERROR(VLOOKUP(AA209,TD!$N$51:$O$66,2,0)," ")</f>
        <v>Sedes mantenidas</v>
      </c>
      <c r="AC209" s="164" t="str">
        <f t="shared" si="13"/>
        <v>016_Sedes mantenidas</v>
      </c>
      <c r="AD209" s="164" t="str">
        <f t="shared" si="14"/>
        <v>08-Infraestructura física, mantenimiento y dotación (Sedes construidas, mantenidas reforzadas) 016_Sedes mantenidas</v>
      </c>
      <c r="AE209" s="163" t="str">
        <f t="shared" si="15"/>
        <v>O23011745992024020708016</v>
      </c>
      <c r="AF209" s="163" t="str">
        <f>IFERROR(VLOOKUP(AD209,TD!$J$66:$K$89,2,0)," ")</f>
        <v>PM/0131/0108/45990160207</v>
      </c>
      <c r="AG209" s="118" t="s">
        <v>385</v>
      </c>
      <c r="AH209" s="162" t="s">
        <v>193</v>
      </c>
      <c r="AI209" s="165" t="str">
        <f>CONCATENATE(PAA[[#This Row],[Id Interno]],"-",PAA[[#This Row],[tipo de Contrato (TH talento humano - B/S bienes y/o servicios)]],"-",S209,"-",T209,"-",PAA[[#This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10" spans="2:35" ht="56.15" customHeight="1" x14ac:dyDescent="0.35">
      <c r="B210" s="23">
        <v>20260172</v>
      </c>
      <c r="C210" s="99" t="s">
        <v>471</v>
      </c>
      <c r="D210" s="23" t="s">
        <v>105</v>
      </c>
      <c r="E210" s="23" t="s">
        <v>363</v>
      </c>
      <c r="F210" s="159" t="s">
        <v>144</v>
      </c>
      <c r="G210" s="160" t="s">
        <v>373</v>
      </c>
      <c r="H210" s="161">
        <v>7</v>
      </c>
      <c r="I210" s="161">
        <v>0</v>
      </c>
      <c r="J210" s="127">
        <v>37800000</v>
      </c>
      <c r="K210" s="88" t="s">
        <v>398</v>
      </c>
      <c r="L210" s="159" t="s">
        <v>154</v>
      </c>
      <c r="M210" s="162" t="s">
        <v>448</v>
      </c>
      <c r="N210" s="23" t="s">
        <v>197</v>
      </c>
      <c r="O210" s="150" t="s">
        <v>925</v>
      </c>
      <c r="P210" s="159" t="s">
        <v>348</v>
      </c>
      <c r="Q210" s="53">
        <v>80111600</v>
      </c>
      <c r="R210" s="162" t="s">
        <v>208</v>
      </c>
      <c r="S210" s="162" t="str">
        <f>MID(PAA[[#This Row],[Meta Proyecto de Inversión]],1,4)</f>
        <v>8126</v>
      </c>
      <c r="T210" s="162" t="str">
        <f>MID(PAA[[#This Row],[Meta Proyecto de Inversión]],6,1)</f>
        <v>9</v>
      </c>
      <c r="U210" s="163" t="str">
        <f>IFERROR(VLOOKUP(N210,TD!$B$50:$F$54,2,0)," ")</f>
        <v>O230117</v>
      </c>
      <c r="V210" s="163" t="str">
        <f>IFERROR(VLOOKUP(N210,TD!$B$50:$F$54,3,0)," ")</f>
        <v>4599</v>
      </c>
      <c r="W210" s="163">
        <f>IFERROR(VLOOKUP(N210,TD!$B$50:$F$54,4,0)," ")</f>
        <v>20240207</v>
      </c>
      <c r="X210" s="162" t="s">
        <v>174</v>
      </c>
      <c r="Y210" s="163" t="str">
        <f>IFERROR(VLOOKUP(X210,TD!$J$51:$K$64,2,0)," ")</f>
        <v>Infraestructura física, mantenimiento y dotación (Sedes construidas, mantenidas reforzadas)</v>
      </c>
      <c r="Z210" s="164" t="str">
        <f t="shared" si="12"/>
        <v>08-Infraestructura física, mantenimiento y dotación (Sedes construidas, mantenidas reforzadas)</v>
      </c>
      <c r="AA210" s="167" t="s">
        <v>227</v>
      </c>
      <c r="AB210" s="163" t="str">
        <f>IFERROR(VLOOKUP(AA210,TD!$N$51:$O$66,2,0)," ")</f>
        <v>Sedes mantenidas</v>
      </c>
      <c r="AC210" s="164" t="str">
        <f t="shared" si="13"/>
        <v>016_Sedes mantenidas</v>
      </c>
      <c r="AD210" s="164" t="str">
        <f t="shared" si="14"/>
        <v>08-Infraestructura física, mantenimiento y dotación (Sedes construidas, mantenidas reforzadas) 016_Sedes mantenidas</v>
      </c>
      <c r="AE210" s="163" t="str">
        <f t="shared" si="15"/>
        <v>O23011745992024020708016</v>
      </c>
      <c r="AF210" s="163" t="str">
        <f>IFERROR(VLOOKUP(AD210,TD!$J$66:$K$89,2,0)," ")</f>
        <v>PM/0131/0108/45990160207</v>
      </c>
      <c r="AG210" s="118" t="s">
        <v>385</v>
      </c>
      <c r="AH210" s="162" t="s">
        <v>193</v>
      </c>
      <c r="AI210" s="165" t="str">
        <f>CONCATENATE(PAA[[#This Row],[Id Interno]],"-",PAA[[#This Row],[tipo de Contrato (TH talento humano - B/S bienes y/o servicios)]],"-",S210,"-",T210,"-",PAA[[#This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11" spans="2:35" ht="56" customHeight="1" x14ac:dyDescent="0.35">
      <c r="B211" s="23">
        <v>20260173</v>
      </c>
      <c r="C211" s="99" t="s">
        <v>625</v>
      </c>
      <c r="D211" s="23" t="s">
        <v>105</v>
      </c>
      <c r="E211" s="23" t="s">
        <v>363</v>
      </c>
      <c r="F211" s="159" t="s">
        <v>144</v>
      </c>
      <c r="G211" s="160" t="s">
        <v>373</v>
      </c>
      <c r="H211" s="161">
        <v>10</v>
      </c>
      <c r="I211" s="161">
        <v>0</v>
      </c>
      <c r="J211" s="127">
        <v>82000000</v>
      </c>
      <c r="K211" s="88" t="s">
        <v>398</v>
      </c>
      <c r="L211" s="159" t="s">
        <v>154</v>
      </c>
      <c r="M211" s="162" t="s">
        <v>448</v>
      </c>
      <c r="N211" s="23" t="s">
        <v>198</v>
      </c>
      <c r="O211" s="150" t="s">
        <v>926</v>
      </c>
      <c r="P211" s="159" t="s">
        <v>348</v>
      </c>
      <c r="Q211" s="53">
        <v>80111600</v>
      </c>
      <c r="R211" s="162" t="s">
        <v>218</v>
      </c>
      <c r="S211" s="162" t="str">
        <f>MID(PAA[[#This Row],[Meta Proyecto de Inversión]],1,4)</f>
        <v>8173</v>
      </c>
      <c r="T211" s="162" t="str">
        <f>MID(PAA[[#This Row],[Meta Proyecto de Inversión]],6,1)</f>
        <v>9</v>
      </c>
      <c r="U211" s="163" t="str">
        <f>IFERROR(VLOOKUP(N211,TD!$B$50:$F$54,2,0)," ")</f>
        <v>O230117</v>
      </c>
      <c r="V211" s="163" t="str">
        <f>IFERROR(VLOOKUP(N211,TD!$B$50:$F$54,3,0)," ")</f>
        <v>4503</v>
      </c>
      <c r="W211" s="163">
        <f>IFERROR(VLOOKUP(N211,TD!$B$50:$F$54,4,0)," ")</f>
        <v>20240255</v>
      </c>
      <c r="X211" s="162" t="s">
        <v>172</v>
      </c>
      <c r="Y211" s="163" t="str">
        <f>IFERROR(VLOOKUP(X211,TD!$J$51:$K$64,2,0)," ")</f>
        <v>Servicio de formación en gestión del riesgo de incendios para el personal UAECOB</v>
      </c>
      <c r="Z211" s="164" t="str">
        <f t="shared" si="12"/>
        <v>07-Servicio de formación en gestión del riesgo de incendios para el personal UAECOB</v>
      </c>
      <c r="AA211" s="167" t="s">
        <v>222</v>
      </c>
      <c r="AB211" s="163" t="str">
        <f>IFERROR(VLOOKUP(AA211,TD!$N$51:$O$66,2,0)," ")</f>
        <v>Servicio de educación informal</v>
      </c>
      <c r="AC211" s="164" t="str">
        <f t="shared" si="13"/>
        <v>002_Servicio de educación informal</v>
      </c>
      <c r="AD211" s="164" t="str">
        <f t="shared" si="14"/>
        <v>07-Servicio de formación en gestión del riesgo de incendios para el personal UAECOB 002_Servicio de educación informal</v>
      </c>
      <c r="AE211" s="163" t="str">
        <f t="shared" si="15"/>
        <v>O23011745032024025507002</v>
      </c>
      <c r="AF211" s="163" t="str">
        <f>IFERROR(VLOOKUP(AD211,TD!$J$66:$K$89,2,0)," ")</f>
        <v>PM/0131/0107/45030020255</v>
      </c>
      <c r="AG211" s="118" t="s">
        <v>385</v>
      </c>
      <c r="AH211" s="162" t="s">
        <v>193</v>
      </c>
      <c r="AI211" s="165" t="str">
        <f>CONCATENATE(PAA[[#This Row],[Id Interno]],"-",PAA[[#This Row],[tipo de Contrato (TH talento humano - B/S bienes y/o servicios)]],"-",S211,"-",T211,"-",PAA[[#This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12" spans="2:35" ht="56" customHeight="1" x14ac:dyDescent="0.35">
      <c r="B212" s="23">
        <v>20260174</v>
      </c>
      <c r="C212" s="99" t="s">
        <v>626</v>
      </c>
      <c r="D212" s="23" t="s">
        <v>105</v>
      </c>
      <c r="E212" s="23" t="s">
        <v>363</v>
      </c>
      <c r="F212" s="159" t="s">
        <v>144</v>
      </c>
      <c r="G212" s="160" t="s">
        <v>373</v>
      </c>
      <c r="H212" s="161">
        <v>11</v>
      </c>
      <c r="I212" s="161">
        <v>0</v>
      </c>
      <c r="J212" s="127">
        <v>57200000</v>
      </c>
      <c r="K212" s="88" t="s">
        <v>398</v>
      </c>
      <c r="L212" s="159" t="s">
        <v>154</v>
      </c>
      <c r="M212" s="162" t="s">
        <v>448</v>
      </c>
      <c r="N212" s="23" t="s">
        <v>198</v>
      </c>
      <c r="O212" s="150" t="s">
        <v>926</v>
      </c>
      <c r="P212" s="159" t="s">
        <v>348</v>
      </c>
      <c r="Q212" s="53">
        <v>80111600</v>
      </c>
      <c r="R212" s="162" t="s">
        <v>218</v>
      </c>
      <c r="S212" s="162" t="str">
        <f>MID(PAA[[#This Row],[Meta Proyecto de Inversión]],1,4)</f>
        <v>8173</v>
      </c>
      <c r="T212" s="162" t="str">
        <f>MID(PAA[[#This Row],[Meta Proyecto de Inversión]],6,1)</f>
        <v>9</v>
      </c>
      <c r="U212" s="163" t="str">
        <f>IFERROR(VLOOKUP(N212,TD!$B$50:$F$54,2,0)," ")</f>
        <v>O230117</v>
      </c>
      <c r="V212" s="163" t="str">
        <f>IFERROR(VLOOKUP(N212,TD!$B$50:$F$54,3,0)," ")</f>
        <v>4503</v>
      </c>
      <c r="W212" s="163">
        <f>IFERROR(VLOOKUP(N212,TD!$B$50:$F$54,4,0)," ")</f>
        <v>20240255</v>
      </c>
      <c r="X212" s="162" t="s">
        <v>172</v>
      </c>
      <c r="Y212" s="163" t="str">
        <f>IFERROR(VLOOKUP(X212,TD!$J$51:$K$64,2,0)," ")</f>
        <v>Servicio de formación en gestión del riesgo de incendios para el personal UAECOB</v>
      </c>
      <c r="Z212" s="164" t="str">
        <f t="shared" si="12"/>
        <v>07-Servicio de formación en gestión del riesgo de incendios para el personal UAECOB</v>
      </c>
      <c r="AA212" s="167" t="s">
        <v>222</v>
      </c>
      <c r="AB212" s="163" t="str">
        <f>IFERROR(VLOOKUP(AA212,TD!$N$51:$O$66,2,0)," ")</f>
        <v>Servicio de educación informal</v>
      </c>
      <c r="AC212" s="164" t="str">
        <f t="shared" si="13"/>
        <v>002_Servicio de educación informal</v>
      </c>
      <c r="AD212" s="164" t="str">
        <f t="shared" si="14"/>
        <v>07-Servicio de formación en gestión del riesgo de incendios para el personal UAECOB 002_Servicio de educación informal</v>
      </c>
      <c r="AE212" s="163" t="str">
        <f t="shared" si="15"/>
        <v>O23011745032024025507002</v>
      </c>
      <c r="AF212" s="163" t="str">
        <f>IFERROR(VLOOKUP(AD212,TD!$J$66:$K$89,2,0)," ")</f>
        <v>PM/0131/0107/45030020255</v>
      </c>
      <c r="AG212" s="118" t="s">
        <v>385</v>
      </c>
      <c r="AH212" s="162" t="s">
        <v>193</v>
      </c>
      <c r="AI212" s="165" t="str">
        <f>CONCATENATE(PAA[[#This Row],[Id Interno]],"-",PAA[[#This Row],[tipo de Contrato (TH talento humano - B/S bienes y/o servicios)]],"-",S212,"-",T212,"-",PAA[[#This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13" spans="2:35" ht="98" x14ac:dyDescent="0.35">
      <c r="B213" s="23">
        <v>20260175</v>
      </c>
      <c r="C213" s="99" t="s">
        <v>627</v>
      </c>
      <c r="D213" s="23" t="s">
        <v>105</v>
      </c>
      <c r="E213" s="23" t="s">
        <v>363</v>
      </c>
      <c r="F213" s="159" t="s">
        <v>144</v>
      </c>
      <c r="G213" s="160" t="s">
        <v>373</v>
      </c>
      <c r="H213" s="161">
        <v>10</v>
      </c>
      <c r="I213" s="161">
        <v>0</v>
      </c>
      <c r="J213" s="127">
        <v>72000000</v>
      </c>
      <c r="K213" s="88" t="s">
        <v>398</v>
      </c>
      <c r="L213" s="159" t="s">
        <v>154</v>
      </c>
      <c r="M213" s="162" t="s">
        <v>448</v>
      </c>
      <c r="N213" s="23" t="s">
        <v>198</v>
      </c>
      <c r="O213" s="150" t="s">
        <v>926</v>
      </c>
      <c r="P213" s="159" t="s">
        <v>348</v>
      </c>
      <c r="Q213" s="53">
        <v>80111600</v>
      </c>
      <c r="R213" s="162" t="s">
        <v>218</v>
      </c>
      <c r="S213" s="162" t="str">
        <f>MID(PAA[[#This Row],[Meta Proyecto de Inversión]],1,4)</f>
        <v>8173</v>
      </c>
      <c r="T213" s="162" t="str">
        <f>MID(PAA[[#This Row],[Meta Proyecto de Inversión]],6,1)</f>
        <v>9</v>
      </c>
      <c r="U213" s="163" t="str">
        <f>IFERROR(VLOOKUP(N213,TD!$B$50:$F$54,2,0)," ")</f>
        <v>O230117</v>
      </c>
      <c r="V213" s="163" t="str">
        <f>IFERROR(VLOOKUP(N213,TD!$B$50:$F$54,3,0)," ")</f>
        <v>4503</v>
      </c>
      <c r="W213" s="163">
        <f>IFERROR(VLOOKUP(N213,TD!$B$50:$F$54,4,0)," ")</f>
        <v>20240255</v>
      </c>
      <c r="X213" s="162" t="s">
        <v>172</v>
      </c>
      <c r="Y213" s="163" t="str">
        <f>IFERROR(VLOOKUP(X213,TD!$J$51:$K$64,2,0)," ")</f>
        <v>Servicio de formación en gestión del riesgo de incendios para el personal UAECOB</v>
      </c>
      <c r="Z213" s="164" t="str">
        <f t="shared" si="12"/>
        <v>07-Servicio de formación en gestión del riesgo de incendios para el personal UAECOB</v>
      </c>
      <c r="AA213" s="167" t="s">
        <v>222</v>
      </c>
      <c r="AB213" s="163" t="str">
        <f>IFERROR(VLOOKUP(AA213,TD!$N$51:$O$66,2,0)," ")</f>
        <v>Servicio de educación informal</v>
      </c>
      <c r="AC213" s="164" t="str">
        <f t="shared" si="13"/>
        <v>002_Servicio de educación informal</v>
      </c>
      <c r="AD213" s="164" t="str">
        <f t="shared" si="14"/>
        <v>07-Servicio de formación en gestión del riesgo de incendios para el personal UAECOB 002_Servicio de educación informal</v>
      </c>
      <c r="AE213" s="163" t="str">
        <f t="shared" si="15"/>
        <v>O23011745032024025507002</v>
      </c>
      <c r="AF213" s="163" t="str">
        <f>IFERROR(VLOOKUP(AD213,TD!$J$66:$K$89,2,0)," ")</f>
        <v>PM/0131/0107/45030020255</v>
      </c>
      <c r="AG213" s="118" t="s">
        <v>385</v>
      </c>
      <c r="AH213" s="162" t="s">
        <v>193</v>
      </c>
      <c r="AI213" s="165" t="str">
        <f>CONCATENATE(PAA[[#This Row],[Id Interno]],"-",PAA[[#This Row],[tipo de Contrato (TH talento humano - B/S bienes y/o servicios)]],"-",S213,"-",T213,"-",PAA[[#This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14" spans="2:35" ht="70" x14ac:dyDescent="0.35">
      <c r="B214" s="23">
        <v>20260176</v>
      </c>
      <c r="C214" s="99" t="s">
        <v>628</v>
      </c>
      <c r="D214" s="23" t="s">
        <v>105</v>
      </c>
      <c r="E214" s="23" t="s">
        <v>363</v>
      </c>
      <c r="F214" s="159" t="s">
        <v>145</v>
      </c>
      <c r="G214" s="160" t="s">
        <v>373</v>
      </c>
      <c r="H214" s="161">
        <v>11</v>
      </c>
      <c r="I214" s="161">
        <v>0</v>
      </c>
      <c r="J214" s="127">
        <v>40700000</v>
      </c>
      <c r="K214" s="88" t="s">
        <v>398</v>
      </c>
      <c r="L214" s="159" t="s">
        <v>154</v>
      </c>
      <c r="M214" s="162" t="s">
        <v>448</v>
      </c>
      <c r="N214" s="23" t="s">
        <v>198</v>
      </c>
      <c r="O214" s="150" t="s">
        <v>926</v>
      </c>
      <c r="P214" s="159" t="s">
        <v>348</v>
      </c>
      <c r="Q214" s="53">
        <v>80111600</v>
      </c>
      <c r="R214" s="162" t="s">
        <v>218</v>
      </c>
      <c r="S214" s="162" t="str">
        <f>MID(PAA[[#This Row],[Meta Proyecto de Inversión]],1,4)</f>
        <v>8173</v>
      </c>
      <c r="T214" s="162" t="str">
        <f>MID(PAA[[#This Row],[Meta Proyecto de Inversión]],6,1)</f>
        <v>9</v>
      </c>
      <c r="U214" s="163" t="str">
        <f>IFERROR(VLOOKUP(N214,TD!$B$50:$F$54,2,0)," ")</f>
        <v>O230117</v>
      </c>
      <c r="V214" s="163" t="str">
        <f>IFERROR(VLOOKUP(N214,TD!$B$50:$F$54,3,0)," ")</f>
        <v>4503</v>
      </c>
      <c r="W214" s="163">
        <f>IFERROR(VLOOKUP(N214,TD!$B$50:$F$54,4,0)," ")</f>
        <v>20240255</v>
      </c>
      <c r="X214" s="162" t="s">
        <v>172</v>
      </c>
      <c r="Y214" s="163" t="str">
        <f>IFERROR(VLOOKUP(X214,TD!$J$51:$K$64,2,0)," ")</f>
        <v>Servicio de formación en gestión del riesgo de incendios para el personal UAECOB</v>
      </c>
      <c r="Z214" s="164" t="str">
        <f t="shared" si="12"/>
        <v>07-Servicio de formación en gestión del riesgo de incendios para el personal UAECOB</v>
      </c>
      <c r="AA214" s="167" t="s">
        <v>222</v>
      </c>
      <c r="AB214" s="163" t="str">
        <f>IFERROR(VLOOKUP(AA214,TD!$N$51:$O$66,2,0)," ")</f>
        <v>Servicio de educación informal</v>
      </c>
      <c r="AC214" s="164" t="str">
        <f t="shared" si="13"/>
        <v>002_Servicio de educación informal</v>
      </c>
      <c r="AD214" s="164" t="str">
        <f t="shared" si="14"/>
        <v>07-Servicio de formación en gestión del riesgo de incendios para el personal UAECOB 002_Servicio de educación informal</v>
      </c>
      <c r="AE214" s="163" t="str">
        <f t="shared" si="15"/>
        <v>O23011745032024025507002</v>
      </c>
      <c r="AF214" s="163" t="str">
        <f>IFERROR(VLOOKUP(AD214,TD!$J$66:$K$89,2,0)," ")</f>
        <v>PM/0131/0107/45030020255</v>
      </c>
      <c r="AG214" s="118" t="s">
        <v>385</v>
      </c>
      <c r="AH214" s="162" t="s">
        <v>193</v>
      </c>
      <c r="AI214" s="165" t="str">
        <f>CONCATENATE(PAA[[#This Row],[Id Interno]],"-",PAA[[#This Row],[tipo de Contrato (TH talento humano - B/S bienes y/o servicios)]],"-",S214,"-",T214,"-",PAA[[#This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15" spans="2:35" ht="98" x14ac:dyDescent="0.35">
      <c r="B215" s="23">
        <v>20260177</v>
      </c>
      <c r="C215" s="99" t="s">
        <v>629</v>
      </c>
      <c r="D215" s="23" t="s">
        <v>105</v>
      </c>
      <c r="E215" s="23" t="s">
        <v>363</v>
      </c>
      <c r="F215" s="159" t="s">
        <v>144</v>
      </c>
      <c r="G215" s="160" t="s">
        <v>373</v>
      </c>
      <c r="H215" s="161">
        <v>11</v>
      </c>
      <c r="I215" s="161">
        <v>0</v>
      </c>
      <c r="J215" s="127">
        <v>81400000</v>
      </c>
      <c r="K215" s="88" t="s">
        <v>398</v>
      </c>
      <c r="L215" s="159" t="s">
        <v>154</v>
      </c>
      <c r="M215" s="162" t="s">
        <v>448</v>
      </c>
      <c r="N215" s="23" t="s">
        <v>198</v>
      </c>
      <c r="O215" s="150" t="s">
        <v>926</v>
      </c>
      <c r="P215" s="159" t="s">
        <v>348</v>
      </c>
      <c r="Q215" s="53">
        <v>80111600</v>
      </c>
      <c r="R215" s="162" t="s">
        <v>218</v>
      </c>
      <c r="S215" s="162" t="str">
        <f>MID(PAA[[#This Row],[Meta Proyecto de Inversión]],1,4)</f>
        <v>8173</v>
      </c>
      <c r="T215" s="162" t="str">
        <f>MID(PAA[[#This Row],[Meta Proyecto de Inversión]],6,1)</f>
        <v>9</v>
      </c>
      <c r="U215" s="163" t="str">
        <f>IFERROR(VLOOKUP(N215,TD!$B$50:$F$54,2,0)," ")</f>
        <v>O230117</v>
      </c>
      <c r="V215" s="163" t="str">
        <f>IFERROR(VLOOKUP(N215,TD!$B$50:$F$54,3,0)," ")</f>
        <v>4503</v>
      </c>
      <c r="W215" s="163">
        <f>IFERROR(VLOOKUP(N215,TD!$B$50:$F$54,4,0)," ")</f>
        <v>20240255</v>
      </c>
      <c r="X215" s="162" t="s">
        <v>172</v>
      </c>
      <c r="Y215" s="163" t="str">
        <f>IFERROR(VLOOKUP(X215,TD!$J$51:$K$64,2,0)," ")</f>
        <v>Servicio de formación en gestión del riesgo de incendios para el personal UAECOB</v>
      </c>
      <c r="Z215" s="164" t="str">
        <f t="shared" si="12"/>
        <v>07-Servicio de formación en gestión del riesgo de incendios para el personal UAECOB</v>
      </c>
      <c r="AA215" s="167" t="s">
        <v>222</v>
      </c>
      <c r="AB215" s="163" t="str">
        <f>IFERROR(VLOOKUP(AA215,TD!$N$51:$O$66,2,0)," ")</f>
        <v>Servicio de educación informal</v>
      </c>
      <c r="AC215" s="164" t="str">
        <f t="shared" si="13"/>
        <v>002_Servicio de educación informal</v>
      </c>
      <c r="AD215" s="164" t="str">
        <f t="shared" si="14"/>
        <v>07-Servicio de formación en gestión del riesgo de incendios para el personal UAECOB 002_Servicio de educación informal</v>
      </c>
      <c r="AE215" s="163" t="str">
        <f t="shared" si="15"/>
        <v>O23011745032024025507002</v>
      </c>
      <c r="AF215" s="163" t="str">
        <f>IFERROR(VLOOKUP(AD215,TD!$J$66:$K$89,2,0)," ")</f>
        <v>PM/0131/0107/45030020255</v>
      </c>
      <c r="AG215" s="118" t="s">
        <v>385</v>
      </c>
      <c r="AH215" s="162" t="s">
        <v>193</v>
      </c>
      <c r="AI215" s="165" t="str">
        <f>CONCATENATE(PAA[[#This Row],[Id Interno]],"-",PAA[[#This Row],[tipo de Contrato (TH talento humano - B/S bienes y/o servicios)]],"-",S215,"-",T215,"-",PAA[[#This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16" spans="2:35" ht="84" customHeight="1" x14ac:dyDescent="0.35">
      <c r="B216" s="23">
        <v>20260178</v>
      </c>
      <c r="C216" s="99" t="s">
        <v>630</v>
      </c>
      <c r="D216" s="23" t="s">
        <v>105</v>
      </c>
      <c r="E216" s="23" t="s">
        <v>363</v>
      </c>
      <c r="F216" s="159" t="s">
        <v>144</v>
      </c>
      <c r="G216" s="160" t="s">
        <v>373</v>
      </c>
      <c r="H216" s="161">
        <v>11</v>
      </c>
      <c r="I216" s="161">
        <v>0</v>
      </c>
      <c r="J216" s="127">
        <v>84700000</v>
      </c>
      <c r="K216" s="88" t="s">
        <v>398</v>
      </c>
      <c r="L216" s="159" t="s">
        <v>154</v>
      </c>
      <c r="M216" s="162" t="s">
        <v>448</v>
      </c>
      <c r="N216" s="23" t="s">
        <v>198</v>
      </c>
      <c r="O216" s="150" t="s">
        <v>926</v>
      </c>
      <c r="P216" s="159" t="s">
        <v>348</v>
      </c>
      <c r="Q216" s="53">
        <v>80111600</v>
      </c>
      <c r="R216" s="162" t="s">
        <v>218</v>
      </c>
      <c r="S216" s="162" t="str">
        <f>MID(PAA[[#This Row],[Meta Proyecto de Inversión]],1,4)</f>
        <v>8173</v>
      </c>
      <c r="T216" s="162" t="str">
        <f>MID(PAA[[#This Row],[Meta Proyecto de Inversión]],6,1)</f>
        <v>9</v>
      </c>
      <c r="U216" s="163" t="str">
        <f>IFERROR(VLOOKUP(N216,TD!$B$50:$F$54,2,0)," ")</f>
        <v>O230117</v>
      </c>
      <c r="V216" s="163" t="str">
        <f>IFERROR(VLOOKUP(N216,TD!$B$50:$F$54,3,0)," ")</f>
        <v>4503</v>
      </c>
      <c r="W216" s="163">
        <f>IFERROR(VLOOKUP(N216,TD!$B$50:$F$54,4,0)," ")</f>
        <v>20240255</v>
      </c>
      <c r="X216" s="162" t="s">
        <v>172</v>
      </c>
      <c r="Y216" s="163" t="str">
        <f>IFERROR(VLOOKUP(X216,TD!$J$51:$K$64,2,0)," ")</f>
        <v>Servicio de formación en gestión del riesgo de incendios para el personal UAECOB</v>
      </c>
      <c r="Z216" s="164" t="str">
        <f t="shared" si="12"/>
        <v>07-Servicio de formación en gestión del riesgo de incendios para el personal UAECOB</v>
      </c>
      <c r="AA216" s="167" t="s">
        <v>222</v>
      </c>
      <c r="AB216" s="163" t="str">
        <f>IFERROR(VLOOKUP(AA216,TD!$N$51:$O$66,2,0)," ")</f>
        <v>Servicio de educación informal</v>
      </c>
      <c r="AC216" s="164" t="str">
        <f t="shared" si="13"/>
        <v>002_Servicio de educación informal</v>
      </c>
      <c r="AD216" s="164" t="str">
        <f t="shared" si="14"/>
        <v>07-Servicio de formación en gestión del riesgo de incendios para el personal UAECOB 002_Servicio de educación informal</v>
      </c>
      <c r="AE216" s="163" t="str">
        <f t="shared" si="15"/>
        <v>O23011745032024025507002</v>
      </c>
      <c r="AF216" s="163" t="str">
        <f>IFERROR(VLOOKUP(AD216,TD!$J$66:$K$89,2,0)," ")</f>
        <v>PM/0131/0107/45030020255</v>
      </c>
      <c r="AG216" s="118" t="s">
        <v>385</v>
      </c>
      <c r="AH216" s="162" t="s">
        <v>193</v>
      </c>
      <c r="AI216" s="165" t="str">
        <f>CONCATENATE(PAA[[#This Row],[Id Interno]],"-",PAA[[#This Row],[tipo de Contrato (TH talento humano - B/S bienes y/o servicios)]],"-",S216,"-",T216,"-",PAA[[#This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17" spans="2:35" ht="84" x14ac:dyDescent="0.35">
      <c r="B217" s="23">
        <v>20260179</v>
      </c>
      <c r="C217" s="99" t="s">
        <v>631</v>
      </c>
      <c r="D217" s="23" t="s">
        <v>105</v>
      </c>
      <c r="E217" s="23" t="s">
        <v>363</v>
      </c>
      <c r="F217" s="159" t="s">
        <v>144</v>
      </c>
      <c r="G217" s="160" t="s">
        <v>373</v>
      </c>
      <c r="H217" s="161">
        <v>10</v>
      </c>
      <c r="I217" s="161">
        <v>0</v>
      </c>
      <c r="J217" s="127">
        <v>55000000</v>
      </c>
      <c r="K217" s="88" t="s">
        <v>398</v>
      </c>
      <c r="L217" s="159" t="s">
        <v>154</v>
      </c>
      <c r="M217" s="162" t="s">
        <v>448</v>
      </c>
      <c r="N217" s="23" t="s">
        <v>198</v>
      </c>
      <c r="O217" s="150" t="s">
        <v>926</v>
      </c>
      <c r="P217" s="159" t="s">
        <v>348</v>
      </c>
      <c r="Q217" s="53">
        <v>80111600</v>
      </c>
      <c r="R217" s="162" t="s">
        <v>218</v>
      </c>
      <c r="S217" s="162" t="str">
        <f>MID(PAA[[#This Row],[Meta Proyecto de Inversión]],1,4)</f>
        <v>8173</v>
      </c>
      <c r="T217" s="162" t="str">
        <f>MID(PAA[[#This Row],[Meta Proyecto de Inversión]],6,1)</f>
        <v>9</v>
      </c>
      <c r="U217" s="163" t="str">
        <f>IFERROR(VLOOKUP(N217,TD!$B$50:$F$54,2,0)," ")</f>
        <v>O230117</v>
      </c>
      <c r="V217" s="163" t="str">
        <f>IFERROR(VLOOKUP(N217,TD!$B$50:$F$54,3,0)," ")</f>
        <v>4503</v>
      </c>
      <c r="W217" s="163">
        <f>IFERROR(VLOOKUP(N217,TD!$B$50:$F$54,4,0)," ")</f>
        <v>20240255</v>
      </c>
      <c r="X217" s="162" t="s">
        <v>172</v>
      </c>
      <c r="Y217" s="163" t="str">
        <f>IFERROR(VLOOKUP(X217,TD!$J$51:$K$64,2,0)," ")</f>
        <v>Servicio de formación en gestión del riesgo de incendios para el personal UAECOB</v>
      </c>
      <c r="Z217" s="164" t="str">
        <f t="shared" si="12"/>
        <v>07-Servicio de formación en gestión del riesgo de incendios para el personal UAECOB</v>
      </c>
      <c r="AA217" s="167" t="s">
        <v>222</v>
      </c>
      <c r="AB217" s="163" t="str">
        <f>IFERROR(VLOOKUP(AA217,TD!$N$51:$O$66,2,0)," ")</f>
        <v>Servicio de educación informal</v>
      </c>
      <c r="AC217" s="164" t="str">
        <f t="shared" si="13"/>
        <v>002_Servicio de educación informal</v>
      </c>
      <c r="AD217" s="164" t="str">
        <f t="shared" si="14"/>
        <v>07-Servicio de formación en gestión del riesgo de incendios para el personal UAECOB 002_Servicio de educación informal</v>
      </c>
      <c r="AE217" s="163" t="str">
        <f t="shared" si="15"/>
        <v>O23011745032024025507002</v>
      </c>
      <c r="AF217" s="163" t="str">
        <f>IFERROR(VLOOKUP(AD217,TD!$J$66:$K$89,2,0)," ")</f>
        <v>PM/0131/0107/45030020255</v>
      </c>
      <c r="AG217" s="118" t="s">
        <v>385</v>
      </c>
      <c r="AH217" s="162" t="s">
        <v>193</v>
      </c>
      <c r="AI217" s="165" t="str">
        <f>CONCATENATE(PAA[[#This Row],[Id Interno]],"-",PAA[[#This Row],[tipo de Contrato (TH talento humano - B/S bienes y/o servicios)]],"-",S217,"-",T217,"-",PAA[[#This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18" spans="2:35" ht="98" x14ac:dyDescent="0.35">
      <c r="B218" s="23">
        <v>20260180</v>
      </c>
      <c r="C218" s="99" t="s">
        <v>632</v>
      </c>
      <c r="D218" s="23" t="s">
        <v>105</v>
      </c>
      <c r="E218" s="23" t="s">
        <v>363</v>
      </c>
      <c r="F218" s="159" t="s">
        <v>145</v>
      </c>
      <c r="G218" s="160" t="s">
        <v>373</v>
      </c>
      <c r="H218" s="161">
        <v>8</v>
      </c>
      <c r="I218" s="161">
        <v>0</v>
      </c>
      <c r="J218" s="127">
        <v>26000000</v>
      </c>
      <c r="K218" s="88" t="s">
        <v>398</v>
      </c>
      <c r="L218" s="159" t="s">
        <v>154</v>
      </c>
      <c r="M218" s="162" t="s">
        <v>448</v>
      </c>
      <c r="N218" s="23" t="s">
        <v>198</v>
      </c>
      <c r="O218" s="150" t="s">
        <v>926</v>
      </c>
      <c r="P218" s="159" t="s">
        <v>348</v>
      </c>
      <c r="Q218" s="53">
        <v>80111600</v>
      </c>
      <c r="R218" s="162" t="s">
        <v>218</v>
      </c>
      <c r="S218" s="162" t="str">
        <f>MID(PAA[[#This Row],[Meta Proyecto de Inversión]],1,4)</f>
        <v>8173</v>
      </c>
      <c r="T218" s="162" t="str">
        <f>MID(PAA[[#This Row],[Meta Proyecto de Inversión]],6,1)</f>
        <v>9</v>
      </c>
      <c r="U218" s="163" t="str">
        <f>IFERROR(VLOOKUP(N218,TD!$B$50:$F$54,2,0)," ")</f>
        <v>O230117</v>
      </c>
      <c r="V218" s="163" t="str">
        <f>IFERROR(VLOOKUP(N218,TD!$B$50:$F$54,3,0)," ")</f>
        <v>4503</v>
      </c>
      <c r="W218" s="163">
        <f>IFERROR(VLOOKUP(N218,TD!$B$50:$F$54,4,0)," ")</f>
        <v>20240255</v>
      </c>
      <c r="X218" s="162" t="s">
        <v>172</v>
      </c>
      <c r="Y218" s="163" t="str">
        <f>IFERROR(VLOOKUP(X218,TD!$J$51:$K$64,2,0)," ")</f>
        <v>Servicio de formación en gestión del riesgo de incendios para el personal UAECOB</v>
      </c>
      <c r="Z218" s="164" t="str">
        <f t="shared" si="12"/>
        <v>07-Servicio de formación en gestión del riesgo de incendios para el personal UAECOB</v>
      </c>
      <c r="AA218" s="167" t="s">
        <v>222</v>
      </c>
      <c r="AB218" s="163" t="str">
        <f>IFERROR(VLOOKUP(AA218,TD!$N$51:$O$66,2,0)," ")</f>
        <v>Servicio de educación informal</v>
      </c>
      <c r="AC218" s="164" t="str">
        <f t="shared" si="13"/>
        <v>002_Servicio de educación informal</v>
      </c>
      <c r="AD218" s="164" t="str">
        <f t="shared" si="14"/>
        <v>07-Servicio de formación en gestión del riesgo de incendios para el personal UAECOB 002_Servicio de educación informal</v>
      </c>
      <c r="AE218" s="163" t="str">
        <f t="shared" si="15"/>
        <v>O23011745032024025507002</v>
      </c>
      <c r="AF218" s="163" t="str">
        <f>IFERROR(VLOOKUP(AD218,TD!$J$66:$K$89,2,0)," ")</f>
        <v>PM/0131/0107/45030020255</v>
      </c>
      <c r="AG218" s="118" t="s">
        <v>385</v>
      </c>
      <c r="AH218" s="162" t="s">
        <v>193</v>
      </c>
      <c r="AI218" s="165" t="str">
        <f>CONCATENATE(PAA[[#This Row],[Id Interno]],"-",PAA[[#This Row],[tipo de Contrato (TH talento humano - B/S bienes y/o servicios)]],"-",S218,"-",T218,"-",PAA[[#This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19" spans="2:35" ht="126" x14ac:dyDescent="0.35">
      <c r="B219" s="23">
        <v>20260181</v>
      </c>
      <c r="C219" s="99" t="s">
        <v>633</v>
      </c>
      <c r="D219" s="23" t="s">
        <v>105</v>
      </c>
      <c r="E219" s="23" t="s">
        <v>363</v>
      </c>
      <c r="F219" s="159" t="s">
        <v>144</v>
      </c>
      <c r="G219" s="160" t="s">
        <v>373</v>
      </c>
      <c r="H219" s="161">
        <v>11</v>
      </c>
      <c r="I219" s="161">
        <v>0</v>
      </c>
      <c r="J219" s="127">
        <v>96800000</v>
      </c>
      <c r="K219" s="88" t="s">
        <v>398</v>
      </c>
      <c r="L219" s="159" t="s">
        <v>154</v>
      </c>
      <c r="M219" s="162" t="s">
        <v>448</v>
      </c>
      <c r="N219" s="23" t="s">
        <v>198</v>
      </c>
      <c r="O219" s="150" t="s">
        <v>926</v>
      </c>
      <c r="P219" s="159" t="s">
        <v>348</v>
      </c>
      <c r="Q219" s="53">
        <v>80111600</v>
      </c>
      <c r="R219" s="162" t="s">
        <v>218</v>
      </c>
      <c r="S219" s="162" t="str">
        <f>MID(PAA[[#This Row],[Meta Proyecto de Inversión]],1,4)</f>
        <v>8173</v>
      </c>
      <c r="T219" s="162" t="str">
        <f>MID(PAA[[#This Row],[Meta Proyecto de Inversión]],6,1)</f>
        <v>9</v>
      </c>
      <c r="U219" s="163" t="str">
        <f>IFERROR(VLOOKUP(N219,TD!$B$50:$F$54,2,0)," ")</f>
        <v>O230117</v>
      </c>
      <c r="V219" s="163" t="str">
        <f>IFERROR(VLOOKUP(N219,TD!$B$50:$F$54,3,0)," ")</f>
        <v>4503</v>
      </c>
      <c r="W219" s="163">
        <f>IFERROR(VLOOKUP(N219,TD!$B$50:$F$54,4,0)," ")</f>
        <v>20240255</v>
      </c>
      <c r="X219" s="162" t="s">
        <v>172</v>
      </c>
      <c r="Y219" s="163" t="str">
        <f>IFERROR(VLOOKUP(X219,TD!$J$51:$K$64,2,0)," ")</f>
        <v>Servicio de formación en gestión del riesgo de incendios para el personal UAECOB</v>
      </c>
      <c r="Z219" s="164" t="str">
        <f t="shared" si="12"/>
        <v>07-Servicio de formación en gestión del riesgo de incendios para el personal UAECOB</v>
      </c>
      <c r="AA219" s="167" t="s">
        <v>222</v>
      </c>
      <c r="AB219" s="163" t="str">
        <f>IFERROR(VLOOKUP(AA219,TD!$N$51:$O$66,2,0)," ")</f>
        <v>Servicio de educación informal</v>
      </c>
      <c r="AC219" s="164" t="str">
        <f t="shared" si="13"/>
        <v>002_Servicio de educación informal</v>
      </c>
      <c r="AD219" s="164" t="str">
        <f t="shared" si="14"/>
        <v>07-Servicio de formación en gestión del riesgo de incendios para el personal UAECOB 002_Servicio de educación informal</v>
      </c>
      <c r="AE219" s="163" t="str">
        <f t="shared" si="15"/>
        <v>O23011745032024025507002</v>
      </c>
      <c r="AF219" s="163" t="str">
        <f>IFERROR(VLOOKUP(AD219,TD!$J$66:$K$89,2,0)," ")</f>
        <v>PM/0131/0107/45030020255</v>
      </c>
      <c r="AG219" s="118" t="s">
        <v>385</v>
      </c>
      <c r="AH219" s="162" t="s">
        <v>193</v>
      </c>
      <c r="AI219" s="165" t="str">
        <f>CONCATENATE(PAA[[#This Row],[Id Interno]],"-",PAA[[#This Row],[tipo de Contrato (TH talento humano - B/S bienes y/o servicios)]],"-",S219,"-",T219,"-",PAA[[#This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20" spans="2:35" ht="112" x14ac:dyDescent="0.35">
      <c r="B220" s="23">
        <v>20260182</v>
      </c>
      <c r="C220" s="99" t="s">
        <v>634</v>
      </c>
      <c r="D220" s="23" t="s">
        <v>105</v>
      </c>
      <c r="E220" s="23" t="s">
        <v>363</v>
      </c>
      <c r="F220" s="159" t="s">
        <v>144</v>
      </c>
      <c r="G220" s="160" t="s">
        <v>373</v>
      </c>
      <c r="H220" s="161">
        <v>11</v>
      </c>
      <c r="I220" s="161">
        <v>0</v>
      </c>
      <c r="J220" s="127">
        <v>93500000</v>
      </c>
      <c r="K220" s="88" t="s">
        <v>398</v>
      </c>
      <c r="L220" s="159" t="s">
        <v>154</v>
      </c>
      <c r="M220" s="162" t="s">
        <v>448</v>
      </c>
      <c r="N220" s="23" t="s">
        <v>198</v>
      </c>
      <c r="O220" s="150" t="s">
        <v>926</v>
      </c>
      <c r="P220" s="159" t="s">
        <v>348</v>
      </c>
      <c r="Q220" s="53">
        <v>80111600</v>
      </c>
      <c r="R220" s="162" t="s">
        <v>218</v>
      </c>
      <c r="S220" s="162" t="str">
        <f>MID(PAA[[#This Row],[Meta Proyecto de Inversión]],1,4)</f>
        <v>8173</v>
      </c>
      <c r="T220" s="162" t="str">
        <f>MID(PAA[[#This Row],[Meta Proyecto de Inversión]],6,1)</f>
        <v>9</v>
      </c>
      <c r="U220" s="163" t="str">
        <f>IFERROR(VLOOKUP(N220,TD!$B$50:$F$54,2,0)," ")</f>
        <v>O230117</v>
      </c>
      <c r="V220" s="163" t="str">
        <f>IFERROR(VLOOKUP(N220,TD!$B$50:$F$54,3,0)," ")</f>
        <v>4503</v>
      </c>
      <c r="W220" s="163">
        <f>IFERROR(VLOOKUP(N220,TD!$B$50:$F$54,4,0)," ")</f>
        <v>20240255</v>
      </c>
      <c r="X220" s="162" t="s">
        <v>172</v>
      </c>
      <c r="Y220" s="163" t="str">
        <f>IFERROR(VLOOKUP(X220,TD!$J$51:$K$64,2,0)," ")</f>
        <v>Servicio de formación en gestión del riesgo de incendios para el personal UAECOB</v>
      </c>
      <c r="Z220" s="164" t="str">
        <f t="shared" si="12"/>
        <v>07-Servicio de formación en gestión del riesgo de incendios para el personal UAECOB</v>
      </c>
      <c r="AA220" s="167" t="s">
        <v>222</v>
      </c>
      <c r="AB220" s="163" t="str">
        <f>IFERROR(VLOOKUP(AA220,TD!$N$51:$O$66,2,0)," ")</f>
        <v>Servicio de educación informal</v>
      </c>
      <c r="AC220" s="164" t="str">
        <f t="shared" si="13"/>
        <v>002_Servicio de educación informal</v>
      </c>
      <c r="AD220" s="164" t="str">
        <f t="shared" si="14"/>
        <v>07-Servicio de formación en gestión del riesgo de incendios para el personal UAECOB 002_Servicio de educación informal</v>
      </c>
      <c r="AE220" s="163" t="str">
        <f t="shared" si="15"/>
        <v>O23011745032024025507002</v>
      </c>
      <c r="AF220" s="163" t="str">
        <f>IFERROR(VLOOKUP(AD220,TD!$J$66:$K$89,2,0)," ")</f>
        <v>PM/0131/0107/45030020255</v>
      </c>
      <c r="AG220" s="118" t="s">
        <v>385</v>
      </c>
      <c r="AH220" s="162" t="s">
        <v>193</v>
      </c>
      <c r="AI220" s="165" t="str">
        <f>CONCATENATE(PAA[[#This Row],[Id Interno]],"-",PAA[[#This Row],[tipo de Contrato (TH talento humano - B/S bienes y/o servicios)]],"-",S220,"-",T220,"-",PAA[[#This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21" spans="2:35" ht="126" x14ac:dyDescent="0.35">
      <c r="B221" s="23">
        <v>20260183</v>
      </c>
      <c r="C221" s="99" t="s">
        <v>472</v>
      </c>
      <c r="D221" s="23" t="s">
        <v>105</v>
      </c>
      <c r="E221" s="23" t="s">
        <v>363</v>
      </c>
      <c r="F221" s="159" t="s">
        <v>144</v>
      </c>
      <c r="G221" s="160" t="s">
        <v>373</v>
      </c>
      <c r="H221" s="161">
        <v>11</v>
      </c>
      <c r="I221" s="161">
        <v>0</v>
      </c>
      <c r="J221" s="127">
        <v>91520000</v>
      </c>
      <c r="K221" s="88" t="s">
        <v>398</v>
      </c>
      <c r="L221" s="159" t="s">
        <v>154</v>
      </c>
      <c r="M221" s="162" t="s">
        <v>448</v>
      </c>
      <c r="N221" s="23" t="s">
        <v>197</v>
      </c>
      <c r="O221" s="150" t="s">
        <v>925</v>
      </c>
      <c r="P221" s="159" t="s">
        <v>348</v>
      </c>
      <c r="Q221" s="53">
        <v>80111600</v>
      </c>
      <c r="R221" s="162" t="s">
        <v>208</v>
      </c>
      <c r="S221" s="162" t="str">
        <f>MID(PAA[[#This Row],[Meta Proyecto de Inversión]],1,4)</f>
        <v>8126</v>
      </c>
      <c r="T221" s="162" t="str">
        <f>MID(PAA[[#This Row],[Meta Proyecto de Inversión]],6,1)</f>
        <v>9</v>
      </c>
      <c r="U221" s="163" t="str">
        <f>IFERROR(VLOOKUP(N221,TD!$B$50:$F$54,2,0)," ")</f>
        <v>O230117</v>
      </c>
      <c r="V221" s="163" t="str">
        <f>IFERROR(VLOOKUP(N221,TD!$B$50:$F$54,3,0)," ")</f>
        <v>4599</v>
      </c>
      <c r="W221" s="163">
        <f>IFERROR(VLOOKUP(N221,TD!$B$50:$F$54,4,0)," ")</f>
        <v>20240207</v>
      </c>
      <c r="X221" s="162" t="s">
        <v>174</v>
      </c>
      <c r="Y221" s="163" t="str">
        <f>IFERROR(VLOOKUP(X221,TD!$J$51:$K$64,2,0)," ")</f>
        <v>Infraestructura física, mantenimiento y dotación (Sedes construidas, mantenidas reforzadas)</v>
      </c>
      <c r="Z221" s="164" t="str">
        <f t="shared" si="12"/>
        <v>08-Infraestructura física, mantenimiento y dotación (Sedes construidas, mantenidas reforzadas)</v>
      </c>
      <c r="AA221" s="167" t="s">
        <v>227</v>
      </c>
      <c r="AB221" s="163" t="str">
        <f>IFERROR(VLOOKUP(AA221,TD!$N$51:$O$66,2,0)," ")</f>
        <v>Sedes mantenidas</v>
      </c>
      <c r="AC221" s="164" t="str">
        <f t="shared" si="13"/>
        <v>016_Sedes mantenidas</v>
      </c>
      <c r="AD221" s="164" t="str">
        <f t="shared" si="14"/>
        <v>08-Infraestructura física, mantenimiento y dotación (Sedes construidas, mantenidas reforzadas) 016_Sedes mantenidas</v>
      </c>
      <c r="AE221" s="163" t="str">
        <f t="shared" si="15"/>
        <v>O23011745992024020708016</v>
      </c>
      <c r="AF221" s="163" t="str">
        <f>IFERROR(VLOOKUP(AD221,TD!$J$66:$K$89,2,0)," ")</f>
        <v>PM/0131/0108/45990160207</v>
      </c>
      <c r="AG221" s="118" t="s">
        <v>385</v>
      </c>
      <c r="AH221" s="162" t="s">
        <v>193</v>
      </c>
      <c r="AI221" s="165" t="str">
        <f>CONCATENATE(PAA[[#This Row],[Id Interno]],"-",PAA[[#This Row],[tipo de Contrato (TH talento humano - B/S bienes y/o servicios)]],"-",S221,"-",T221,"-",PAA[[#This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22" spans="2:35" ht="56" customHeight="1" x14ac:dyDescent="0.35">
      <c r="B222" s="23">
        <v>20260184</v>
      </c>
      <c r="C222" s="99" t="s">
        <v>635</v>
      </c>
      <c r="D222" s="23" t="s">
        <v>105</v>
      </c>
      <c r="E222" s="23" t="s">
        <v>363</v>
      </c>
      <c r="F222" s="159" t="s">
        <v>144</v>
      </c>
      <c r="G222" s="160" t="s">
        <v>373</v>
      </c>
      <c r="H222" s="161">
        <v>11</v>
      </c>
      <c r="I222" s="161">
        <v>0</v>
      </c>
      <c r="J222" s="127">
        <v>114400000</v>
      </c>
      <c r="K222" s="88" t="s">
        <v>398</v>
      </c>
      <c r="L222" s="159" t="s">
        <v>154</v>
      </c>
      <c r="M222" s="162" t="s">
        <v>448</v>
      </c>
      <c r="N222" s="23" t="s">
        <v>198</v>
      </c>
      <c r="O222" s="150" t="s">
        <v>926</v>
      </c>
      <c r="P222" s="159" t="s">
        <v>348</v>
      </c>
      <c r="Q222" s="53">
        <v>80111600</v>
      </c>
      <c r="R222" s="162" t="s">
        <v>218</v>
      </c>
      <c r="S222" s="162" t="str">
        <f>MID(PAA[[#This Row],[Meta Proyecto de Inversión]],1,4)</f>
        <v>8173</v>
      </c>
      <c r="T222" s="162" t="str">
        <f>MID(PAA[[#This Row],[Meta Proyecto de Inversión]],6,1)</f>
        <v>9</v>
      </c>
      <c r="U222" s="163" t="str">
        <f>IFERROR(VLOOKUP(N222,TD!$B$50:$F$54,2,0)," ")</f>
        <v>O230117</v>
      </c>
      <c r="V222" s="163" t="str">
        <f>IFERROR(VLOOKUP(N222,TD!$B$50:$F$54,3,0)," ")</f>
        <v>4503</v>
      </c>
      <c r="W222" s="163">
        <f>IFERROR(VLOOKUP(N222,TD!$B$50:$F$54,4,0)," ")</f>
        <v>20240255</v>
      </c>
      <c r="X222" s="162" t="s">
        <v>172</v>
      </c>
      <c r="Y222" s="163" t="str">
        <f>IFERROR(VLOOKUP(X222,TD!$J$51:$K$64,2,0)," ")</f>
        <v>Servicio de formación en gestión del riesgo de incendios para el personal UAECOB</v>
      </c>
      <c r="Z222" s="164" t="str">
        <f t="shared" si="12"/>
        <v>07-Servicio de formación en gestión del riesgo de incendios para el personal UAECOB</v>
      </c>
      <c r="AA222" s="167" t="s">
        <v>222</v>
      </c>
      <c r="AB222" s="163" t="str">
        <f>IFERROR(VLOOKUP(AA222,TD!$N$51:$O$66,2,0)," ")</f>
        <v>Servicio de educación informal</v>
      </c>
      <c r="AC222" s="164" t="str">
        <f t="shared" si="13"/>
        <v>002_Servicio de educación informal</v>
      </c>
      <c r="AD222" s="164" t="str">
        <f t="shared" si="14"/>
        <v>07-Servicio de formación en gestión del riesgo de incendios para el personal UAECOB 002_Servicio de educación informal</v>
      </c>
      <c r="AE222" s="163" t="str">
        <f t="shared" si="15"/>
        <v>O23011745032024025507002</v>
      </c>
      <c r="AF222" s="163" t="str">
        <f>IFERROR(VLOOKUP(AD222,TD!$J$66:$K$89,2,0)," ")</f>
        <v>PM/0131/0107/45030020255</v>
      </c>
      <c r="AG222" s="118" t="s">
        <v>385</v>
      </c>
      <c r="AH222" s="162" t="s">
        <v>193</v>
      </c>
      <c r="AI222" s="165" t="str">
        <f>CONCATENATE(PAA[[#This Row],[Id Interno]],"-",PAA[[#This Row],[tipo de Contrato (TH talento humano - B/S bienes y/o servicios)]],"-",S222,"-",T222,"-",PAA[[#This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23" spans="2:35" ht="70" x14ac:dyDescent="0.35">
      <c r="B223" s="23">
        <v>20260186</v>
      </c>
      <c r="C223" s="99" t="s">
        <v>473</v>
      </c>
      <c r="D223" s="23" t="s">
        <v>119</v>
      </c>
      <c r="E223" s="23" t="s">
        <v>402</v>
      </c>
      <c r="F223" s="159" t="s">
        <v>89</v>
      </c>
      <c r="G223" s="160" t="s">
        <v>374</v>
      </c>
      <c r="H223" s="161">
        <v>11</v>
      </c>
      <c r="I223" s="161">
        <v>0</v>
      </c>
      <c r="J223" s="127">
        <v>80000000</v>
      </c>
      <c r="K223" s="88" t="s">
        <v>398</v>
      </c>
      <c r="L223" s="159" t="s">
        <v>154</v>
      </c>
      <c r="M223" s="162" t="s">
        <v>448</v>
      </c>
      <c r="N223" s="23" t="s">
        <v>198</v>
      </c>
      <c r="O223" s="150" t="s">
        <v>926</v>
      </c>
      <c r="P223" s="159" t="s">
        <v>348</v>
      </c>
      <c r="Q223" s="53">
        <v>90121800</v>
      </c>
      <c r="R223" s="162" t="s">
        <v>218</v>
      </c>
      <c r="S223" s="162" t="str">
        <f>MID(PAA[[#This Row],[Meta Proyecto de Inversión]],1,4)</f>
        <v>8173</v>
      </c>
      <c r="T223" s="162" t="str">
        <f>MID(PAA[[#This Row],[Meta Proyecto de Inversión]],6,1)</f>
        <v>9</v>
      </c>
      <c r="U223" s="163" t="str">
        <f>IFERROR(VLOOKUP(N223,TD!$B$50:$F$54,2,0)," ")</f>
        <v>O230117</v>
      </c>
      <c r="V223" s="163" t="str">
        <f>IFERROR(VLOOKUP(N223,TD!$B$50:$F$54,3,0)," ")</f>
        <v>4503</v>
      </c>
      <c r="W223" s="163">
        <f>IFERROR(VLOOKUP(N223,TD!$B$50:$F$54,4,0)," ")</f>
        <v>20240255</v>
      </c>
      <c r="X223" s="162" t="s">
        <v>172</v>
      </c>
      <c r="Y223" s="163" t="str">
        <f>IFERROR(VLOOKUP(X223,TD!$J$51:$K$64,2,0)," ")</f>
        <v>Servicio de formación en gestión del riesgo de incendios para el personal UAECOB</v>
      </c>
      <c r="Z223" s="164" t="str">
        <f t="shared" si="12"/>
        <v>07-Servicio de formación en gestión del riesgo de incendios para el personal UAECOB</v>
      </c>
      <c r="AA223" s="167" t="s">
        <v>222</v>
      </c>
      <c r="AB223" s="163" t="str">
        <f>IFERROR(VLOOKUP(AA223,TD!$N$51:$O$66,2,0)," ")</f>
        <v>Servicio de educación informal</v>
      </c>
      <c r="AC223" s="164" t="str">
        <f t="shared" si="13"/>
        <v>002_Servicio de educación informal</v>
      </c>
      <c r="AD223" s="164" t="str">
        <f t="shared" si="14"/>
        <v>07-Servicio de formación en gestión del riesgo de incendios para el personal UAECOB 002_Servicio de educación informal</v>
      </c>
      <c r="AE223" s="163" t="str">
        <f t="shared" si="15"/>
        <v>O23011745032024025507002</v>
      </c>
      <c r="AF223" s="163" t="str">
        <f>IFERROR(VLOOKUP(AD223,TD!$J$66:$K$89,2,0)," ")</f>
        <v>PM/0131/0107/45030020255</v>
      </c>
      <c r="AG223" s="118" t="s">
        <v>562</v>
      </c>
      <c r="AH223" s="162" t="s">
        <v>193</v>
      </c>
      <c r="AI223" s="165" t="str">
        <f>CONCATENATE(PAA[[#This Row],[Id Interno]],"-",PAA[[#This Row],[tipo de Contrato (TH talento humano - B/S bienes y/o servicios)]],"-",S223,"-",T223,"-",PAA[[#This Row],[Objeto de la contratación]])</f>
        <v>20260186-BS-8173-9-SGH - Garantizar los recursos para movilización efectiva del personal operativo en la atención de emergencias</v>
      </c>
    </row>
    <row r="224" spans="2:35" ht="56" customHeight="1" x14ac:dyDescent="0.35">
      <c r="B224" s="23">
        <v>20260191</v>
      </c>
      <c r="C224" s="99" t="s">
        <v>475</v>
      </c>
      <c r="D224" s="23" t="s">
        <v>78</v>
      </c>
      <c r="E224" s="23" t="s">
        <v>402</v>
      </c>
      <c r="F224" s="159" t="s">
        <v>89</v>
      </c>
      <c r="G224" s="160" t="s">
        <v>375</v>
      </c>
      <c r="H224" s="161">
        <v>6</v>
      </c>
      <c r="I224" s="161">
        <v>0</v>
      </c>
      <c r="J224" s="127">
        <v>1200000000</v>
      </c>
      <c r="K224" s="88" t="s">
        <v>398</v>
      </c>
      <c r="L224" s="159" t="s">
        <v>154</v>
      </c>
      <c r="M224" s="162" t="s">
        <v>448</v>
      </c>
      <c r="N224" s="23" t="s">
        <v>198</v>
      </c>
      <c r="O224" s="150" t="s">
        <v>926</v>
      </c>
      <c r="P224" s="159" t="s">
        <v>348</v>
      </c>
      <c r="Q224" s="53" t="s">
        <v>479</v>
      </c>
      <c r="R224" s="162" t="s">
        <v>218</v>
      </c>
      <c r="S224" s="162" t="str">
        <f>MID(PAA[[#This Row],[Meta Proyecto de Inversión]],1,4)</f>
        <v>8173</v>
      </c>
      <c r="T224" s="162" t="str">
        <f>MID(PAA[[#This Row],[Meta Proyecto de Inversión]],6,1)</f>
        <v>9</v>
      </c>
      <c r="U224" s="163" t="str">
        <f>IFERROR(VLOOKUP(N224,TD!$B$50:$F$54,2,0)," ")</f>
        <v>O230117</v>
      </c>
      <c r="V224" s="163" t="str">
        <f>IFERROR(VLOOKUP(N224,TD!$B$50:$F$54,3,0)," ")</f>
        <v>4503</v>
      </c>
      <c r="W224" s="163">
        <f>IFERROR(VLOOKUP(N224,TD!$B$50:$F$54,4,0)," ")</f>
        <v>20240255</v>
      </c>
      <c r="X224" s="162" t="s">
        <v>172</v>
      </c>
      <c r="Y224" s="163" t="str">
        <f>IFERROR(VLOOKUP(X224,TD!$J$51:$K$64,2,0)," ")</f>
        <v>Servicio de formación en gestión del riesgo de incendios para el personal UAECOB</v>
      </c>
      <c r="Z224" s="164" t="str">
        <f t="shared" si="12"/>
        <v>07-Servicio de formación en gestión del riesgo de incendios para el personal UAECOB</v>
      </c>
      <c r="AA224" s="167" t="s">
        <v>222</v>
      </c>
      <c r="AB224" s="163" t="str">
        <f>IFERROR(VLOOKUP(AA224,TD!$N$51:$O$66,2,0)," ")</f>
        <v>Servicio de educación informal</v>
      </c>
      <c r="AC224" s="164" t="str">
        <f t="shared" si="13"/>
        <v>002_Servicio de educación informal</v>
      </c>
      <c r="AD224" s="164" t="str">
        <f t="shared" si="14"/>
        <v>07-Servicio de formación en gestión del riesgo de incendios para el personal UAECOB 002_Servicio de educación informal</v>
      </c>
      <c r="AE224" s="163" t="str">
        <f t="shared" si="15"/>
        <v>O23011745032024025507002</v>
      </c>
      <c r="AF224" s="163" t="str">
        <f>IFERROR(VLOOKUP(AD224,TD!$J$66:$K$89,2,0)," ")</f>
        <v>PM/0131/0107/45030020255</v>
      </c>
      <c r="AG224" s="118" t="s">
        <v>903</v>
      </c>
      <c r="AH224" s="162" t="s">
        <v>193</v>
      </c>
      <c r="AI224" s="165" t="str">
        <f>CONCATENATE(PAA[[#This Row],[Id Interno]],"-",PAA[[#This Row],[tipo de Contrato (TH talento humano - B/S bienes y/o servicios)]],"-",S224,"-",T224,"-",PAA[[#This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25" spans="2:35" ht="70" x14ac:dyDescent="0.35">
      <c r="B225" s="23">
        <v>20260192</v>
      </c>
      <c r="C225" s="99" t="s">
        <v>476</v>
      </c>
      <c r="D225" s="23" t="s">
        <v>92</v>
      </c>
      <c r="E225" s="23" t="s">
        <v>402</v>
      </c>
      <c r="F225" s="159" t="s">
        <v>101</v>
      </c>
      <c r="G225" s="160" t="s">
        <v>375</v>
      </c>
      <c r="H225" s="161">
        <v>4</v>
      </c>
      <c r="I225" s="161">
        <v>0</v>
      </c>
      <c r="J225" s="127">
        <v>40000000</v>
      </c>
      <c r="K225" s="88" t="s">
        <v>398</v>
      </c>
      <c r="L225" s="159" t="s">
        <v>154</v>
      </c>
      <c r="M225" s="162" t="s">
        <v>448</v>
      </c>
      <c r="N225" s="23" t="s">
        <v>198</v>
      </c>
      <c r="O225" s="150" t="s">
        <v>926</v>
      </c>
      <c r="P225" s="159" t="s">
        <v>348</v>
      </c>
      <c r="Q225" s="53">
        <v>55101510</v>
      </c>
      <c r="R225" s="162" t="s">
        <v>218</v>
      </c>
      <c r="S225" s="162" t="str">
        <f>MID(PAA[[#This Row],[Meta Proyecto de Inversión]],1,4)</f>
        <v>8173</v>
      </c>
      <c r="T225" s="162" t="str">
        <f>MID(PAA[[#This Row],[Meta Proyecto de Inversión]],6,1)</f>
        <v>9</v>
      </c>
      <c r="U225" s="163" t="str">
        <f>IFERROR(VLOOKUP(N225,TD!$B$50:$F$54,2,0)," ")</f>
        <v>O230117</v>
      </c>
      <c r="V225" s="163" t="str">
        <f>IFERROR(VLOOKUP(N225,TD!$B$50:$F$54,3,0)," ")</f>
        <v>4503</v>
      </c>
      <c r="W225" s="163">
        <f>IFERROR(VLOOKUP(N225,TD!$B$50:$F$54,4,0)," ")</f>
        <v>20240255</v>
      </c>
      <c r="X225" s="162" t="s">
        <v>172</v>
      </c>
      <c r="Y225" s="163" t="str">
        <f>IFERROR(VLOOKUP(X225,TD!$J$51:$K$64,2,0)," ")</f>
        <v>Servicio de formación en gestión del riesgo de incendios para el personal UAECOB</v>
      </c>
      <c r="Z225" s="164" t="str">
        <f t="shared" si="12"/>
        <v>07-Servicio de formación en gestión del riesgo de incendios para el personal UAECOB</v>
      </c>
      <c r="AA225" s="167" t="s">
        <v>222</v>
      </c>
      <c r="AB225" s="163" t="str">
        <f>IFERROR(VLOOKUP(AA225,TD!$N$51:$O$66,2,0)," ")</f>
        <v>Servicio de educación informal</v>
      </c>
      <c r="AC225" s="164" t="str">
        <f t="shared" si="13"/>
        <v>002_Servicio de educación informal</v>
      </c>
      <c r="AD225" s="164" t="str">
        <f t="shared" si="14"/>
        <v>07-Servicio de formación en gestión del riesgo de incendios para el personal UAECOB 002_Servicio de educación informal</v>
      </c>
      <c r="AE225" s="163" t="str">
        <f t="shared" si="15"/>
        <v>O23011745032024025507002</v>
      </c>
      <c r="AF225" s="163" t="str">
        <f>IFERROR(VLOOKUP(AD225,TD!$J$66:$K$89,2,0)," ")</f>
        <v>PM/0131/0107/45030020255</v>
      </c>
      <c r="AG225" s="118" t="s">
        <v>905</v>
      </c>
      <c r="AH225" s="162" t="s">
        <v>193</v>
      </c>
      <c r="AI225" s="165" t="str">
        <f>CONCATENATE(PAA[[#This Row],[Id Interno]],"-",PAA[[#This Row],[tipo de Contrato (TH talento humano - B/S bienes y/o servicios)]],"-",S225,"-",T225,"-",PAA[[#This Row],[Objeto de la contratación]])</f>
        <v>20260192-BS-8173-9-SGH- Adquisición de material bibliográfico de consulta para estudio y capacitación, que servirá como base de la biblioteca para la academia de la UAE Cuerpo Oficial de Bomberos de Bogotá</v>
      </c>
    </row>
    <row r="226" spans="2:35" ht="84" customHeight="1" x14ac:dyDescent="0.35">
      <c r="B226" s="23">
        <v>20260193</v>
      </c>
      <c r="C226" s="99" t="s">
        <v>638</v>
      </c>
      <c r="D226" s="23" t="s">
        <v>83</v>
      </c>
      <c r="E226" s="23" t="s">
        <v>402</v>
      </c>
      <c r="F226" s="159" t="s">
        <v>89</v>
      </c>
      <c r="G226" s="160" t="s">
        <v>375</v>
      </c>
      <c r="H226" s="161">
        <v>6</v>
      </c>
      <c r="I226" s="161">
        <v>0</v>
      </c>
      <c r="J226" s="127">
        <v>449000000</v>
      </c>
      <c r="K226" s="88" t="s">
        <v>398</v>
      </c>
      <c r="L226" s="159" t="s">
        <v>154</v>
      </c>
      <c r="M226" s="162" t="s">
        <v>448</v>
      </c>
      <c r="N226" s="23" t="s">
        <v>330</v>
      </c>
      <c r="O226" s="150" t="s">
        <v>925</v>
      </c>
      <c r="P226" s="159" t="s">
        <v>161</v>
      </c>
      <c r="Q226" s="53" t="s">
        <v>639</v>
      </c>
      <c r="R226" s="162" t="s">
        <v>331</v>
      </c>
      <c r="S226" s="162" t="str">
        <f>MID(PAA[[#This Row],[Meta Proyecto de Inversión]],1,4)</f>
        <v>No a</v>
      </c>
      <c r="T226" s="162" t="str">
        <f>MID(PAA[[#This Row],[Meta Proyecto de Inversión]],6,1)</f>
        <v>l</v>
      </c>
      <c r="U226" s="163" t="str">
        <f>IFERROR(VLOOKUP(N226,TD!$B$50:$F$54,2,0)," ")</f>
        <v>NA</v>
      </c>
      <c r="V226" s="163" t="str">
        <f>IFERROR(VLOOKUP(N226,TD!$B$50:$F$54,3,0)," ")</f>
        <v>NA</v>
      </c>
      <c r="W226" s="163" t="str">
        <f>IFERROR(VLOOKUP(N226,TD!$B$50:$F$54,4,0)," ")</f>
        <v>NA</v>
      </c>
      <c r="X226" s="162" t="s">
        <v>335</v>
      </c>
      <c r="Y226" s="163" t="str">
        <f>IFERROR(VLOOKUP(X226,TD!$J$51:$K$64,2,0)," ")</f>
        <v>N/A</v>
      </c>
      <c r="Z226" s="164" t="str">
        <f t="shared" si="12"/>
        <v>N/A-N/A</v>
      </c>
      <c r="AA226" s="167" t="s">
        <v>335</v>
      </c>
      <c r="AB226" s="163" t="str">
        <f>IFERROR(VLOOKUP(AA226,TD!$N$51:$O$66,2,0)," ")</f>
        <v>N/A</v>
      </c>
      <c r="AC226" s="164" t="str">
        <f t="shared" si="13"/>
        <v>N/A_N/A</v>
      </c>
      <c r="AD226" s="164" t="str">
        <f t="shared" si="14"/>
        <v>N/A-N/A N/A_N/A</v>
      </c>
      <c r="AE226" s="163" t="str">
        <f t="shared" si="15"/>
        <v>NANANAN/AN/A</v>
      </c>
      <c r="AF226" s="163" t="str">
        <f>IFERROR(VLOOKUP(AD226,TD!$J$66:$K$89,2,0)," ")</f>
        <v>N/A</v>
      </c>
      <c r="AG226" s="118" t="s">
        <v>332</v>
      </c>
      <c r="AH226" s="162" t="s">
        <v>193</v>
      </c>
      <c r="AI226" s="165" t="str">
        <f>CONCATENATE(PAA[[#This Row],[Id Interno]],"-",PAA[[#This Row],[tipo de Contrato (TH talento humano - B/S bienes y/o servicios)]],"-",S226,"-",T226,"-",PAA[[#This Row],[Objeto de la contratación]])</f>
        <v>20260193-BS-No a-l-SGH -Contratar la realización de los exámenes Médicos Ocupacionales para el personal de la UAE Cuerpo Oficial de Bomberos de Bogotá</v>
      </c>
    </row>
    <row r="227" spans="2:35" ht="56" customHeight="1" x14ac:dyDescent="0.35">
      <c r="B227" s="23">
        <v>20260194</v>
      </c>
      <c r="C227" s="99" t="s">
        <v>640</v>
      </c>
      <c r="D227" s="23" t="s">
        <v>105</v>
      </c>
      <c r="E227" s="23" t="s">
        <v>402</v>
      </c>
      <c r="F227" s="159" t="s">
        <v>89</v>
      </c>
      <c r="G227" s="160" t="s">
        <v>373</v>
      </c>
      <c r="H227" s="161">
        <v>10</v>
      </c>
      <c r="I227" s="161">
        <v>0</v>
      </c>
      <c r="J227" s="127">
        <v>1620000000</v>
      </c>
      <c r="K227" s="88" t="s">
        <v>398</v>
      </c>
      <c r="L227" s="159" t="s">
        <v>154</v>
      </c>
      <c r="M227" s="162" t="s">
        <v>448</v>
      </c>
      <c r="N227" s="23" t="s">
        <v>330</v>
      </c>
      <c r="O227" s="150" t="s">
        <v>925</v>
      </c>
      <c r="P227" s="159" t="s">
        <v>161</v>
      </c>
      <c r="Q227" s="53" t="s">
        <v>641</v>
      </c>
      <c r="R227" s="162" t="s">
        <v>331</v>
      </c>
      <c r="S227" s="162" t="str">
        <f>MID(PAA[[#This Row],[Meta Proyecto de Inversión]],1,4)</f>
        <v>No a</v>
      </c>
      <c r="T227" s="162" t="str">
        <f>MID(PAA[[#This Row],[Meta Proyecto de Inversión]],6,1)</f>
        <v>l</v>
      </c>
      <c r="U227" s="163" t="str">
        <f>IFERROR(VLOOKUP(N227,TD!$B$50:$F$54,2,0)," ")</f>
        <v>NA</v>
      </c>
      <c r="V227" s="163" t="str">
        <f>IFERROR(VLOOKUP(N227,TD!$B$50:$F$54,3,0)," ")</f>
        <v>NA</v>
      </c>
      <c r="W227" s="163" t="str">
        <f>IFERROR(VLOOKUP(N227,TD!$B$50:$F$54,4,0)," ")</f>
        <v>NA</v>
      </c>
      <c r="X227" s="162" t="s">
        <v>335</v>
      </c>
      <c r="Y227" s="163" t="str">
        <f>IFERROR(VLOOKUP(X227,TD!$J$51:$K$64,2,0)," ")</f>
        <v>N/A</v>
      </c>
      <c r="Z227" s="164" t="str">
        <f t="shared" si="12"/>
        <v>N/A-N/A</v>
      </c>
      <c r="AA227" s="167" t="s">
        <v>335</v>
      </c>
      <c r="AB227" s="163" t="str">
        <f>IFERROR(VLOOKUP(AA227,TD!$N$51:$O$66,2,0)," ")</f>
        <v>N/A</v>
      </c>
      <c r="AC227" s="164" t="str">
        <f t="shared" si="13"/>
        <v>N/A_N/A</v>
      </c>
      <c r="AD227" s="164" t="str">
        <f t="shared" si="14"/>
        <v>N/A-N/A N/A_N/A</v>
      </c>
      <c r="AE227" s="163" t="str">
        <f t="shared" si="15"/>
        <v>NANANAN/AN/A</v>
      </c>
      <c r="AF227" s="163" t="str">
        <f>IFERROR(VLOOKUP(AD227,TD!$J$66:$K$89,2,0)," ")</f>
        <v>N/A</v>
      </c>
      <c r="AG227" s="118" t="s">
        <v>332</v>
      </c>
      <c r="AH227" s="162" t="s">
        <v>193</v>
      </c>
      <c r="AI227" s="165" t="str">
        <f>CONCATENATE(PAA[[#This Row],[Id Interno]],"-",PAA[[#This Row],[tipo de Contrato (TH talento humano - B/S bienes y/o servicios)]],"-",S227,"-",T227,"-",PAA[[#This Row],[Objeto de la contratación]])</f>
        <v>20260194-BS-No a-l-SGH - Contratar la Prestación de Servicios para desarrollar el Plan de Bienestar de la UAE Cuerpo Oficial de Bomberos para la Vigencia 2026</v>
      </c>
    </row>
    <row r="228" spans="2:35" ht="70" customHeight="1" x14ac:dyDescent="0.35">
      <c r="B228" s="23">
        <v>20260195</v>
      </c>
      <c r="C228" s="99" t="s">
        <v>642</v>
      </c>
      <c r="D228" s="23" t="s">
        <v>83</v>
      </c>
      <c r="E228" s="23" t="s">
        <v>402</v>
      </c>
      <c r="F228" s="159" t="s">
        <v>101</v>
      </c>
      <c r="G228" s="160" t="s">
        <v>375</v>
      </c>
      <c r="H228" s="161">
        <v>4</v>
      </c>
      <c r="I228" s="161">
        <v>0</v>
      </c>
      <c r="J228" s="127">
        <v>62000000</v>
      </c>
      <c r="K228" s="88" t="s">
        <v>398</v>
      </c>
      <c r="L228" s="159" t="s">
        <v>154</v>
      </c>
      <c r="M228" s="162" t="s">
        <v>448</v>
      </c>
      <c r="N228" s="23" t="s">
        <v>330</v>
      </c>
      <c r="O228" s="150" t="s">
        <v>925</v>
      </c>
      <c r="P228" s="159" t="s">
        <v>161</v>
      </c>
      <c r="Q228" s="53" t="s">
        <v>643</v>
      </c>
      <c r="R228" s="162" t="s">
        <v>331</v>
      </c>
      <c r="S228" s="162" t="str">
        <f>MID(PAA[[#This Row],[Meta Proyecto de Inversión]],1,4)</f>
        <v>No a</v>
      </c>
      <c r="T228" s="162" t="str">
        <f>MID(PAA[[#This Row],[Meta Proyecto de Inversión]],6,1)</f>
        <v>l</v>
      </c>
      <c r="U228" s="163" t="str">
        <f>IFERROR(VLOOKUP(N228,TD!$B$50:$F$54,2,0)," ")</f>
        <v>NA</v>
      </c>
      <c r="V228" s="163" t="str">
        <f>IFERROR(VLOOKUP(N228,TD!$B$50:$F$54,3,0)," ")</f>
        <v>NA</v>
      </c>
      <c r="W228" s="163" t="str">
        <f>IFERROR(VLOOKUP(N228,TD!$B$50:$F$54,4,0)," ")</f>
        <v>NA</v>
      </c>
      <c r="X228" s="162" t="s">
        <v>335</v>
      </c>
      <c r="Y228" s="163" t="str">
        <f>IFERROR(VLOOKUP(X228,TD!$J$51:$K$64,2,0)," ")</f>
        <v>N/A</v>
      </c>
      <c r="Z228" s="164" t="str">
        <f t="shared" si="12"/>
        <v>N/A-N/A</v>
      </c>
      <c r="AA228" s="167" t="s">
        <v>335</v>
      </c>
      <c r="AB228" s="163" t="str">
        <f>IFERROR(VLOOKUP(AA228,TD!$N$51:$O$66,2,0)," ")</f>
        <v>N/A</v>
      </c>
      <c r="AC228" s="164" t="str">
        <f t="shared" si="13"/>
        <v>N/A_N/A</v>
      </c>
      <c r="AD228" s="164" t="str">
        <f t="shared" si="14"/>
        <v>N/A-N/A N/A_N/A</v>
      </c>
      <c r="AE228" s="163" t="str">
        <f t="shared" si="15"/>
        <v>NANANAN/AN/A</v>
      </c>
      <c r="AF228" s="163" t="str">
        <f>IFERROR(VLOOKUP(AD228,TD!$J$66:$K$89,2,0)," ")</f>
        <v>N/A</v>
      </c>
      <c r="AG228" s="118" t="s">
        <v>332</v>
      </c>
      <c r="AH228" s="162" t="s">
        <v>193</v>
      </c>
      <c r="AI228" s="165" t="str">
        <f>CONCATENATE(PAA[[#This Row],[Id Interno]],"-",PAA[[#This Row],[tipo de Contrato (TH talento humano - B/S bienes y/o servicios)]],"-",S228,"-",T228,"-",PAA[[#This Row],[Objeto de la contratación]])</f>
        <v>20260195-BS-No a-l-SGH - Adquirir elementos de protección personal para prevenir la aparición de enfermedades ocupacionales en el oido, del personal operativo de la UAE Cuerpo Oficial de Bomberos de Bogotá</v>
      </c>
    </row>
    <row r="229" spans="2:35" ht="56" customHeight="1" x14ac:dyDescent="0.35">
      <c r="B229" s="23">
        <v>20260196</v>
      </c>
      <c r="C229" s="99" t="s">
        <v>494</v>
      </c>
      <c r="D229" s="23" t="s">
        <v>78</v>
      </c>
      <c r="E229" s="23" t="s">
        <v>402</v>
      </c>
      <c r="F229" s="159" t="s">
        <v>136</v>
      </c>
      <c r="G229" s="160" t="s">
        <v>373</v>
      </c>
      <c r="H229" s="161">
        <v>12</v>
      </c>
      <c r="I229" s="161">
        <v>0</v>
      </c>
      <c r="J229" s="127">
        <v>6689476699</v>
      </c>
      <c r="K229" s="88" t="s">
        <v>397</v>
      </c>
      <c r="L229" s="159" t="s">
        <v>157</v>
      </c>
      <c r="M229" s="162" t="s">
        <v>495</v>
      </c>
      <c r="N229" s="23" t="s">
        <v>198</v>
      </c>
      <c r="O229" s="150" t="s">
        <v>926</v>
      </c>
      <c r="P229" s="159" t="s">
        <v>348</v>
      </c>
      <c r="Q229" s="53">
        <v>78181500</v>
      </c>
      <c r="R229" s="162" t="s">
        <v>213</v>
      </c>
      <c r="S229" s="162" t="str">
        <f>MID(PAA[[#This Row],[Meta Proyecto de Inversión]],1,4)</f>
        <v>8173</v>
      </c>
      <c r="T229" s="162" t="str">
        <f>MID(PAA[[#This Row],[Meta Proyecto de Inversión]],6,1)</f>
        <v>4</v>
      </c>
      <c r="U229" s="163" t="str">
        <f>IFERROR(VLOOKUP(N229,TD!$B$50:$F$54,2,0)," ")</f>
        <v>O230117</v>
      </c>
      <c r="V229" s="163" t="str">
        <f>IFERROR(VLOOKUP(N229,TD!$B$50:$F$54,3,0)," ")</f>
        <v>4503</v>
      </c>
      <c r="W229" s="163">
        <f>IFERROR(VLOOKUP(N229,TD!$B$50:$F$54,4,0)," ")</f>
        <v>20240255</v>
      </c>
      <c r="X229" s="162" t="s">
        <v>176</v>
      </c>
      <c r="Y229" s="163" t="str">
        <f>IFERROR(VLOOKUP(X229,TD!$J$51:$K$64,2,0)," ")</f>
        <v>Servicio de mantenimiento, dotación (HEA´s y equipo menor) y adquisición de vehiculos   especializados para la atención de emergencias.</v>
      </c>
      <c r="Z229" s="164" t="str">
        <f t="shared" si="12"/>
        <v>09-Servicio de mantenimiento, dotación (HEA´s y equipo menor) y adquisición de vehiculos   especializados para la atención de emergencias.</v>
      </c>
      <c r="AA229" s="167" t="s">
        <v>221</v>
      </c>
      <c r="AB229" s="163" t="str">
        <f>IFERROR(VLOOKUP(AA229,TD!$N$51:$O$66,2,0)," ")</f>
        <v>Servicio de atención a emergencias y desastres</v>
      </c>
      <c r="AC229" s="164" t="str">
        <f t="shared" si="13"/>
        <v>004_Servicio de atención a emergencias y desastres</v>
      </c>
      <c r="AD229" s="164" t="str">
        <f t="shared" si="14"/>
        <v>09-Servicio de mantenimiento, dotación (HEA´s y equipo menor) y adquisición de vehiculos   especializados para la atención de emergencias. 004_Servicio de atención a emergencias y desastres</v>
      </c>
      <c r="AE229" s="163" t="str">
        <f t="shared" si="15"/>
        <v>O23011745032024025509004</v>
      </c>
      <c r="AF229" s="163" t="str">
        <f>IFERROR(VLOOKUP(AD229,TD!$J$66:$K$89,2,0)," ")</f>
        <v>PM/0131/0109/45030040255</v>
      </c>
      <c r="AG229" s="118" t="s">
        <v>387</v>
      </c>
      <c r="AH229" s="162" t="s">
        <v>193</v>
      </c>
      <c r="AI229" s="165" t="str">
        <f>CONCATENATE(PAA[[#This Row],[Id Interno]],"-",PAA[[#This Row],[tipo de Contrato (TH talento humano - B/S bienes y/o servicios)]],"-",S229,"-",T229,"-",PAA[[#This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30" spans="2:35" ht="56" customHeight="1" x14ac:dyDescent="0.35">
      <c r="B230" s="23">
        <v>20260198</v>
      </c>
      <c r="C230" s="99" t="s">
        <v>803</v>
      </c>
      <c r="D230" s="23" t="s">
        <v>105</v>
      </c>
      <c r="E230" s="23" t="s">
        <v>363</v>
      </c>
      <c r="F230" s="159" t="s">
        <v>144</v>
      </c>
      <c r="G230" s="160" t="s">
        <v>373</v>
      </c>
      <c r="H230" s="161">
        <v>10</v>
      </c>
      <c r="I230" s="161">
        <v>0</v>
      </c>
      <c r="J230" s="127">
        <v>90000000</v>
      </c>
      <c r="K230" s="88" t="s">
        <v>398</v>
      </c>
      <c r="L230" s="159" t="s">
        <v>157</v>
      </c>
      <c r="M230" s="162" t="s">
        <v>495</v>
      </c>
      <c r="N230" s="23" t="s">
        <v>198</v>
      </c>
      <c r="O230" s="150" t="s">
        <v>926</v>
      </c>
      <c r="P230" s="159" t="s">
        <v>348</v>
      </c>
      <c r="Q230" s="53">
        <v>80111600</v>
      </c>
      <c r="R230" s="162" t="s">
        <v>213</v>
      </c>
      <c r="S230" s="162" t="str">
        <f>MID(PAA[[#This Row],[Meta Proyecto de Inversión]],1,4)</f>
        <v>8173</v>
      </c>
      <c r="T230" s="162" t="str">
        <f>MID(PAA[[#This Row],[Meta Proyecto de Inversión]],6,1)</f>
        <v>4</v>
      </c>
      <c r="U230" s="163" t="str">
        <f>IFERROR(VLOOKUP(N230,TD!$B$50:$F$54,2,0)," ")</f>
        <v>O230117</v>
      </c>
      <c r="V230" s="163" t="str">
        <f>IFERROR(VLOOKUP(N230,TD!$B$50:$F$54,3,0)," ")</f>
        <v>4503</v>
      </c>
      <c r="W230" s="163">
        <f>IFERROR(VLOOKUP(N230,TD!$B$50:$F$54,4,0)," ")</f>
        <v>20240255</v>
      </c>
      <c r="X230" s="162" t="s">
        <v>180</v>
      </c>
      <c r="Y230" s="163" t="str">
        <f>IFERROR(VLOOKUP(X230,TD!$J$51:$K$64,2,0)," ")</f>
        <v>Servicio de apoyo   logístico  en eventos operativos y/o emergencias.</v>
      </c>
      <c r="Z230" s="164" t="str">
        <f t="shared" si="12"/>
        <v>12-Servicio de apoyo   logístico  en eventos operativos y/o emergencias.</v>
      </c>
      <c r="AA230" s="162" t="s">
        <v>221</v>
      </c>
      <c r="AB230" s="163" t="str">
        <f>IFERROR(VLOOKUP(AA230,TD!$N$51:$O$66,2,0)," ")</f>
        <v>Servicio de atención a emergencias y desastres</v>
      </c>
      <c r="AC230" s="164" t="str">
        <f t="shared" si="13"/>
        <v>004_Servicio de atención a emergencias y desastres</v>
      </c>
      <c r="AD230" s="164" t="str">
        <f t="shared" si="14"/>
        <v>12-Servicio de apoyo   logístico  en eventos operativos y/o emergencias. 004_Servicio de atención a emergencias y desastres</v>
      </c>
      <c r="AE230" s="163" t="str">
        <f t="shared" si="15"/>
        <v>O23011745032024025512004</v>
      </c>
      <c r="AF230" s="163" t="str">
        <f>IFERROR(VLOOKUP(AD230,TD!$J$66:$K$89,2,0)," ")</f>
        <v>PM/0131/0112/45030040255</v>
      </c>
      <c r="AG230" s="118" t="s">
        <v>385</v>
      </c>
      <c r="AH230" s="162" t="s">
        <v>193</v>
      </c>
      <c r="AI230" s="165" t="str">
        <f>CONCATENATE(PAA[[#This Row],[Id Interno]],"-",PAA[[#This Row],[tipo de Contrato (TH talento humano - B/S bienes y/o servicios)]],"-",S230,"-",T230,"-",PAA[[#This Row],[Objeto de la contratación]])</f>
        <v>20260198-TH-8173-4-Prestación de servicios profesionales apoyando el control legal de los procesos y acciones, especialmente la gestión contractual para el desarrollo de las estrategías de la Subdirección Logística - SBLG</v>
      </c>
    </row>
    <row r="231" spans="2:35" ht="56" x14ac:dyDescent="0.35">
      <c r="B231" s="23">
        <v>20260199</v>
      </c>
      <c r="C231" s="99" t="s">
        <v>804</v>
      </c>
      <c r="D231" s="23" t="s">
        <v>105</v>
      </c>
      <c r="E231" s="23" t="s">
        <v>363</v>
      </c>
      <c r="F231" s="159" t="s">
        <v>144</v>
      </c>
      <c r="G231" s="160" t="s">
        <v>373</v>
      </c>
      <c r="H231" s="161">
        <v>5</v>
      </c>
      <c r="I231" s="161">
        <v>0</v>
      </c>
      <c r="J231" s="127">
        <v>32500000</v>
      </c>
      <c r="K231" s="88" t="s">
        <v>398</v>
      </c>
      <c r="L231" s="159" t="s">
        <v>157</v>
      </c>
      <c r="M231" s="162" t="s">
        <v>495</v>
      </c>
      <c r="N231" s="23" t="s">
        <v>198</v>
      </c>
      <c r="O231" s="150" t="s">
        <v>926</v>
      </c>
      <c r="P231" s="159" t="s">
        <v>348</v>
      </c>
      <c r="Q231" s="53">
        <v>80111600</v>
      </c>
      <c r="R231" s="162" t="s">
        <v>213</v>
      </c>
      <c r="S231" s="162" t="str">
        <f>MID(PAA[[#This Row],[Meta Proyecto de Inversión]],1,4)</f>
        <v>8173</v>
      </c>
      <c r="T231" s="162" t="str">
        <f>MID(PAA[[#This Row],[Meta Proyecto de Inversión]],6,1)</f>
        <v>4</v>
      </c>
      <c r="U231" s="163" t="str">
        <f>IFERROR(VLOOKUP(N231,TD!$B$50:$F$54,2,0)," ")</f>
        <v>O230117</v>
      </c>
      <c r="V231" s="163" t="str">
        <f>IFERROR(VLOOKUP(N231,TD!$B$50:$F$54,3,0)," ")</f>
        <v>4503</v>
      </c>
      <c r="W231" s="163">
        <f>IFERROR(VLOOKUP(N231,TD!$B$50:$F$54,4,0)," ")</f>
        <v>20240255</v>
      </c>
      <c r="X231" s="162" t="s">
        <v>180</v>
      </c>
      <c r="Y231" s="163" t="str">
        <f>IFERROR(VLOOKUP(X231,TD!$J$51:$K$64,2,0)," ")</f>
        <v>Servicio de apoyo   logístico  en eventos operativos y/o emergencias.</v>
      </c>
      <c r="Z231" s="164" t="str">
        <f t="shared" si="12"/>
        <v>12-Servicio de apoyo   logístico  en eventos operativos y/o emergencias.</v>
      </c>
      <c r="AA231" s="162" t="s">
        <v>221</v>
      </c>
      <c r="AB231" s="163" t="str">
        <f>IFERROR(VLOOKUP(AA231,TD!$N$51:$O$66,2,0)," ")</f>
        <v>Servicio de atención a emergencias y desastres</v>
      </c>
      <c r="AC231" s="164" t="str">
        <f t="shared" si="13"/>
        <v>004_Servicio de atención a emergencias y desastres</v>
      </c>
      <c r="AD231" s="164" t="str">
        <f t="shared" si="14"/>
        <v>12-Servicio de apoyo   logístico  en eventos operativos y/o emergencias. 004_Servicio de atención a emergencias y desastres</v>
      </c>
      <c r="AE231" s="163" t="str">
        <f t="shared" si="15"/>
        <v>O23011745032024025512004</v>
      </c>
      <c r="AF231" s="163" t="str">
        <f>IFERROR(VLOOKUP(AD231,TD!$J$66:$K$89,2,0)," ")</f>
        <v>PM/0131/0112/45030040255</v>
      </c>
      <c r="AG231" s="118" t="s">
        <v>385</v>
      </c>
      <c r="AH231" s="162" t="s">
        <v>193</v>
      </c>
      <c r="AI231" s="165" t="str">
        <f>CONCATENATE(PAA[[#This Row],[Id Interno]],"-",PAA[[#This Row],[tipo de Contrato (TH talento humano - B/S bienes y/o servicios)]],"-",S231,"-",T231,"-",PAA[[#This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32" spans="2:35" ht="56" customHeight="1" x14ac:dyDescent="0.35">
      <c r="B232" s="23">
        <v>20260200</v>
      </c>
      <c r="C232" s="99" t="s">
        <v>896</v>
      </c>
      <c r="D232" s="23" t="s">
        <v>105</v>
      </c>
      <c r="E232" s="23" t="s">
        <v>363</v>
      </c>
      <c r="F232" s="159" t="s">
        <v>144</v>
      </c>
      <c r="G232" s="160" t="s">
        <v>373</v>
      </c>
      <c r="H232" s="161">
        <v>8</v>
      </c>
      <c r="I232" s="161">
        <v>0</v>
      </c>
      <c r="J232" s="127">
        <v>64000000</v>
      </c>
      <c r="K232" s="88" t="s">
        <v>398</v>
      </c>
      <c r="L232" s="159" t="s">
        <v>157</v>
      </c>
      <c r="M232" s="162" t="s">
        <v>495</v>
      </c>
      <c r="N232" s="23" t="s">
        <v>198</v>
      </c>
      <c r="O232" s="150" t="s">
        <v>926</v>
      </c>
      <c r="P232" s="159" t="s">
        <v>348</v>
      </c>
      <c r="Q232" s="53">
        <v>80111600</v>
      </c>
      <c r="R232" s="162" t="s">
        <v>213</v>
      </c>
      <c r="S232" s="162" t="str">
        <f>MID(PAA[[#This Row],[Meta Proyecto de Inversión]],1,4)</f>
        <v>8173</v>
      </c>
      <c r="T232" s="162" t="str">
        <f>MID(PAA[[#This Row],[Meta Proyecto de Inversión]],6,1)</f>
        <v>4</v>
      </c>
      <c r="U232" s="163" t="str">
        <f>IFERROR(VLOOKUP(N232,TD!$B$50:$F$54,2,0)," ")</f>
        <v>O230117</v>
      </c>
      <c r="V232" s="163" t="str">
        <f>IFERROR(VLOOKUP(N232,TD!$B$50:$F$54,3,0)," ")</f>
        <v>4503</v>
      </c>
      <c r="W232" s="163">
        <f>IFERROR(VLOOKUP(N232,TD!$B$50:$F$54,4,0)," ")</f>
        <v>20240255</v>
      </c>
      <c r="X232" s="162" t="s">
        <v>180</v>
      </c>
      <c r="Y232" s="163" t="str">
        <f>IFERROR(VLOOKUP(X232,TD!$J$51:$K$64,2,0)," ")</f>
        <v>Servicio de apoyo   logístico  en eventos operativos y/o emergencias.</v>
      </c>
      <c r="Z232" s="164" t="str">
        <f t="shared" si="12"/>
        <v>12-Servicio de apoyo   logístico  en eventos operativos y/o emergencias.</v>
      </c>
      <c r="AA232" s="162" t="s">
        <v>221</v>
      </c>
      <c r="AB232" s="163" t="str">
        <f>IFERROR(VLOOKUP(AA232,TD!$N$51:$O$66,2,0)," ")</f>
        <v>Servicio de atención a emergencias y desastres</v>
      </c>
      <c r="AC232" s="164" t="str">
        <f t="shared" si="13"/>
        <v>004_Servicio de atención a emergencias y desastres</v>
      </c>
      <c r="AD232" s="164" t="str">
        <f t="shared" si="14"/>
        <v>12-Servicio de apoyo   logístico  en eventos operativos y/o emergencias. 004_Servicio de atención a emergencias y desastres</v>
      </c>
      <c r="AE232" s="163" t="str">
        <f t="shared" si="15"/>
        <v>O23011745032024025512004</v>
      </c>
      <c r="AF232" s="163" t="str">
        <f>IFERROR(VLOOKUP(AD232,TD!$J$66:$K$89,2,0)," ")</f>
        <v>PM/0131/0112/45030040255</v>
      </c>
      <c r="AG232" s="118" t="s">
        <v>385</v>
      </c>
      <c r="AH232" s="162" t="s">
        <v>193</v>
      </c>
      <c r="AI232" s="165" t="str">
        <f>CONCATENATE(PAA[[#This Row],[Id Interno]],"-",PAA[[#This Row],[tipo de Contrato (TH talento humano - B/S bienes y/o servicios)]],"-",S232,"-",T232,"-",PAA[[#This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33" spans="2:35" ht="56" customHeight="1" x14ac:dyDescent="0.35">
      <c r="B233" s="23">
        <v>20260201</v>
      </c>
      <c r="C233" s="99" t="s">
        <v>804</v>
      </c>
      <c r="D233" s="23" t="s">
        <v>105</v>
      </c>
      <c r="E233" s="23" t="s">
        <v>363</v>
      </c>
      <c r="F233" s="159" t="s">
        <v>144</v>
      </c>
      <c r="G233" s="160" t="s">
        <v>373</v>
      </c>
      <c r="H233" s="161">
        <v>5</v>
      </c>
      <c r="I233" s="161">
        <v>0</v>
      </c>
      <c r="J233" s="127">
        <v>35000000</v>
      </c>
      <c r="K233" s="88" t="s">
        <v>398</v>
      </c>
      <c r="L233" s="159" t="s">
        <v>157</v>
      </c>
      <c r="M233" s="162" t="s">
        <v>495</v>
      </c>
      <c r="N233" s="23" t="s">
        <v>198</v>
      </c>
      <c r="O233" s="150" t="s">
        <v>926</v>
      </c>
      <c r="P233" s="159" t="s">
        <v>348</v>
      </c>
      <c r="Q233" s="53">
        <v>80111600</v>
      </c>
      <c r="R233" s="162" t="s">
        <v>213</v>
      </c>
      <c r="S233" s="162" t="str">
        <f>MID(PAA[[#This Row],[Meta Proyecto de Inversión]],1,4)</f>
        <v>8173</v>
      </c>
      <c r="T233" s="162" t="str">
        <f>MID(PAA[[#This Row],[Meta Proyecto de Inversión]],6,1)</f>
        <v>4</v>
      </c>
      <c r="U233" s="163" t="str">
        <f>IFERROR(VLOOKUP(N233,TD!$B$50:$F$54,2,0)," ")</f>
        <v>O230117</v>
      </c>
      <c r="V233" s="163" t="str">
        <f>IFERROR(VLOOKUP(N233,TD!$B$50:$F$54,3,0)," ")</f>
        <v>4503</v>
      </c>
      <c r="W233" s="163">
        <f>IFERROR(VLOOKUP(N233,TD!$B$50:$F$54,4,0)," ")</f>
        <v>20240255</v>
      </c>
      <c r="X233" s="162" t="s">
        <v>180</v>
      </c>
      <c r="Y233" s="163" t="str">
        <f>IFERROR(VLOOKUP(X233,TD!$J$51:$K$64,2,0)," ")</f>
        <v>Servicio de apoyo   logístico  en eventos operativos y/o emergencias.</v>
      </c>
      <c r="Z233" s="164" t="str">
        <f t="shared" si="12"/>
        <v>12-Servicio de apoyo   logístico  en eventos operativos y/o emergencias.</v>
      </c>
      <c r="AA233" s="162" t="s">
        <v>221</v>
      </c>
      <c r="AB233" s="163" t="str">
        <f>IFERROR(VLOOKUP(AA233,TD!$N$51:$O$66,2,0)," ")</f>
        <v>Servicio de atención a emergencias y desastres</v>
      </c>
      <c r="AC233" s="164" t="str">
        <f t="shared" si="13"/>
        <v>004_Servicio de atención a emergencias y desastres</v>
      </c>
      <c r="AD233" s="164" t="str">
        <f t="shared" si="14"/>
        <v>12-Servicio de apoyo   logístico  en eventos operativos y/o emergencias. 004_Servicio de atención a emergencias y desastres</v>
      </c>
      <c r="AE233" s="163" t="str">
        <f t="shared" si="15"/>
        <v>O23011745032024025512004</v>
      </c>
      <c r="AF233" s="163" t="str">
        <f>IFERROR(VLOOKUP(AD233,TD!$J$66:$K$89,2,0)," ")</f>
        <v>PM/0131/0112/45030040255</v>
      </c>
      <c r="AG233" s="118" t="s">
        <v>385</v>
      </c>
      <c r="AH233" s="162" t="s">
        <v>193</v>
      </c>
      <c r="AI233" s="165" t="str">
        <f>CONCATENATE(PAA[[#This Row],[Id Interno]],"-",PAA[[#This Row],[tipo de Contrato (TH talento humano - B/S bienes y/o servicios)]],"-",S233,"-",T233,"-",PAA[[#This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34" spans="2:35" ht="70" x14ac:dyDescent="0.35">
      <c r="B234" s="23">
        <v>20260202</v>
      </c>
      <c r="C234" s="99" t="s">
        <v>805</v>
      </c>
      <c r="D234" s="23" t="s">
        <v>105</v>
      </c>
      <c r="E234" s="23" t="s">
        <v>363</v>
      </c>
      <c r="F234" s="159" t="s">
        <v>144</v>
      </c>
      <c r="G234" s="160" t="s">
        <v>373</v>
      </c>
      <c r="H234" s="161">
        <v>9</v>
      </c>
      <c r="I234" s="161">
        <v>0</v>
      </c>
      <c r="J234" s="127">
        <v>72000000</v>
      </c>
      <c r="K234" s="88" t="s">
        <v>398</v>
      </c>
      <c r="L234" s="159" t="s">
        <v>157</v>
      </c>
      <c r="M234" s="162" t="s">
        <v>495</v>
      </c>
      <c r="N234" s="23" t="s">
        <v>198</v>
      </c>
      <c r="O234" s="150" t="s">
        <v>926</v>
      </c>
      <c r="P234" s="159" t="s">
        <v>348</v>
      </c>
      <c r="Q234" s="53">
        <v>80111600</v>
      </c>
      <c r="R234" s="162" t="s">
        <v>213</v>
      </c>
      <c r="S234" s="162" t="str">
        <f>MID(PAA[[#This Row],[Meta Proyecto de Inversión]],1,4)</f>
        <v>8173</v>
      </c>
      <c r="T234" s="162" t="str">
        <f>MID(PAA[[#This Row],[Meta Proyecto de Inversión]],6,1)</f>
        <v>4</v>
      </c>
      <c r="U234" s="163" t="str">
        <f>IFERROR(VLOOKUP(N234,TD!$B$50:$F$54,2,0)," ")</f>
        <v>O230117</v>
      </c>
      <c r="V234" s="163" t="str">
        <f>IFERROR(VLOOKUP(N234,TD!$B$50:$F$54,3,0)," ")</f>
        <v>4503</v>
      </c>
      <c r="W234" s="163">
        <f>IFERROR(VLOOKUP(N234,TD!$B$50:$F$54,4,0)," ")</f>
        <v>20240255</v>
      </c>
      <c r="X234" s="162" t="s">
        <v>180</v>
      </c>
      <c r="Y234" s="163" t="str">
        <f>IFERROR(VLOOKUP(X234,TD!$J$51:$K$64,2,0)," ")</f>
        <v>Servicio de apoyo   logístico  en eventos operativos y/o emergencias.</v>
      </c>
      <c r="Z234" s="164" t="str">
        <f t="shared" si="12"/>
        <v>12-Servicio de apoyo   logístico  en eventos operativos y/o emergencias.</v>
      </c>
      <c r="AA234" s="162" t="s">
        <v>221</v>
      </c>
      <c r="AB234" s="163" t="str">
        <f>IFERROR(VLOOKUP(AA234,TD!$N$51:$O$66,2,0)," ")</f>
        <v>Servicio de atención a emergencias y desastres</v>
      </c>
      <c r="AC234" s="164" t="str">
        <f t="shared" si="13"/>
        <v>004_Servicio de atención a emergencias y desastres</v>
      </c>
      <c r="AD234" s="164" t="str">
        <f t="shared" si="14"/>
        <v>12-Servicio de apoyo   logístico  en eventos operativos y/o emergencias. 004_Servicio de atención a emergencias y desastres</v>
      </c>
      <c r="AE234" s="163" t="str">
        <f t="shared" si="15"/>
        <v>O23011745032024025512004</v>
      </c>
      <c r="AF234" s="163" t="str">
        <f>IFERROR(VLOOKUP(AD234,TD!$J$66:$K$89,2,0)," ")</f>
        <v>PM/0131/0112/45030040255</v>
      </c>
      <c r="AG234" s="118" t="s">
        <v>385</v>
      </c>
      <c r="AH234" s="162" t="s">
        <v>193</v>
      </c>
      <c r="AI234" s="165" t="str">
        <f>CONCATENATE(PAA[[#This Row],[Id Interno]],"-",PAA[[#This Row],[tipo de Contrato (TH talento humano - B/S bienes y/o servicios)]],"-",S234,"-",T234,"-",PAA[[#This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35" spans="2:35" ht="56" customHeight="1" x14ac:dyDescent="0.35">
      <c r="B235" s="23">
        <v>20260203</v>
      </c>
      <c r="C235" s="99" t="s">
        <v>920</v>
      </c>
      <c r="D235" s="23" t="s">
        <v>105</v>
      </c>
      <c r="E235" s="23" t="s">
        <v>363</v>
      </c>
      <c r="F235" s="159" t="s">
        <v>144</v>
      </c>
      <c r="G235" s="160" t="s">
        <v>373</v>
      </c>
      <c r="H235" s="161">
        <v>9</v>
      </c>
      <c r="I235" s="161">
        <v>0</v>
      </c>
      <c r="J235" s="127">
        <v>45000000</v>
      </c>
      <c r="K235" s="88" t="s">
        <v>398</v>
      </c>
      <c r="L235" s="159" t="s">
        <v>157</v>
      </c>
      <c r="M235" s="162" t="s">
        <v>495</v>
      </c>
      <c r="N235" s="23" t="s">
        <v>198</v>
      </c>
      <c r="O235" s="150" t="s">
        <v>926</v>
      </c>
      <c r="P235" s="159" t="s">
        <v>348</v>
      </c>
      <c r="Q235" s="53">
        <v>80111600</v>
      </c>
      <c r="R235" s="162" t="s">
        <v>213</v>
      </c>
      <c r="S235" s="162" t="str">
        <f>MID(PAA[[#This Row],[Meta Proyecto de Inversión]],1,4)</f>
        <v>8173</v>
      </c>
      <c r="T235" s="162" t="str">
        <f>MID(PAA[[#This Row],[Meta Proyecto de Inversión]],6,1)</f>
        <v>4</v>
      </c>
      <c r="U235" s="163" t="str">
        <f>IFERROR(VLOOKUP(N235,TD!$B$50:$F$54,2,0)," ")</f>
        <v>O230117</v>
      </c>
      <c r="V235" s="163" t="str">
        <f>IFERROR(VLOOKUP(N235,TD!$B$50:$F$54,3,0)," ")</f>
        <v>4503</v>
      </c>
      <c r="W235" s="163">
        <f>IFERROR(VLOOKUP(N235,TD!$B$50:$F$54,4,0)," ")</f>
        <v>20240255</v>
      </c>
      <c r="X235" s="162" t="s">
        <v>180</v>
      </c>
      <c r="Y235" s="163" t="str">
        <f>IFERROR(VLOOKUP(X235,TD!$J$51:$K$64,2,0)," ")</f>
        <v>Servicio de apoyo   logístico  en eventos operativos y/o emergencias.</v>
      </c>
      <c r="Z235" s="164" t="str">
        <f t="shared" si="12"/>
        <v>12-Servicio de apoyo   logístico  en eventos operativos y/o emergencias.</v>
      </c>
      <c r="AA235" s="162" t="s">
        <v>221</v>
      </c>
      <c r="AB235" s="163" t="str">
        <f>IFERROR(VLOOKUP(AA235,TD!$N$51:$O$66,2,0)," ")</f>
        <v>Servicio de atención a emergencias y desastres</v>
      </c>
      <c r="AC235" s="164" t="str">
        <f t="shared" si="13"/>
        <v>004_Servicio de atención a emergencias y desastres</v>
      </c>
      <c r="AD235" s="164" t="str">
        <f t="shared" si="14"/>
        <v>12-Servicio de apoyo   logístico  en eventos operativos y/o emergencias. 004_Servicio de atención a emergencias y desastres</v>
      </c>
      <c r="AE235" s="163" t="str">
        <f t="shared" si="15"/>
        <v>O23011745032024025512004</v>
      </c>
      <c r="AF235" s="163" t="str">
        <f>IFERROR(VLOOKUP(AD235,TD!$J$66:$K$89,2,0)," ")</f>
        <v>PM/0131/0112/45030040255</v>
      </c>
      <c r="AG235" s="118" t="s">
        <v>385</v>
      </c>
      <c r="AH235" s="162" t="s">
        <v>193</v>
      </c>
      <c r="AI235" s="165" t="str">
        <f>CONCATENATE(PAA[[#This Row],[Id Interno]],"-",PAA[[#This Row],[tipo de Contrato (TH talento humano - B/S bienes y/o servicios)]],"-",S235,"-",T235,"-",PAA[[#This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36" spans="2:35" ht="56" customHeight="1" x14ac:dyDescent="0.35">
      <c r="B236" s="23">
        <v>20260204</v>
      </c>
      <c r="C236" s="99" t="s">
        <v>806</v>
      </c>
      <c r="D236" s="23" t="s">
        <v>105</v>
      </c>
      <c r="E236" s="23" t="s">
        <v>363</v>
      </c>
      <c r="F236" s="159" t="s">
        <v>144</v>
      </c>
      <c r="G236" s="160" t="s">
        <v>373</v>
      </c>
      <c r="H236" s="161">
        <v>11</v>
      </c>
      <c r="I236" s="161">
        <v>0</v>
      </c>
      <c r="J236" s="127">
        <v>120917000</v>
      </c>
      <c r="K236" s="88" t="s">
        <v>398</v>
      </c>
      <c r="L236" s="159" t="s">
        <v>157</v>
      </c>
      <c r="M236" s="162" t="s">
        <v>495</v>
      </c>
      <c r="N236" s="23" t="s">
        <v>198</v>
      </c>
      <c r="O236" s="150" t="s">
        <v>926</v>
      </c>
      <c r="P236" s="159" t="s">
        <v>348</v>
      </c>
      <c r="Q236" s="53">
        <v>80111600</v>
      </c>
      <c r="R236" s="162" t="s">
        <v>213</v>
      </c>
      <c r="S236" s="162" t="str">
        <f>MID(PAA[[#This Row],[Meta Proyecto de Inversión]],1,4)</f>
        <v>8173</v>
      </c>
      <c r="T236" s="162" t="str">
        <f>MID(PAA[[#This Row],[Meta Proyecto de Inversión]],6,1)</f>
        <v>4</v>
      </c>
      <c r="U236" s="163" t="str">
        <f>IFERROR(VLOOKUP(N236,TD!$B$50:$F$54,2,0)," ")</f>
        <v>O230117</v>
      </c>
      <c r="V236" s="163" t="str">
        <f>IFERROR(VLOOKUP(N236,TD!$B$50:$F$54,3,0)," ")</f>
        <v>4503</v>
      </c>
      <c r="W236" s="163">
        <f>IFERROR(VLOOKUP(N236,TD!$B$50:$F$54,4,0)," ")</f>
        <v>20240255</v>
      </c>
      <c r="X236" s="162" t="s">
        <v>180</v>
      </c>
      <c r="Y236" s="163" t="str">
        <f>IFERROR(VLOOKUP(X236,TD!$J$51:$K$64,2,0)," ")</f>
        <v>Servicio de apoyo   logístico  en eventos operativos y/o emergencias.</v>
      </c>
      <c r="Z236" s="164" t="str">
        <f t="shared" si="12"/>
        <v>12-Servicio de apoyo   logístico  en eventos operativos y/o emergencias.</v>
      </c>
      <c r="AA236" s="162" t="s">
        <v>221</v>
      </c>
      <c r="AB236" s="163" t="str">
        <f>IFERROR(VLOOKUP(AA236,TD!$N$51:$O$66,2,0)," ")</f>
        <v>Servicio de atención a emergencias y desastres</v>
      </c>
      <c r="AC236" s="164" t="str">
        <f t="shared" si="13"/>
        <v>004_Servicio de atención a emergencias y desastres</v>
      </c>
      <c r="AD236" s="164" t="str">
        <f t="shared" si="14"/>
        <v>12-Servicio de apoyo   logístico  en eventos operativos y/o emergencias. 004_Servicio de atención a emergencias y desastres</v>
      </c>
      <c r="AE236" s="163" t="str">
        <f t="shared" si="15"/>
        <v>O23011745032024025512004</v>
      </c>
      <c r="AF236" s="163" t="str">
        <f>IFERROR(VLOOKUP(AD236,TD!$J$66:$K$89,2,0)," ")</f>
        <v>PM/0131/0112/45030040255</v>
      </c>
      <c r="AG236" s="118" t="s">
        <v>385</v>
      </c>
      <c r="AH236" s="162" t="s">
        <v>193</v>
      </c>
      <c r="AI236" s="165" t="str">
        <f>CONCATENATE(PAA[[#This Row],[Id Interno]],"-",PAA[[#This Row],[tipo de Contrato (TH talento humano - B/S bienes y/o servicios)]],"-",S236,"-",T236,"-",PAA[[#This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37" spans="2:35" ht="56" x14ac:dyDescent="0.35">
      <c r="B237" s="23">
        <v>20260205</v>
      </c>
      <c r="C237" s="99" t="s">
        <v>644</v>
      </c>
      <c r="D237" s="23" t="s">
        <v>105</v>
      </c>
      <c r="E237" s="23" t="s">
        <v>363</v>
      </c>
      <c r="F237" s="159" t="s">
        <v>144</v>
      </c>
      <c r="G237" s="160" t="s">
        <v>373</v>
      </c>
      <c r="H237" s="161">
        <v>9</v>
      </c>
      <c r="I237" s="161">
        <v>0</v>
      </c>
      <c r="J237" s="127">
        <v>40500000</v>
      </c>
      <c r="K237" s="88" t="s">
        <v>398</v>
      </c>
      <c r="L237" s="159" t="s">
        <v>157</v>
      </c>
      <c r="M237" s="162" t="s">
        <v>495</v>
      </c>
      <c r="N237" s="23" t="s">
        <v>198</v>
      </c>
      <c r="O237" s="150" t="s">
        <v>926</v>
      </c>
      <c r="P237" s="159" t="s">
        <v>348</v>
      </c>
      <c r="Q237" s="53">
        <v>80111600</v>
      </c>
      <c r="R237" s="162" t="s">
        <v>213</v>
      </c>
      <c r="S237" s="162" t="str">
        <f>MID(PAA[[#This Row],[Meta Proyecto de Inversión]],1,4)</f>
        <v>8173</v>
      </c>
      <c r="T237" s="162" t="str">
        <f>MID(PAA[[#This Row],[Meta Proyecto de Inversión]],6,1)</f>
        <v>4</v>
      </c>
      <c r="U237" s="163" t="str">
        <f>IFERROR(VLOOKUP(N237,TD!$B$50:$F$54,2,0)," ")</f>
        <v>O230117</v>
      </c>
      <c r="V237" s="163" t="str">
        <f>IFERROR(VLOOKUP(N237,TD!$B$50:$F$54,3,0)," ")</f>
        <v>4503</v>
      </c>
      <c r="W237" s="163">
        <f>IFERROR(VLOOKUP(N237,TD!$B$50:$F$54,4,0)," ")</f>
        <v>20240255</v>
      </c>
      <c r="X237" s="162" t="s">
        <v>180</v>
      </c>
      <c r="Y237" s="163" t="str">
        <f>IFERROR(VLOOKUP(X237,TD!$J$51:$K$64,2,0)," ")</f>
        <v>Servicio de apoyo   logístico  en eventos operativos y/o emergencias.</v>
      </c>
      <c r="Z237" s="164" t="str">
        <f t="shared" si="12"/>
        <v>12-Servicio de apoyo   logístico  en eventos operativos y/o emergencias.</v>
      </c>
      <c r="AA237" s="162" t="s">
        <v>221</v>
      </c>
      <c r="AB237" s="163" t="str">
        <f>IFERROR(VLOOKUP(AA237,TD!$N$51:$O$66,2,0)," ")</f>
        <v>Servicio de atención a emergencias y desastres</v>
      </c>
      <c r="AC237" s="164" t="str">
        <f t="shared" si="13"/>
        <v>004_Servicio de atención a emergencias y desastres</v>
      </c>
      <c r="AD237" s="164" t="str">
        <f t="shared" si="14"/>
        <v>12-Servicio de apoyo   logístico  en eventos operativos y/o emergencias. 004_Servicio de atención a emergencias y desastres</v>
      </c>
      <c r="AE237" s="163" t="str">
        <f t="shared" si="15"/>
        <v>O23011745032024025512004</v>
      </c>
      <c r="AF237" s="163" t="str">
        <f>IFERROR(VLOOKUP(AD237,TD!$J$66:$K$89,2,0)," ")</f>
        <v>PM/0131/0112/45030040255</v>
      </c>
      <c r="AG237" s="118" t="s">
        <v>385</v>
      </c>
      <c r="AH237" s="162" t="s">
        <v>193</v>
      </c>
      <c r="AI237" s="165" t="str">
        <f>CONCATENATE(PAA[[#This Row],[Id Interno]],"-",PAA[[#This Row],[tipo de Contrato (TH talento humano - B/S bienes y/o servicios)]],"-",S237,"-",T237,"-",PAA[[#This Row],[Objeto de la contratación]])</f>
        <v>20260205-TH-8173-4-Prestar los servicios profesionales para la gestión, financiera de los proyectos y procesos para el fortalecimiento de las estrategías de la Subdirección Logística - SBLG.</v>
      </c>
    </row>
    <row r="238" spans="2:35" ht="84" customHeight="1" x14ac:dyDescent="0.3">
      <c r="B238" s="23">
        <v>20260206</v>
      </c>
      <c r="C238" s="145" t="s">
        <v>921</v>
      </c>
      <c r="D238" s="23" t="s">
        <v>105</v>
      </c>
      <c r="E238" s="23" t="s">
        <v>363</v>
      </c>
      <c r="F238" s="159" t="s">
        <v>144</v>
      </c>
      <c r="G238" s="160" t="s">
        <v>373</v>
      </c>
      <c r="H238" s="161">
        <v>7</v>
      </c>
      <c r="I238" s="161">
        <v>15</v>
      </c>
      <c r="J238" s="127">
        <v>45000000</v>
      </c>
      <c r="K238" s="88" t="s">
        <v>398</v>
      </c>
      <c r="L238" s="159" t="s">
        <v>157</v>
      </c>
      <c r="M238" s="162" t="s">
        <v>495</v>
      </c>
      <c r="N238" s="23" t="s">
        <v>198</v>
      </c>
      <c r="O238" s="150" t="s">
        <v>926</v>
      </c>
      <c r="P238" s="159" t="s">
        <v>348</v>
      </c>
      <c r="Q238" s="53">
        <v>80111600</v>
      </c>
      <c r="R238" s="162" t="s">
        <v>213</v>
      </c>
      <c r="S238" s="162" t="str">
        <f>MID(PAA[[#This Row],[Meta Proyecto de Inversión]],1,4)</f>
        <v>8173</v>
      </c>
      <c r="T238" s="162" t="str">
        <f>MID(PAA[[#This Row],[Meta Proyecto de Inversión]],6,1)</f>
        <v>4</v>
      </c>
      <c r="U238" s="163" t="str">
        <f>IFERROR(VLOOKUP(N238,TD!$B$50:$F$54,2,0)," ")</f>
        <v>O230117</v>
      </c>
      <c r="V238" s="163" t="str">
        <f>IFERROR(VLOOKUP(N238,TD!$B$50:$F$54,3,0)," ")</f>
        <v>4503</v>
      </c>
      <c r="W238" s="163">
        <f>IFERROR(VLOOKUP(N238,TD!$B$50:$F$54,4,0)," ")</f>
        <v>20240255</v>
      </c>
      <c r="X238" s="162" t="s">
        <v>180</v>
      </c>
      <c r="Y238" s="163" t="str">
        <f>IFERROR(VLOOKUP(X238,TD!$J$51:$K$64,2,0)," ")</f>
        <v>Servicio de apoyo   logístico  en eventos operativos y/o emergencias.</v>
      </c>
      <c r="Z238" s="164" t="str">
        <f t="shared" si="12"/>
        <v>12-Servicio de apoyo   logístico  en eventos operativos y/o emergencias.</v>
      </c>
      <c r="AA238" s="162" t="s">
        <v>221</v>
      </c>
      <c r="AB238" s="163" t="str">
        <f>IFERROR(VLOOKUP(AA238,TD!$N$51:$O$66,2,0)," ")</f>
        <v>Servicio de atención a emergencias y desastres</v>
      </c>
      <c r="AC238" s="164" t="str">
        <f t="shared" si="13"/>
        <v>004_Servicio de atención a emergencias y desastres</v>
      </c>
      <c r="AD238" s="164" t="str">
        <f t="shared" si="14"/>
        <v>12-Servicio de apoyo   logístico  en eventos operativos y/o emergencias. 004_Servicio de atención a emergencias y desastres</v>
      </c>
      <c r="AE238" s="163" t="str">
        <f t="shared" si="15"/>
        <v>O23011745032024025512004</v>
      </c>
      <c r="AF238" s="163" t="str">
        <f>IFERROR(VLOOKUP(AD238,TD!$J$66:$K$89,2,0)," ")</f>
        <v>PM/0131/0112/45030040255</v>
      </c>
      <c r="AG238" s="118" t="s">
        <v>385</v>
      </c>
      <c r="AH238" s="162" t="s">
        <v>193</v>
      </c>
      <c r="AI238" s="165" t="str">
        <f>CONCATENATE(PAA[[#This Row],[Id Interno]],"-",PAA[[#This Row],[tipo de Contrato (TH talento humano - B/S bienes y/o servicios)]],"-",S238,"-",T238,"-",PAA[[#This Row],[Objeto de la contratación]])</f>
        <v>20260206-TH-8173-4-Prestación de servicios profesionales para apoyar la gestión financiera y presupuestal de los proyectos, planes y estrategias a cargo de la Subdirección Logística - SBLG</v>
      </c>
    </row>
    <row r="239" spans="2:35" ht="84" customHeight="1" x14ac:dyDescent="0.35">
      <c r="B239" s="23">
        <v>20260207</v>
      </c>
      <c r="C239" s="99" t="s">
        <v>645</v>
      </c>
      <c r="D239" s="23" t="s">
        <v>105</v>
      </c>
      <c r="E239" s="23" t="s">
        <v>363</v>
      </c>
      <c r="F239" s="159" t="s">
        <v>145</v>
      </c>
      <c r="G239" s="160" t="s">
        <v>373</v>
      </c>
      <c r="H239" s="161">
        <v>7</v>
      </c>
      <c r="I239" s="161">
        <v>15</v>
      </c>
      <c r="J239" s="127">
        <v>30000000</v>
      </c>
      <c r="K239" s="88" t="s">
        <v>398</v>
      </c>
      <c r="L239" s="159" t="s">
        <v>157</v>
      </c>
      <c r="M239" s="162" t="s">
        <v>495</v>
      </c>
      <c r="N239" s="23" t="s">
        <v>198</v>
      </c>
      <c r="O239" s="150" t="s">
        <v>926</v>
      </c>
      <c r="P239" s="159" t="s">
        <v>348</v>
      </c>
      <c r="Q239" s="53">
        <v>80111600</v>
      </c>
      <c r="R239" s="162" t="s">
        <v>213</v>
      </c>
      <c r="S239" s="162" t="str">
        <f>MID(PAA[[#This Row],[Meta Proyecto de Inversión]],1,4)</f>
        <v>8173</v>
      </c>
      <c r="T239" s="162" t="str">
        <f>MID(PAA[[#This Row],[Meta Proyecto de Inversión]],6,1)</f>
        <v>4</v>
      </c>
      <c r="U239" s="163" t="str">
        <f>IFERROR(VLOOKUP(N239,TD!$B$50:$F$54,2,0)," ")</f>
        <v>O230117</v>
      </c>
      <c r="V239" s="163" t="str">
        <f>IFERROR(VLOOKUP(N239,TD!$B$50:$F$54,3,0)," ")</f>
        <v>4503</v>
      </c>
      <c r="W239" s="163">
        <f>IFERROR(VLOOKUP(N239,TD!$B$50:$F$54,4,0)," ")</f>
        <v>20240255</v>
      </c>
      <c r="X239" s="162" t="s">
        <v>180</v>
      </c>
      <c r="Y239" s="163" t="str">
        <f>IFERROR(VLOOKUP(X239,TD!$J$51:$K$64,2,0)," ")</f>
        <v>Servicio de apoyo   logístico  en eventos operativos y/o emergencias.</v>
      </c>
      <c r="Z239" s="164" t="str">
        <f t="shared" si="12"/>
        <v>12-Servicio de apoyo   logístico  en eventos operativos y/o emergencias.</v>
      </c>
      <c r="AA239" s="167" t="s">
        <v>221</v>
      </c>
      <c r="AB239" s="163" t="str">
        <f>IFERROR(VLOOKUP(AA239,TD!$N$51:$O$66,2,0)," ")</f>
        <v>Servicio de atención a emergencias y desastres</v>
      </c>
      <c r="AC239" s="164" t="str">
        <f t="shared" si="13"/>
        <v>004_Servicio de atención a emergencias y desastres</v>
      </c>
      <c r="AD239" s="164" t="str">
        <f t="shared" si="14"/>
        <v>12-Servicio de apoyo   logístico  en eventos operativos y/o emergencias. 004_Servicio de atención a emergencias y desastres</v>
      </c>
      <c r="AE239" s="163" t="str">
        <f t="shared" si="15"/>
        <v>O23011745032024025512004</v>
      </c>
      <c r="AF239" s="163" t="str">
        <f>IFERROR(VLOOKUP(AD239,TD!$J$66:$K$89,2,0)," ")</f>
        <v>PM/0131/0112/45030040255</v>
      </c>
      <c r="AG239" s="118" t="s">
        <v>385</v>
      </c>
      <c r="AH239" s="162" t="s">
        <v>193</v>
      </c>
      <c r="AI239" s="165" t="str">
        <f>CONCATENATE(PAA[[#This Row],[Id Interno]],"-",PAA[[#This Row],[tipo de Contrato (TH talento humano - B/S bienes y/o servicios)]],"-",S239,"-",T239,"-",PAA[[#This Row],[Objeto de la contratación]])</f>
        <v>20260207-TH-8173-4-Prestar servicios de apoyo técnico en asuntos administrativos, financieros, documentales y emisión de informes para el desarrollo de las estrategías de la Subdireccion Logística-SBLG</v>
      </c>
    </row>
    <row r="240" spans="2:35" ht="56" x14ac:dyDescent="0.35">
      <c r="B240" s="23">
        <v>20260208</v>
      </c>
      <c r="C240" s="99" t="s">
        <v>807</v>
      </c>
      <c r="D240" s="23" t="s">
        <v>105</v>
      </c>
      <c r="E240" s="23" t="s">
        <v>363</v>
      </c>
      <c r="F240" s="159" t="s">
        <v>144</v>
      </c>
      <c r="G240" s="160" t="s">
        <v>373</v>
      </c>
      <c r="H240" s="161">
        <v>10</v>
      </c>
      <c r="I240" s="161">
        <v>0</v>
      </c>
      <c r="J240" s="127">
        <v>68000000</v>
      </c>
      <c r="K240" s="88" t="s">
        <v>398</v>
      </c>
      <c r="L240" s="159" t="s">
        <v>157</v>
      </c>
      <c r="M240" s="162" t="s">
        <v>495</v>
      </c>
      <c r="N240" s="23" t="s">
        <v>198</v>
      </c>
      <c r="O240" s="150" t="s">
        <v>926</v>
      </c>
      <c r="P240" s="159" t="s">
        <v>348</v>
      </c>
      <c r="Q240" s="53">
        <v>80111600</v>
      </c>
      <c r="R240" s="162" t="s">
        <v>213</v>
      </c>
      <c r="S240" s="162" t="str">
        <f>MID(PAA[[#This Row],[Meta Proyecto de Inversión]],1,4)</f>
        <v>8173</v>
      </c>
      <c r="T240" s="162" t="str">
        <f>MID(PAA[[#This Row],[Meta Proyecto de Inversión]],6,1)</f>
        <v>4</v>
      </c>
      <c r="U240" s="163" t="str">
        <f>IFERROR(VLOOKUP(N240,TD!$B$50:$F$54,2,0)," ")</f>
        <v>O230117</v>
      </c>
      <c r="V240" s="163" t="str">
        <f>IFERROR(VLOOKUP(N240,TD!$B$50:$F$54,3,0)," ")</f>
        <v>4503</v>
      </c>
      <c r="W240" s="163">
        <f>IFERROR(VLOOKUP(N240,TD!$B$50:$F$54,4,0)," ")</f>
        <v>20240255</v>
      </c>
      <c r="X240" s="162" t="s">
        <v>180</v>
      </c>
      <c r="Y240" s="163" t="str">
        <f>IFERROR(VLOOKUP(X240,TD!$J$51:$K$64,2,0)," ")</f>
        <v>Servicio de apoyo   logístico  en eventos operativos y/o emergencias.</v>
      </c>
      <c r="Z240" s="164" t="str">
        <f t="shared" si="12"/>
        <v>12-Servicio de apoyo   logístico  en eventos operativos y/o emergencias.</v>
      </c>
      <c r="AA240" s="162" t="s">
        <v>221</v>
      </c>
      <c r="AB240" s="163" t="str">
        <f>IFERROR(VLOOKUP(AA240,TD!$N$51:$O$66,2,0)," ")</f>
        <v>Servicio de atención a emergencias y desastres</v>
      </c>
      <c r="AC240" s="164" t="str">
        <f t="shared" si="13"/>
        <v>004_Servicio de atención a emergencias y desastres</v>
      </c>
      <c r="AD240" s="164" t="str">
        <f t="shared" si="14"/>
        <v>12-Servicio de apoyo   logístico  en eventos operativos y/o emergencias. 004_Servicio de atención a emergencias y desastres</v>
      </c>
      <c r="AE240" s="163" t="str">
        <f t="shared" si="15"/>
        <v>O23011745032024025512004</v>
      </c>
      <c r="AF240" s="163" t="str">
        <f>IFERROR(VLOOKUP(AD240,TD!$J$66:$K$89,2,0)," ")</f>
        <v>PM/0131/0112/45030040255</v>
      </c>
      <c r="AG240" s="118" t="s">
        <v>385</v>
      </c>
      <c r="AH240" s="162" t="s">
        <v>193</v>
      </c>
      <c r="AI240" s="165" t="str">
        <f>CONCATENATE(PAA[[#This Row],[Id Interno]],"-",PAA[[#This Row],[tipo de Contrato (TH talento humano - B/S bienes y/o servicios)]],"-",S240,"-",T240,"-",PAA[[#This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41" spans="2:35" ht="84" customHeight="1" x14ac:dyDescent="0.35">
      <c r="B241" s="23">
        <v>20260209</v>
      </c>
      <c r="C241" s="99" t="s">
        <v>518</v>
      </c>
      <c r="D241" s="23" t="s">
        <v>105</v>
      </c>
      <c r="E241" s="23" t="s">
        <v>363</v>
      </c>
      <c r="F241" s="159" t="s">
        <v>144</v>
      </c>
      <c r="G241" s="160" t="s">
        <v>373</v>
      </c>
      <c r="H241" s="161">
        <v>10</v>
      </c>
      <c r="I241" s="161">
        <v>0</v>
      </c>
      <c r="J241" s="127">
        <v>93000000</v>
      </c>
      <c r="K241" s="88" t="s">
        <v>398</v>
      </c>
      <c r="L241" s="159" t="s">
        <v>157</v>
      </c>
      <c r="M241" s="162" t="s">
        <v>495</v>
      </c>
      <c r="N241" s="23" t="s">
        <v>198</v>
      </c>
      <c r="O241" s="150" t="s">
        <v>926</v>
      </c>
      <c r="P241" s="159" t="s">
        <v>348</v>
      </c>
      <c r="Q241" s="53">
        <v>80111600</v>
      </c>
      <c r="R241" s="162" t="s">
        <v>213</v>
      </c>
      <c r="S241" s="162" t="str">
        <f>MID(PAA[[#This Row],[Meta Proyecto de Inversión]],1,4)</f>
        <v>8173</v>
      </c>
      <c r="T241" s="162" t="str">
        <f>MID(PAA[[#This Row],[Meta Proyecto de Inversión]],6,1)</f>
        <v>4</v>
      </c>
      <c r="U241" s="163" t="str">
        <f>IFERROR(VLOOKUP(N241,TD!$B$50:$F$54,2,0)," ")</f>
        <v>O230117</v>
      </c>
      <c r="V241" s="163" t="str">
        <f>IFERROR(VLOOKUP(N241,TD!$B$50:$F$54,3,0)," ")</f>
        <v>4503</v>
      </c>
      <c r="W241" s="163">
        <f>IFERROR(VLOOKUP(N241,TD!$B$50:$F$54,4,0)," ")</f>
        <v>20240255</v>
      </c>
      <c r="X241" s="162" t="s">
        <v>176</v>
      </c>
      <c r="Y241" s="163" t="str">
        <f>IFERROR(VLOOKUP(X241,TD!$J$51:$K$64,2,0)," ")</f>
        <v>Servicio de mantenimiento, dotación (HEA´s y equipo menor) y adquisición de vehiculos   especializados para la atención de emergencias.</v>
      </c>
      <c r="Z241" s="164" t="str">
        <f t="shared" si="12"/>
        <v>09-Servicio de mantenimiento, dotación (HEA´s y equipo menor) y adquisición de vehiculos   especializados para la atención de emergencias.</v>
      </c>
      <c r="AA241" s="162" t="s">
        <v>221</v>
      </c>
      <c r="AB241" s="163" t="str">
        <f>IFERROR(VLOOKUP(AA241,TD!$N$51:$O$66,2,0)," ")</f>
        <v>Servicio de atención a emergencias y desastres</v>
      </c>
      <c r="AC241" s="164" t="str">
        <f t="shared" si="13"/>
        <v>004_Servicio de atención a emergencias y desastres</v>
      </c>
      <c r="AD241" s="164" t="str">
        <f t="shared" si="14"/>
        <v>09-Servicio de mantenimiento, dotación (HEA´s y equipo menor) y adquisición de vehiculos   especializados para la atención de emergencias. 004_Servicio de atención a emergencias y desastres</v>
      </c>
      <c r="AE241" s="163" t="str">
        <f t="shared" si="15"/>
        <v>O23011745032024025509004</v>
      </c>
      <c r="AF241" s="163" t="str">
        <f>IFERROR(VLOOKUP(AD241,TD!$J$66:$K$89,2,0)," ")</f>
        <v>PM/0131/0109/45030040255</v>
      </c>
      <c r="AG241" s="118" t="s">
        <v>385</v>
      </c>
      <c r="AH241" s="162" t="s">
        <v>193</v>
      </c>
      <c r="AI241" s="165" t="str">
        <f>CONCATENATE(PAA[[#This Row],[Id Interno]],"-",PAA[[#This Row],[tipo de Contrato (TH talento humano - B/S bienes y/o servicios)]],"-",S241,"-",T241,"-",PAA[[#This Row],[Objeto de la contratación]])</f>
        <v>20260209-TH-8173-4-Prestación de servicios profesionales para la gestión, seguimiento y control administrativo, técnico y operativo del proceso de mantenimiento del parque automotor a cargo de la Subdirección Logística - SBLG.</v>
      </c>
    </row>
    <row r="242" spans="2:35" ht="84" x14ac:dyDescent="0.35">
      <c r="B242" s="23">
        <v>20260210</v>
      </c>
      <c r="C242" s="99" t="s">
        <v>518</v>
      </c>
      <c r="D242" s="23" t="s">
        <v>105</v>
      </c>
      <c r="E242" s="23" t="s">
        <v>363</v>
      </c>
      <c r="F242" s="159" t="s">
        <v>144</v>
      </c>
      <c r="G242" s="160" t="s">
        <v>373</v>
      </c>
      <c r="H242" s="161">
        <v>9</v>
      </c>
      <c r="I242" s="161">
        <v>0</v>
      </c>
      <c r="J242" s="127">
        <v>72000000</v>
      </c>
      <c r="K242" s="88" t="s">
        <v>398</v>
      </c>
      <c r="L242" s="159" t="s">
        <v>157</v>
      </c>
      <c r="M242" s="162" t="s">
        <v>495</v>
      </c>
      <c r="N242" s="23" t="s">
        <v>198</v>
      </c>
      <c r="O242" s="150" t="s">
        <v>926</v>
      </c>
      <c r="P242" s="159" t="s">
        <v>348</v>
      </c>
      <c r="Q242" s="53">
        <v>80111600</v>
      </c>
      <c r="R242" s="162" t="s">
        <v>213</v>
      </c>
      <c r="S242" s="162" t="str">
        <f>MID(PAA[[#This Row],[Meta Proyecto de Inversión]],1,4)</f>
        <v>8173</v>
      </c>
      <c r="T242" s="162" t="str">
        <f>MID(PAA[[#This Row],[Meta Proyecto de Inversión]],6,1)</f>
        <v>4</v>
      </c>
      <c r="U242" s="163" t="str">
        <f>IFERROR(VLOOKUP(N242,TD!$B$50:$F$54,2,0)," ")</f>
        <v>O230117</v>
      </c>
      <c r="V242" s="163" t="str">
        <f>IFERROR(VLOOKUP(N242,TD!$B$50:$F$54,3,0)," ")</f>
        <v>4503</v>
      </c>
      <c r="W242" s="163">
        <f>IFERROR(VLOOKUP(N242,TD!$B$50:$F$54,4,0)," ")</f>
        <v>20240255</v>
      </c>
      <c r="X242" s="162" t="s">
        <v>176</v>
      </c>
      <c r="Y242" s="163" t="str">
        <f>IFERROR(VLOOKUP(X242,TD!$J$51:$K$64,2,0)," ")</f>
        <v>Servicio de mantenimiento, dotación (HEA´s y equipo menor) y adquisición de vehiculos   especializados para la atención de emergencias.</v>
      </c>
      <c r="Z242" s="164" t="str">
        <f t="shared" si="12"/>
        <v>09-Servicio de mantenimiento, dotación (HEA´s y equipo menor) y adquisición de vehiculos   especializados para la atención de emergencias.</v>
      </c>
      <c r="AA242" s="162" t="s">
        <v>221</v>
      </c>
      <c r="AB242" s="163" t="str">
        <f>IFERROR(VLOOKUP(AA242,TD!$N$51:$O$66,2,0)," ")</f>
        <v>Servicio de atención a emergencias y desastres</v>
      </c>
      <c r="AC242" s="164" t="str">
        <f t="shared" si="13"/>
        <v>004_Servicio de atención a emergencias y desastres</v>
      </c>
      <c r="AD242" s="164" t="str">
        <f t="shared" si="14"/>
        <v>09-Servicio de mantenimiento, dotación (HEA´s y equipo menor) y adquisición de vehiculos   especializados para la atención de emergencias. 004_Servicio de atención a emergencias y desastres</v>
      </c>
      <c r="AE242" s="163" t="str">
        <f t="shared" si="15"/>
        <v>O23011745032024025509004</v>
      </c>
      <c r="AF242" s="163" t="str">
        <f>IFERROR(VLOOKUP(AD242,TD!$J$66:$K$89,2,0)," ")</f>
        <v>PM/0131/0109/45030040255</v>
      </c>
      <c r="AG242" s="118" t="s">
        <v>385</v>
      </c>
      <c r="AH242" s="162" t="s">
        <v>193</v>
      </c>
      <c r="AI242" s="165" t="str">
        <f>CONCATENATE(PAA[[#This Row],[Id Interno]],"-",PAA[[#This Row],[tipo de Contrato (TH talento humano - B/S bienes y/o servicios)]],"-",S242,"-",T242,"-",PAA[[#This Row],[Objeto de la contratación]])</f>
        <v>20260210-TH-8173-4-Prestación de servicios profesionales para la gestión, seguimiento y control administrativo, técnico y operativo del proceso de mantenimiento del parque automotor a cargo de la Subdirección Logística - SBLG.</v>
      </c>
    </row>
    <row r="243" spans="2:35" ht="84" x14ac:dyDescent="0.35">
      <c r="B243" s="23">
        <v>20260211</v>
      </c>
      <c r="C243" s="99" t="s">
        <v>808</v>
      </c>
      <c r="D243" s="23" t="s">
        <v>105</v>
      </c>
      <c r="E243" s="23" t="s">
        <v>363</v>
      </c>
      <c r="F243" s="159" t="s">
        <v>144</v>
      </c>
      <c r="G243" s="160" t="s">
        <v>373</v>
      </c>
      <c r="H243" s="161">
        <v>7</v>
      </c>
      <c r="I243" s="161">
        <v>0</v>
      </c>
      <c r="J243" s="127">
        <v>52500000</v>
      </c>
      <c r="K243" s="88" t="s">
        <v>398</v>
      </c>
      <c r="L243" s="159" t="s">
        <v>157</v>
      </c>
      <c r="M243" s="162" t="s">
        <v>495</v>
      </c>
      <c r="N243" s="23" t="s">
        <v>198</v>
      </c>
      <c r="O243" s="150" t="s">
        <v>926</v>
      </c>
      <c r="P243" s="159" t="s">
        <v>348</v>
      </c>
      <c r="Q243" s="53">
        <v>80111600</v>
      </c>
      <c r="R243" s="162" t="s">
        <v>213</v>
      </c>
      <c r="S243" s="162" t="str">
        <f>MID(PAA[[#This Row],[Meta Proyecto de Inversión]],1,4)</f>
        <v>8173</v>
      </c>
      <c r="T243" s="162" t="str">
        <f>MID(PAA[[#This Row],[Meta Proyecto de Inversión]],6,1)</f>
        <v>4</v>
      </c>
      <c r="U243" s="163" t="str">
        <f>IFERROR(VLOOKUP(N243,TD!$B$50:$F$54,2,0)," ")</f>
        <v>O230117</v>
      </c>
      <c r="V243" s="163" t="str">
        <f>IFERROR(VLOOKUP(N243,TD!$B$50:$F$54,3,0)," ")</f>
        <v>4503</v>
      </c>
      <c r="W243" s="163">
        <f>IFERROR(VLOOKUP(N243,TD!$B$50:$F$54,4,0)," ")</f>
        <v>20240255</v>
      </c>
      <c r="X243" s="162" t="s">
        <v>176</v>
      </c>
      <c r="Y243" s="163" t="str">
        <f>IFERROR(VLOOKUP(X243,TD!$J$51:$K$64,2,0)," ")</f>
        <v>Servicio de mantenimiento, dotación (HEA´s y equipo menor) y adquisición de vehiculos   especializados para la atención de emergencias.</v>
      </c>
      <c r="Z243" s="164" t="str">
        <f t="shared" si="12"/>
        <v>09-Servicio de mantenimiento, dotación (HEA´s y equipo menor) y adquisición de vehiculos   especializados para la atención de emergencias.</v>
      </c>
      <c r="AA243" s="162" t="s">
        <v>221</v>
      </c>
      <c r="AB243" s="163" t="str">
        <f>IFERROR(VLOOKUP(AA243,TD!$N$51:$O$66,2,0)," ")</f>
        <v>Servicio de atención a emergencias y desastres</v>
      </c>
      <c r="AC243" s="164" t="str">
        <f t="shared" si="13"/>
        <v>004_Servicio de atención a emergencias y desastres</v>
      </c>
      <c r="AD243" s="164" t="str">
        <f t="shared" si="14"/>
        <v>09-Servicio de mantenimiento, dotación (HEA´s y equipo menor) y adquisición de vehiculos   especializados para la atención de emergencias. 004_Servicio de atención a emergencias y desastres</v>
      </c>
      <c r="AE243" s="163" t="str">
        <f t="shared" si="15"/>
        <v>O23011745032024025509004</v>
      </c>
      <c r="AF243" s="163" t="str">
        <f>IFERROR(VLOOKUP(AD243,TD!$J$66:$K$89,2,0)," ")</f>
        <v>PM/0131/0109/45030040255</v>
      </c>
      <c r="AG243" s="118" t="s">
        <v>385</v>
      </c>
      <c r="AH243" s="162" t="s">
        <v>193</v>
      </c>
      <c r="AI243" s="165" t="str">
        <f>CONCATENATE(PAA[[#This Row],[Id Interno]],"-",PAA[[#This Row],[tipo de Contrato (TH talento humano - B/S bienes y/o servicios)]],"-",S243,"-",T243,"-",PAA[[#This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44" spans="2:35" ht="84" x14ac:dyDescent="0.35">
      <c r="B244" s="23">
        <v>20260212</v>
      </c>
      <c r="C244" s="99" t="s">
        <v>809</v>
      </c>
      <c r="D244" s="23" t="s">
        <v>105</v>
      </c>
      <c r="E244" s="23" t="s">
        <v>363</v>
      </c>
      <c r="F244" s="159" t="s">
        <v>144</v>
      </c>
      <c r="G244" s="160" t="s">
        <v>373</v>
      </c>
      <c r="H244" s="161">
        <v>10</v>
      </c>
      <c r="I244" s="161">
        <v>0</v>
      </c>
      <c r="J244" s="127">
        <v>80000000</v>
      </c>
      <c r="K244" s="88" t="s">
        <v>398</v>
      </c>
      <c r="L244" s="159" t="s">
        <v>157</v>
      </c>
      <c r="M244" s="162" t="s">
        <v>495</v>
      </c>
      <c r="N244" s="23" t="s">
        <v>198</v>
      </c>
      <c r="O244" s="150" t="s">
        <v>926</v>
      </c>
      <c r="P244" s="159" t="s">
        <v>348</v>
      </c>
      <c r="Q244" s="53">
        <v>80111600</v>
      </c>
      <c r="R244" s="162" t="s">
        <v>213</v>
      </c>
      <c r="S244" s="162" t="str">
        <f>MID(PAA[[#This Row],[Meta Proyecto de Inversión]],1,4)</f>
        <v>8173</v>
      </c>
      <c r="T244" s="162" t="str">
        <f>MID(PAA[[#This Row],[Meta Proyecto de Inversión]],6,1)</f>
        <v>4</v>
      </c>
      <c r="U244" s="163" t="str">
        <f>IFERROR(VLOOKUP(N244,TD!$B$50:$F$54,2,0)," ")</f>
        <v>O230117</v>
      </c>
      <c r="V244" s="163" t="str">
        <f>IFERROR(VLOOKUP(N244,TD!$B$50:$F$54,3,0)," ")</f>
        <v>4503</v>
      </c>
      <c r="W244" s="163">
        <f>IFERROR(VLOOKUP(N244,TD!$B$50:$F$54,4,0)," ")</f>
        <v>20240255</v>
      </c>
      <c r="X244" s="162" t="s">
        <v>176</v>
      </c>
      <c r="Y244" s="163" t="str">
        <f>IFERROR(VLOOKUP(X244,TD!$J$51:$K$64,2,0)," ")</f>
        <v>Servicio de mantenimiento, dotación (HEA´s y equipo menor) y adquisición de vehiculos   especializados para la atención de emergencias.</v>
      </c>
      <c r="Z244" s="164" t="str">
        <f t="shared" si="12"/>
        <v>09-Servicio de mantenimiento, dotación (HEA´s y equipo menor) y adquisición de vehiculos   especializados para la atención de emergencias.</v>
      </c>
      <c r="AA244" s="162" t="s">
        <v>221</v>
      </c>
      <c r="AB244" s="163" t="str">
        <f>IFERROR(VLOOKUP(AA244,TD!$N$51:$O$66,2,0)," ")</f>
        <v>Servicio de atención a emergencias y desastres</v>
      </c>
      <c r="AC244" s="164" t="str">
        <f t="shared" si="13"/>
        <v>004_Servicio de atención a emergencias y desastres</v>
      </c>
      <c r="AD244" s="164" t="str">
        <f t="shared" si="14"/>
        <v>09-Servicio de mantenimiento, dotación (HEA´s y equipo menor) y adquisición de vehiculos   especializados para la atención de emergencias. 004_Servicio de atención a emergencias y desastres</v>
      </c>
      <c r="AE244" s="163" t="str">
        <f t="shared" si="15"/>
        <v>O23011745032024025509004</v>
      </c>
      <c r="AF244" s="163" t="str">
        <f>IFERROR(VLOOKUP(AD244,TD!$J$66:$K$89,2,0)," ")</f>
        <v>PM/0131/0109/45030040255</v>
      </c>
      <c r="AG244" s="118" t="s">
        <v>385</v>
      </c>
      <c r="AH244" s="162" t="s">
        <v>193</v>
      </c>
      <c r="AI244" s="165" t="str">
        <f>CONCATENATE(PAA[[#This Row],[Id Interno]],"-",PAA[[#This Row],[tipo de Contrato (TH talento humano - B/S bienes y/o servicios)]],"-",S244,"-",T244,"-",PAA[[#This Row],[Objeto de la contratación]])</f>
        <v>20260212-TH-8173-4-Prestación de servicios profesionales para la gestión, seguimiento y control  técnico y operativo del proceso de mantenimiento del parque automotor a cargo de la Subdirección Logística - SBLG.</v>
      </c>
    </row>
    <row r="245" spans="2:35" ht="84" x14ac:dyDescent="0.35">
      <c r="B245" s="23">
        <v>20260213</v>
      </c>
      <c r="C245" s="99" t="s">
        <v>646</v>
      </c>
      <c r="D245" s="23" t="s">
        <v>105</v>
      </c>
      <c r="E245" s="23" t="s">
        <v>363</v>
      </c>
      <c r="F245" s="159" t="s">
        <v>144</v>
      </c>
      <c r="G245" s="160" t="s">
        <v>373</v>
      </c>
      <c r="H245" s="161">
        <v>9</v>
      </c>
      <c r="I245" s="161">
        <v>0</v>
      </c>
      <c r="J245" s="127">
        <v>40500000</v>
      </c>
      <c r="K245" s="88" t="s">
        <v>398</v>
      </c>
      <c r="L245" s="159" t="s">
        <v>157</v>
      </c>
      <c r="M245" s="162" t="s">
        <v>495</v>
      </c>
      <c r="N245" s="23" t="s">
        <v>198</v>
      </c>
      <c r="O245" s="150" t="s">
        <v>926</v>
      </c>
      <c r="P245" s="159" t="s">
        <v>348</v>
      </c>
      <c r="Q245" s="53">
        <v>80111600</v>
      </c>
      <c r="R245" s="162" t="s">
        <v>213</v>
      </c>
      <c r="S245" s="162" t="str">
        <f>MID(PAA[[#This Row],[Meta Proyecto de Inversión]],1,4)</f>
        <v>8173</v>
      </c>
      <c r="T245" s="162" t="str">
        <f>MID(PAA[[#This Row],[Meta Proyecto de Inversión]],6,1)</f>
        <v>4</v>
      </c>
      <c r="U245" s="163" t="str">
        <f>IFERROR(VLOOKUP(N245,TD!$B$50:$F$54,2,0)," ")</f>
        <v>O230117</v>
      </c>
      <c r="V245" s="163" t="str">
        <f>IFERROR(VLOOKUP(N245,TD!$B$50:$F$54,3,0)," ")</f>
        <v>4503</v>
      </c>
      <c r="W245" s="163">
        <f>IFERROR(VLOOKUP(N245,TD!$B$50:$F$54,4,0)," ")</f>
        <v>20240255</v>
      </c>
      <c r="X245" s="162" t="s">
        <v>176</v>
      </c>
      <c r="Y245" s="163" t="str">
        <f>IFERROR(VLOOKUP(X245,TD!$J$51:$K$64,2,0)," ")</f>
        <v>Servicio de mantenimiento, dotación (HEA´s y equipo menor) y adquisición de vehiculos   especializados para la atención de emergencias.</v>
      </c>
      <c r="Z245" s="164" t="str">
        <f t="shared" si="12"/>
        <v>09-Servicio de mantenimiento, dotación (HEA´s y equipo menor) y adquisición de vehiculos   especializados para la atención de emergencias.</v>
      </c>
      <c r="AA245" s="162" t="s">
        <v>221</v>
      </c>
      <c r="AB245" s="163" t="str">
        <f>IFERROR(VLOOKUP(AA245,TD!$N$51:$O$66,2,0)," ")</f>
        <v>Servicio de atención a emergencias y desastres</v>
      </c>
      <c r="AC245" s="164" t="str">
        <f t="shared" si="13"/>
        <v>004_Servicio de atención a emergencias y desastres</v>
      </c>
      <c r="AD245" s="164" t="str">
        <f t="shared" si="14"/>
        <v>09-Servicio de mantenimiento, dotación (HEA´s y equipo menor) y adquisición de vehiculos   especializados para la atención de emergencias. 004_Servicio de atención a emergencias y desastres</v>
      </c>
      <c r="AE245" s="163" t="str">
        <f t="shared" si="15"/>
        <v>O23011745032024025509004</v>
      </c>
      <c r="AF245" s="163" t="str">
        <f>IFERROR(VLOOKUP(AD245,TD!$J$66:$K$89,2,0)," ")</f>
        <v>PM/0131/0109/45030040255</v>
      </c>
      <c r="AG245" s="118" t="s">
        <v>385</v>
      </c>
      <c r="AH245" s="162" t="s">
        <v>193</v>
      </c>
      <c r="AI245" s="165" t="str">
        <f>CONCATENATE(PAA[[#This Row],[Id Interno]],"-",PAA[[#This Row],[tipo de Contrato (TH talento humano - B/S bienes y/o servicios)]],"-",S245,"-",T245,"-",PAA[[#This Row],[Objeto de la contratación]])</f>
        <v>20260213-TH-8173-4-Prestar servicios profesionales en las actividades administrativas y financieras que requieran los procesos para el desarrollo de las estrategías de la Subdirección Logística- SBLG</v>
      </c>
    </row>
    <row r="246" spans="2:35" ht="84" x14ac:dyDescent="0.35">
      <c r="B246" s="23">
        <v>20260214</v>
      </c>
      <c r="C246" s="99" t="s">
        <v>922</v>
      </c>
      <c r="D246" s="23" t="s">
        <v>105</v>
      </c>
      <c r="E246" s="23" t="s">
        <v>363</v>
      </c>
      <c r="F246" s="159" t="s">
        <v>145</v>
      </c>
      <c r="G246" s="160" t="s">
        <v>373</v>
      </c>
      <c r="H246" s="161">
        <v>5</v>
      </c>
      <c r="I246" s="161">
        <v>0</v>
      </c>
      <c r="J246" s="127">
        <v>16400000</v>
      </c>
      <c r="K246" s="88" t="s">
        <v>398</v>
      </c>
      <c r="L246" s="159" t="s">
        <v>157</v>
      </c>
      <c r="M246" s="162" t="s">
        <v>495</v>
      </c>
      <c r="N246" s="23" t="s">
        <v>198</v>
      </c>
      <c r="O246" s="150" t="s">
        <v>926</v>
      </c>
      <c r="P246" s="159" t="s">
        <v>348</v>
      </c>
      <c r="Q246" s="53">
        <v>80111600</v>
      </c>
      <c r="R246" s="162" t="s">
        <v>213</v>
      </c>
      <c r="S246" s="162" t="str">
        <f>MID(PAA[[#This Row],[Meta Proyecto de Inversión]],1,4)</f>
        <v>8173</v>
      </c>
      <c r="T246" s="162" t="str">
        <f>MID(PAA[[#This Row],[Meta Proyecto de Inversión]],6,1)</f>
        <v>4</v>
      </c>
      <c r="U246" s="163" t="str">
        <f>IFERROR(VLOOKUP(N246,TD!$B$50:$F$54,2,0)," ")</f>
        <v>O230117</v>
      </c>
      <c r="V246" s="163" t="str">
        <f>IFERROR(VLOOKUP(N246,TD!$B$50:$F$54,3,0)," ")</f>
        <v>4503</v>
      </c>
      <c r="W246" s="163">
        <f>IFERROR(VLOOKUP(N246,TD!$B$50:$F$54,4,0)," ")</f>
        <v>20240255</v>
      </c>
      <c r="X246" s="162" t="s">
        <v>176</v>
      </c>
      <c r="Y246" s="163" t="str">
        <f>IFERROR(VLOOKUP(X246,TD!$J$51:$K$64,2,0)," ")</f>
        <v>Servicio de mantenimiento, dotación (HEA´s y equipo menor) y adquisición de vehiculos   especializados para la atención de emergencias.</v>
      </c>
      <c r="Z246" s="164" t="str">
        <f t="shared" si="12"/>
        <v>09-Servicio de mantenimiento, dotación (HEA´s y equipo menor) y adquisición de vehiculos   especializados para la atención de emergencias.</v>
      </c>
      <c r="AA246" s="162" t="s">
        <v>221</v>
      </c>
      <c r="AB246" s="163" t="str">
        <f>IFERROR(VLOOKUP(AA246,TD!$N$51:$O$66,2,0)," ")</f>
        <v>Servicio de atención a emergencias y desastres</v>
      </c>
      <c r="AC246" s="164" t="str">
        <f t="shared" si="13"/>
        <v>004_Servicio de atención a emergencias y desastres</v>
      </c>
      <c r="AD246" s="164" t="str">
        <f t="shared" si="14"/>
        <v>09-Servicio de mantenimiento, dotación (HEA´s y equipo menor) y adquisición de vehiculos   especializados para la atención de emergencias. 004_Servicio de atención a emergencias y desastres</v>
      </c>
      <c r="AE246" s="163" t="str">
        <f t="shared" si="15"/>
        <v>O23011745032024025509004</v>
      </c>
      <c r="AF246" s="163" t="str">
        <f>IFERROR(VLOOKUP(AD246,TD!$J$66:$K$89,2,0)," ")</f>
        <v>PM/0131/0109/45030040255</v>
      </c>
      <c r="AG246" s="118" t="s">
        <v>385</v>
      </c>
      <c r="AH246" s="162" t="s">
        <v>193</v>
      </c>
      <c r="AI246" s="165" t="str">
        <f>CONCATENATE(PAA[[#This Row],[Id Interno]],"-",PAA[[#This Row],[tipo de Contrato (TH talento humano - B/S bienes y/o servicios)]],"-",S246,"-",T246,"-",PAA[[#This Row],[Objeto de la contratación]])</f>
        <v>20260214-TH-8173-4-Prestar servicios de apoyo a la gestión en el manejo de las herramientas tecnológicas en la recepción diligenciamiento y trámite asociadas a la mesa logística. – SBLG</v>
      </c>
    </row>
    <row r="247" spans="2:35" ht="84" x14ac:dyDescent="0.35">
      <c r="B247" s="23">
        <v>20260215</v>
      </c>
      <c r="C247" s="99" t="s">
        <v>810</v>
      </c>
      <c r="D247" s="23" t="s">
        <v>105</v>
      </c>
      <c r="E247" s="23" t="s">
        <v>363</v>
      </c>
      <c r="F247" s="159" t="s">
        <v>145</v>
      </c>
      <c r="G247" s="160" t="s">
        <v>373</v>
      </c>
      <c r="H247" s="161">
        <v>8</v>
      </c>
      <c r="I247" s="161">
        <v>0</v>
      </c>
      <c r="J247" s="127">
        <v>28800000</v>
      </c>
      <c r="K247" s="88" t="s">
        <v>398</v>
      </c>
      <c r="L247" s="159" t="s">
        <v>157</v>
      </c>
      <c r="M247" s="162" t="s">
        <v>495</v>
      </c>
      <c r="N247" s="23" t="s">
        <v>198</v>
      </c>
      <c r="O247" s="150" t="s">
        <v>926</v>
      </c>
      <c r="P247" s="159" t="s">
        <v>348</v>
      </c>
      <c r="Q247" s="53">
        <v>80111600</v>
      </c>
      <c r="R247" s="162" t="s">
        <v>213</v>
      </c>
      <c r="S247" s="162" t="str">
        <f>MID(PAA[[#This Row],[Meta Proyecto de Inversión]],1,4)</f>
        <v>8173</v>
      </c>
      <c r="T247" s="162" t="str">
        <f>MID(PAA[[#This Row],[Meta Proyecto de Inversión]],6,1)</f>
        <v>4</v>
      </c>
      <c r="U247" s="163" t="str">
        <f>IFERROR(VLOOKUP(N247,TD!$B$50:$F$54,2,0)," ")</f>
        <v>O230117</v>
      </c>
      <c r="V247" s="163" t="str">
        <f>IFERROR(VLOOKUP(N247,TD!$B$50:$F$54,3,0)," ")</f>
        <v>4503</v>
      </c>
      <c r="W247" s="163">
        <f>IFERROR(VLOOKUP(N247,TD!$B$50:$F$54,4,0)," ")</f>
        <v>20240255</v>
      </c>
      <c r="X247" s="162" t="s">
        <v>176</v>
      </c>
      <c r="Y247" s="163" t="str">
        <f>IFERROR(VLOOKUP(X247,TD!$J$51:$K$64,2,0)," ")</f>
        <v>Servicio de mantenimiento, dotación (HEA´s y equipo menor) y adquisición de vehiculos   especializados para la atención de emergencias.</v>
      </c>
      <c r="Z247" s="164" t="str">
        <f t="shared" si="12"/>
        <v>09-Servicio de mantenimiento, dotación (HEA´s y equipo menor) y adquisición de vehiculos   especializados para la atención de emergencias.</v>
      </c>
      <c r="AA247" s="162" t="s">
        <v>221</v>
      </c>
      <c r="AB247" s="163" t="str">
        <f>IFERROR(VLOOKUP(AA247,TD!$N$51:$O$66,2,0)," ")</f>
        <v>Servicio de atención a emergencias y desastres</v>
      </c>
      <c r="AC247" s="164" t="str">
        <f t="shared" si="13"/>
        <v>004_Servicio de atención a emergencias y desastres</v>
      </c>
      <c r="AD247" s="164" t="str">
        <f t="shared" si="14"/>
        <v>09-Servicio de mantenimiento, dotación (HEA´s y equipo menor) y adquisición de vehiculos   especializados para la atención de emergencias. 004_Servicio de atención a emergencias y desastres</v>
      </c>
      <c r="AE247" s="163" t="str">
        <f t="shared" si="15"/>
        <v>O23011745032024025509004</v>
      </c>
      <c r="AF247" s="163" t="str">
        <f>IFERROR(VLOOKUP(AD247,TD!$J$66:$K$89,2,0)," ")</f>
        <v>PM/0131/0109/45030040255</v>
      </c>
      <c r="AG247" s="118" t="s">
        <v>385</v>
      </c>
      <c r="AH247" s="162" t="s">
        <v>193</v>
      </c>
      <c r="AI247" s="165" t="str">
        <f>CONCATENATE(PAA[[#This Row],[Id Interno]],"-",PAA[[#This Row],[tipo de Contrato (TH talento humano - B/S bienes y/o servicios)]],"-",S247,"-",T247,"-",PAA[[#This Row],[Objeto de la contratación]])</f>
        <v>20260215-TH-8173-4-Prestar servicios de apoyo técnico en la gestión documental, administrando y diligenciando las bases de datos, y demás documentos para el desarrollo de las estrategias de la Subdirección logística. -SBLG</v>
      </c>
    </row>
    <row r="248" spans="2:35" ht="84" x14ac:dyDescent="0.35">
      <c r="B248" s="23">
        <v>20260216</v>
      </c>
      <c r="C248" s="99" t="s">
        <v>519</v>
      </c>
      <c r="D248" s="23" t="s">
        <v>105</v>
      </c>
      <c r="E248" s="23" t="s">
        <v>363</v>
      </c>
      <c r="F248" s="159" t="s">
        <v>145</v>
      </c>
      <c r="G248" s="160" t="s">
        <v>373</v>
      </c>
      <c r="H248" s="161">
        <v>9</v>
      </c>
      <c r="I248" s="161">
        <v>0</v>
      </c>
      <c r="J248" s="127">
        <v>32400000</v>
      </c>
      <c r="K248" s="88" t="s">
        <v>398</v>
      </c>
      <c r="L248" s="159" t="s">
        <v>157</v>
      </c>
      <c r="M248" s="162" t="s">
        <v>495</v>
      </c>
      <c r="N248" s="23" t="s">
        <v>198</v>
      </c>
      <c r="O248" s="150" t="s">
        <v>926</v>
      </c>
      <c r="P248" s="159" t="s">
        <v>348</v>
      </c>
      <c r="Q248" s="53">
        <v>80111600</v>
      </c>
      <c r="R248" s="162" t="s">
        <v>213</v>
      </c>
      <c r="S248" s="162" t="str">
        <f>MID(PAA[[#This Row],[Meta Proyecto de Inversión]],1,4)</f>
        <v>8173</v>
      </c>
      <c r="T248" s="162" t="str">
        <f>MID(PAA[[#This Row],[Meta Proyecto de Inversión]],6,1)</f>
        <v>4</v>
      </c>
      <c r="U248" s="163" t="str">
        <f>IFERROR(VLOOKUP(N248,TD!$B$50:$F$54,2,0)," ")</f>
        <v>O230117</v>
      </c>
      <c r="V248" s="163" t="str">
        <f>IFERROR(VLOOKUP(N248,TD!$B$50:$F$54,3,0)," ")</f>
        <v>4503</v>
      </c>
      <c r="W248" s="163">
        <f>IFERROR(VLOOKUP(N248,TD!$B$50:$F$54,4,0)," ")</f>
        <v>20240255</v>
      </c>
      <c r="X248" s="162" t="s">
        <v>176</v>
      </c>
      <c r="Y248" s="163" t="str">
        <f>IFERROR(VLOOKUP(X248,TD!$J$51:$K$64,2,0)," ")</f>
        <v>Servicio de mantenimiento, dotación (HEA´s y equipo menor) y adquisición de vehiculos   especializados para la atención de emergencias.</v>
      </c>
      <c r="Z248" s="164" t="str">
        <f t="shared" si="12"/>
        <v>09-Servicio de mantenimiento, dotación (HEA´s y equipo menor) y adquisición de vehiculos   especializados para la atención de emergencias.</v>
      </c>
      <c r="AA248" s="162" t="s">
        <v>221</v>
      </c>
      <c r="AB248" s="163" t="str">
        <f>IFERROR(VLOOKUP(AA248,TD!$N$51:$O$66,2,0)," ")</f>
        <v>Servicio de atención a emergencias y desastres</v>
      </c>
      <c r="AC248" s="164" t="str">
        <f t="shared" si="13"/>
        <v>004_Servicio de atención a emergencias y desastres</v>
      </c>
      <c r="AD248" s="164" t="str">
        <f t="shared" si="14"/>
        <v>09-Servicio de mantenimiento, dotación (HEA´s y equipo menor) y adquisición de vehiculos   especializados para la atención de emergencias. 004_Servicio de atención a emergencias y desastres</v>
      </c>
      <c r="AE248" s="163" t="str">
        <f t="shared" si="15"/>
        <v>O23011745032024025509004</v>
      </c>
      <c r="AF248" s="163" t="str">
        <f>IFERROR(VLOOKUP(AD248,TD!$J$66:$K$89,2,0)," ")</f>
        <v>PM/0131/0109/45030040255</v>
      </c>
      <c r="AG248" s="118" t="s">
        <v>385</v>
      </c>
      <c r="AH248" s="162" t="s">
        <v>193</v>
      </c>
      <c r="AI248" s="165" t="str">
        <f>CONCATENATE(PAA[[#This Row],[Id Interno]],"-",PAA[[#This Row],[tipo de Contrato (TH talento humano - B/S bienes y/o servicios)]],"-",S248,"-",T248,"-",PAA[[#This Row],[Objeto de la contratación]])</f>
        <v>20260216-TH-8173-4-Prestar servicio de apoyo a la gestión para asistir a la Subdirección Logística en el seguimiento técnico y administrativo de los mantenimientos requeridos en la Subdirección Logística - SBLG</v>
      </c>
    </row>
    <row r="249" spans="2:35" ht="56" x14ac:dyDescent="0.35">
      <c r="B249" s="23">
        <v>20260217</v>
      </c>
      <c r="C249" s="99" t="s">
        <v>811</v>
      </c>
      <c r="D249" s="23" t="s">
        <v>105</v>
      </c>
      <c r="E249" s="23" t="s">
        <v>363</v>
      </c>
      <c r="F249" s="159" t="s">
        <v>144</v>
      </c>
      <c r="G249" s="160" t="s">
        <v>373</v>
      </c>
      <c r="H249" s="161">
        <v>11</v>
      </c>
      <c r="I249" s="161">
        <v>0</v>
      </c>
      <c r="J249" s="127">
        <v>99000000</v>
      </c>
      <c r="K249" s="88" t="s">
        <v>398</v>
      </c>
      <c r="L249" s="159" t="s">
        <v>157</v>
      </c>
      <c r="M249" s="162" t="s">
        <v>495</v>
      </c>
      <c r="N249" s="23" t="s">
        <v>198</v>
      </c>
      <c r="O249" s="150" t="s">
        <v>926</v>
      </c>
      <c r="P249" s="159" t="s">
        <v>348</v>
      </c>
      <c r="Q249" s="53">
        <v>80111600</v>
      </c>
      <c r="R249" s="162" t="s">
        <v>213</v>
      </c>
      <c r="S249" s="162" t="str">
        <f>MID(PAA[[#This Row],[Meta Proyecto de Inversión]],1,4)</f>
        <v>8173</v>
      </c>
      <c r="T249" s="162" t="str">
        <f>MID(PAA[[#This Row],[Meta Proyecto de Inversión]],6,1)</f>
        <v>4</v>
      </c>
      <c r="U249" s="163" t="str">
        <f>IFERROR(VLOOKUP(N249,TD!$B$50:$F$54,2,0)," ")</f>
        <v>O230117</v>
      </c>
      <c r="V249" s="163" t="str">
        <f>IFERROR(VLOOKUP(N249,TD!$B$50:$F$54,3,0)," ")</f>
        <v>4503</v>
      </c>
      <c r="W249" s="163">
        <f>IFERROR(VLOOKUP(N249,TD!$B$50:$F$54,4,0)," ")</f>
        <v>20240255</v>
      </c>
      <c r="X249" s="162" t="s">
        <v>180</v>
      </c>
      <c r="Y249" s="163" t="str">
        <f>IFERROR(VLOOKUP(X249,TD!$J$51:$K$64,2,0)," ")</f>
        <v>Servicio de apoyo   logístico  en eventos operativos y/o emergencias.</v>
      </c>
      <c r="Z249" s="164" t="str">
        <f t="shared" si="12"/>
        <v>12-Servicio de apoyo   logístico  en eventos operativos y/o emergencias.</v>
      </c>
      <c r="AA249" s="162" t="s">
        <v>221</v>
      </c>
      <c r="AB249" s="163" t="str">
        <f>IFERROR(VLOOKUP(AA249,TD!$N$51:$O$66,2,0)," ")</f>
        <v>Servicio de atención a emergencias y desastres</v>
      </c>
      <c r="AC249" s="164" t="str">
        <f t="shared" si="13"/>
        <v>004_Servicio de atención a emergencias y desastres</v>
      </c>
      <c r="AD249" s="164" t="str">
        <f t="shared" si="14"/>
        <v>12-Servicio de apoyo   logístico  en eventos operativos y/o emergencias. 004_Servicio de atención a emergencias y desastres</v>
      </c>
      <c r="AE249" s="163" t="str">
        <f t="shared" si="15"/>
        <v>O23011745032024025512004</v>
      </c>
      <c r="AF249" s="163" t="str">
        <f>IFERROR(VLOOKUP(AD249,TD!$J$66:$K$89,2,0)," ")</f>
        <v>PM/0131/0112/45030040255</v>
      </c>
      <c r="AG249" s="118" t="s">
        <v>385</v>
      </c>
      <c r="AH249" s="162" t="s">
        <v>193</v>
      </c>
      <c r="AI249" s="165" t="str">
        <f>CONCATENATE(PAA[[#This Row],[Id Interno]],"-",PAA[[#This Row],[tipo de Contrato (TH talento humano - B/S bienes y/o servicios)]],"-",S249,"-",T249,"-",PAA[[#This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50" spans="2:35" ht="56" x14ac:dyDescent="0.35">
      <c r="B250" s="23">
        <v>20260218</v>
      </c>
      <c r="C250" s="99" t="s">
        <v>812</v>
      </c>
      <c r="D250" s="23" t="s">
        <v>105</v>
      </c>
      <c r="E250" s="23" t="s">
        <v>363</v>
      </c>
      <c r="F250" s="159" t="s">
        <v>145</v>
      </c>
      <c r="G250" s="160" t="s">
        <v>373</v>
      </c>
      <c r="H250" s="161">
        <v>4</v>
      </c>
      <c r="I250" s="161">
        <v>0</v>
      </c>
      <c r="J250" s="127">
        <v>13120000</v>
      </c>
      <c r="K250" s="88" t="s">
        <v>398</v>
      </c>
      <c r="L250" s="159" t="s">
        <v>157</v>
      </c>
      <c r="M250" s="162" t="s">
        <v>495</v>
      </c>
      <c r="N250" s="23" t="s">
        <v>198</v>
      </c>
      <c r="O250" s="150" t="s">
        <v>926</v>
      </c>
      <c r="P250" s="159" t="s">
        <v>348</v>
      </c>
      <c r="Q250" s="53">
        <v>80111600</v>
      </c>
      <c r="R250" s="162" t="s">
        <v>213</v>
      </c>
      <c r="S250" s="162" t="str">
        <f>MID(PAA[[#This Row],[Meta Proyecto de Inversión]],1,4)</f>
        <v>8173</v>
      </c>
      <c r="T250" s="162" t="str">
        <f>MID(PAA[[#This Row],[Meta Proyecto de Inversión]],6,1)</f>
        <v>4</v>
      </c>
      <c r="U250" s="163" t="str">
        <f>IFERROR(VLOOKUP(N250,TD!$B$50:$F$54,2,0)," ")</f>
        <v>O230117</v>
      </c>
      <c r="V250" s="163" t="str">
        <f>IFERROR(VLOOKUP(N250,TD!$B$50:$F$54,3,0)," ")</f>
        <v>4503</v>
      </c>
      <c r="W250" s="163">
        <f>IFERROR(VLOOKUP(N250,TD!$B$50:$F$54,4,0)," ")</f>
        <v>20240255</v>
      </c>
      <c r="X250" s="162" t="s">
        <v>180</v>
      </c>
      <c r="Y250" s="163" t="str">
        <f>IFERROR(VLOOKUP(X250,TD!$J$51:$K$64,2,0)," ")</f>
        <v>Servicio de apoyo   logístico  en eventos operativos y/o emergencias.</v>
      </c>
      <c r="Z250" s="164" t="str">
        <f t="shared" si="12"/>
        <v>12-Servicio de apoyo   logístico  en eventos operativos y/o emergencias.</v>
      </c>
      <c r="AA250" s="162" t="s">
        <v>221</v>
      </c>
      <c r="AB250" s="163" t="str">
        <f>IFERROR(VLOOKUP(AA250,TD!$N$51:$O$66,2,0)," ")</f>
        <v>Servicio de atención a emergencias y desastres</v>
      </c>
      <c r="AC250" s="164" t="str">
        <f t="shared" si="13"/>
        <v>004_Servicio de atención a emergencias y desastres</v>
      </c>
      <c r="AD250" s="164" t="str">
        <f t="shared" si="14"/>
        <v>12-Servicio de apoyo   logístico  en eventos operativos y/o emergencias. 004_Servicio de atención a emergencias y desastres</v>
      </c>
      <c r="AE250" s="163" t="str">
        <f t="shared" si="15"/>
        <v>O23011745032024025512004</v>
      </c>
      <c r="AF250" s="163" t="str">
        <f>IFERROR(VLOOKUP(AD250,TD!$J$66:$K$89,2,0)," ")</f>
        <v>PM/0131/0112/45030040255</v>
      </c>
      <c r="AG250" s="118" t="s">
        <v>385</v>
      </c>
      <c r="AH250" s="162" t="s">
        <v>193</v>
      </c>
      <c r="AI250" s="165" t="str">
        <f>CONCATENATE(PAA[[#This Row],[Id Interno]],"-",PAA[[#This Row],[tipo de Contrato (TH talento humano - B/S bienes y/o servicios)]],"-",S250,"-",T250,"-",PAA[[#This Row],[Objeto de la contratación]])</f>
        <v>20260218-TH-8173-4-Prestar servicios de apoyo a la gestión en actividades administrativas y documentales para el desarrollo de las estrategías de la Subdirección Logística - SBLG</v>
      </c>
    </row>
    <row r="251" spans="2:35" ht="56" x14ac:dyDescent="0.35">
      <c r="B251" s="23">
        <v>20260219</v>
      </c>
      <c r="C251" s="99" t="s">
        <v>813</v>
      </c>
      <c r="D251" s="23" t="s">
        <v>105</v>
      </c>
      <c r="E251" s="23" t="s">
        <v>363</v>
      </c>
      <c r="F251" s="159" t="s">
        <v>144</v>
      </c>
      <c r="G251" s="160" t="s">
        <v>373</v>
      </c>
      <c r="H251" s="161">
        <v>8</v>
      </c>
      <c r="I251" s="161">
        <v>0</v>
      </c>
      <c r="J251" s="127">
        <v>36000000</v>
      </c>
      <c r="K251" s="88" t="s">
        <v>398</v>
      </c>
      <c r="L251" s="159" t="s">
        <v>157</v>
      </c>
      <c r="M251" s="162" t="s">
        <v>495</v>
      </c>
      <c r="N251" s="23" t="s">
        <v>198</v>
      </c>
      <c r="O251" s="150" t="s">
        <v>926</v>
      </c>
      <c r="P251" s="159" t="s">
        <v>348</v>
      </c>
      <c r="Q251" s="53">
        <v>80111600</v>
      </c>
      <c r="R251" s="162" t="s">
        <v>213</v>
      </c>
      <c r="S251" s="162" t="str">
        <f>MID(PAA[[#This Row],[Meta Proyecto de Inversión]],1,4)</f>
        <v>8173</v>
      </c>
      <c r="T251" s="162" t="str">
        <f>MID(PAA[[#This Row],[Meta Proyecto de Inversión]],6,1)</f>
        <v>4</v>
      </c>
      <c r="U251" s="163" t="str">
        <f>IFERROR(VLOOKUP(N251,TD!$B$50:$F$54,2,0)," ")</f>
        <v>O230117</v>
      </c>
      <c r="V251" s="163" t="str">
        <f>IFERROR(VLOOKUP(N251,TD!$B$50:$F$54,3,0)," ")</f>
        <v>4503</v>
      </c>
      <c r="W251" s="163">
        <f>IFERROR(VLOOKUP(N251,TD!$B$50:$F$54,4,0)," ")</f>
        <v>20240255</v>
      </c>
      <c r="X251" s="162" t="s">
        <v>180</v>
      </c>
      <c r="Y251" s="163" t="str">
        <f>IFERROR(VLOOKUP(X251,TD!$J$51:$K$64,2,0)," ")</f>
        <v>Servicio de apoyo   logístico  en eventos operativos y/o emergencias.</v>
      </c>
      <c r="Z251" s="164" t="str">
        <f t="shared" si="12"/>
        <v>12-Servicio de apoyo   logístico  en eventos operativos y/o emergencias.</v>
      </c>
      <c r="AA251" s="162" t="s">
        <v>221</v>
      </c>
      <c r="AB251" s="163" t="str">
        <f>IFERROR(VLOOKUP(AA251,TD!$N$51:$O$66,2,0)," ")</f>
        <v>Servicio de atención a emergencias y desastres</v>
      </c>
      <c r="AC251" s="164" t="str">
        <f t="shared" si="13"/>
        <v>004_Servicio de atención a emergencias y desastres</v>
      </c>
      <c r="AD251" s="164" t="str">
        <f t="shared" si="14"/>
        <v>12-Servicio de apoyo   logístico  en eventos operativos y/o emergencias. 004_Servicio de atención a emergencias y desastres</v>
      </c>
      <c r="AE251" s="163" t="str">
        <f t="shared" si="15"/>
        <v>O23011745032024025512004</v>
      </c>
      <c r="AF251" s="163" t="str">
        <f>IFERROR(VLOOKUP(AD251,TD!$J$66:$K$89,2,0)," ")</f>
        <v>PM/0131/0112/45030040255</v>
      </c>
      <c r="AG251" s="118" t="s">
        <v>385</v>
      </c>
      <c r="AH251" s="162" t="s">
        <v>193</v>
      </c>
      <c r="AI251" s="165" t="str">
        <f>CONCATENATE(PAA[[#This Row],[Id Interno]],"-",PAA[[#This Row],[tipo de Contrato (TH talento humano - B/S bienes y/o servicios)]],"-",S251,"-",T251,"-",PAA[[#This Row],[Objeto de la contratación]])</f>
        <v>20260219-TH-8173-4-Prestar servicios profesionales de caracter tecnologico apoyando la estructuración, elaboración, manejo y optimización de las herramientas tecnológicas a cargo de la Subdirección Logística – SBLG.</v>
      </c>
    </row>
    <row r="252" spans="2:35" ht="56" x14ac:dyDescent="0.35">
      <c r="B252" s="23">
        <v>20260220</v>
      </c>
      <c r="C252" s="99" t="s">
        <v>814</v>
      </c>
      <c r="D252" s="23" t="s">
        <v>105</v>
      </c>
      <c r="E252" s="23" t="s">
        <v>363</v>
      </c>
      <c r="F252" s="159" t="s">
        <v>145</v>
      </c>
      <c r="G252" s="160" t="s">
        <v>373</v>
      </c>
      <c r="H252" s="161">
        <v>5</v>
      </c>
      <c r="I252" s="161">
        <v>0</v>
      </c>
      <c r="J252" s="127">
        <v>20600000</v>
      </c>
      <c r="K252" s="88" t="s">
        <v>398</v>
      </c>
      <c r="L252" s="159" t="s">
        <v>157</v>
      </c>
      <c r="M252" s="162" t="s">
        <v>495</v>
      </c>
      <c r="N252" s="23" t="s">
        <v>198</v>
      </c>
      <c r="O252" s="150" t="s">
        <v>926</v>
      </c>
      <c r="P252" s="159" t="s">
        <v>348</v>
      </c>
      <c r="Q252" s="53">
        <v>80111600</v>
      </c>
      <c r="R252" s="162" t="s">
        <v>213</v>
      </c>
      <c r="S252" s="162" t="str">
        <f>MID(PAA[[#This Row],[Meta Proyecto de Inversión]],1,4)</f>
        <v>8173</v>
      </c>
      <c r="T252" s="162" t="str">
        <f>MID(PAA[[#This Row],[Meta Proyecto de Inversión]],6,1)</f>
        <v>4</v>
      </c>
      <c r="U252" s="163" t="str">
        <f>IFERROR(VLOOKUP(N252,TD!$B$50:$F$54,2,0)," ")</f>
        <v>O230117</v>
      </c>
      <c r="V252" s="163" t="str">
        <f>IFERROR(VLOOKUP(N252,TD!$B$50:$F$54,3,0)," ")</f>
        <v>4503</v>
      </c>
      <c r="W252" s="163">
        <f>IFERROR(VLOOKUP(N252,TD!$B$50:$F$54,4,0)," ")</f>
        <v>20240255</v>
      </c>
      <c r="X252" s="162" t="s">
        <v>180</v>
      </c>
      <c r="Y252" s="163" t="str">
        <f>IFERROR(VLOOKUP(X252,TD!$J$51:$K$64,2,0)," ")</f>
        <v>Servicio de apoyo   logístico  en eventos operativos y/o emergencias.</v>
      </c>
      <c r="Z252" s="164" t="str">
        <f t="shared" si="12"/>
        <v>12-Servicio de apoyo   logístico  en eventos operativos y/o emergencias.</v>
      </c>
      <c r="AA252" s="162" t="s">
        <v>221</v>
      </c>
      <c r="AB252" s="163" t="str">
        <f>IFERROR(VLOOKUP(AA252,TD!$N$51:$O$66,2,0)," ")</f>
        <v>Servicio de atención a emergencias y desastres</v>
      </c>
      <c r="AC252" s="164" t="str">
        <f t="shared" si="13"/>
        <v>004_Servicio de atención a emergencias y desastres</v>
      </c>
      <c r="AD252" s="164" t="str">
        <f t="shared" si="14"/>
        <v>12-Servicio de apoyo   logístico  en eventos operativos y/o emergencias. 004_Servicio de atención a emergencias y desastres</v>
      </c>
      <c r="AE252" s="163" t="str">
        <f t="shared" si="15"/>
        <v>O23011745032024025512004</v>
      </c>
      <c r="AF252" s="163" t="str">
        <f>IFERROR(VLOOKUP(AD252,TD!$J$66:$K$89,2,0)," ")</f>
        <v>PM/0131/0112/45030040255</v>
      </c>
      <c r="AG252" s="118" t="s">
        <v>385</v>
      </c>
      <c r="AH252" s="162" t="s">
        <v>193</v>
      </c>
      <c r="AI252" s="165" t="str">
        <f>CONCATENATE(PAA[[#This Row],[Id Interno]],"-",PAA[[#This Row],[tipo de Contrato (TH talento humano - B/S bienes y/o servicios)]],"-",S252,"-",T252,"-",PAA[[#This Row],[Objeto de la contratación]])</f>
        <v>20260220-TH-8173-4-Prestar servicios como conductor para apoyar en la gestiónes tecnicas y operativas para la Subdirección Logistica- SBLG.</v>
      </c>
    </row>
    <row r="253" spans="2:35" ht="56" x14ac:dyDescent="0.35">
      <c r="B253" s="23">
        <v>20260221</v>
      </c>
      <c r="C253" s="99" t="s">
        <v>814</v>
      </c>
      <c r="D253" s="23" t="s">
        <v>105</v>
      </c>
      <c r="E253" s="23" t="s">
        <v>363</v>
      </c>
      <c r="F253" s="159" t="s">
        <v>145</v>
      </c>
      <c r="G253" s="160" t="s">
        <v>373</v>
      </c>
      <c r="H253" s="161">
        <v>8</v>
      </c>
      <c r="I253" s="161">
        <v>0</v>
      </c>
      <c r="J253" s="127">
        <v>28000000</v>
      </c>
      <c r="K253" s="88" t="s">
        <v>398</v>
      </c>
      <c r="L253" s="159" t="s">
        <v>157</v>
      </c>
      <c r="M253" s="162" t="s">
        <v>495</v>
      </c>
      <c r="N253" s="23" t="s">
        <v>198</v>
      </c>
      <c r="O253" s="150" t="s">
        <v>926</v>
      </c>
      <c r="P253" s="159" t="s">
        <v>348</v>
      </c>
      <c r="Q253" s="53">
        <v>80111600</v>
      </c>
      <c r="R253" s="162" t="s">
        <v>213</v>
      </c>
      <c r="S253" s="162" t="str">
        <f>MID(PAA[[#This Row],[Meta Proyecto de Inversión]],1,4)</f>
        <v>8173</v>
      </c>
      <c r="T253" s="162" t="str">
        <f>MID(PAA[[#This Row],[Meta Proyecto de Inversión]],6,1)</f>
        <v>4</v>
      </c>
      <c r="U253" s="163" t="str">
        <f>IFERROR(VLOOKUP(N253,TD!$B$50:$F$54,2,0)," ")</f>
        <v>O230117</v>
      </c>
      <c r="V253" s="163" t="str">
        <f>IFERROR(VLOOKUP(N253,TD!$B$50:$F$54,3,0)," ")</f>
        <v>4503</v>
      </c>
      <c r="W253" s="163">
        <f>IFERROR(VLOOKUP(N253,TD!$B$50:$F$54,4,0)," ")</f>
        <v>20240255</v>
      </c>
      <c r="X253" s="162" t="s">
        <v>180</v>
      </c>
      <c r="Y253" s="163" t="str">
        <f>IFERROR(VLOOKUP(X253,TD!$J$51:$K$64,2,0)," ")</f>
        <v>Servicio de apoyo   logístico  en eventos operativos y/o emergencias.</v>
      </c>
      <c r="Z253" s="164" t="str">
        <f t="shared" si="12"/>
        <v>12-Servicio de apoyo   logístico  en eventos operativos y/o emergencias.</v>
      </c>
      <c r="AA253" s="162" t="s">
        <v>221</v>
      </c>
      <c r="AB253" s="163" t="str">
        <f>IFERROR(VLOOKUP(AA253,TD!$N$51:$O$66,2,0)," ")</f>
        <v>Servicio de atención a emergencias y desastres</v>
      </c>
      <c r="AC253" s="164" t="str">
        <f t="shared" si="13"/>
        <v>004_Servicio de atención a emergencias y desastres</v>
      </c>
      <c r="AD253" s="164" t="str">
        <f t="shared" si="14"/>
        <v>12-Servicio de apoyo   logístico  en eventos operativos y/o emergencias. 004_Servicio de atención a emergencias y desastres</v>
      </c>
      <c r="AE253" s="163" t="str">
        <f t="shared" si="15"/>
        <v>O23011745032024025512004</v>
      </c>
      <c r="AF253" s="163" t="str">
        <f>IFERROR(VLOOKUP(AD253,TD!$J$66:$K$89,2,0)," ")</f>
        <v>PM/0131/0112/45030040255</v>
      </c>
      <c r="AG253" s="118" t="s">
        <v>385</v>
      </c>
      <c r="AH253" s="162" t="s">
        <v>193</v>
      </c>
      <c r="AI253" s="165" t="str">
        <f>CONCATENATE(PAA[[#This Row],[Id Interno]],"-",PAA[[#This Row],[tipo de Contrato (TH talento humano - B/S bienes y/o servicios)]],"-",S253,"-",T253,"-",PAA[[#This Row],[Objeto de la contratación]])</f>
        <v>20260221-TH-8173-4-Prestar servicios como conductor para apoyar en la gestiónes tecnicas y operativas para la Subdirección Logistica- SBLG.</v>
      </c>
    </row>
    <row r="254" spans="2:35" ht="70" x14ac:dyDescent="0.35">
      <c r="B254" s="23">
        <v>20260222</v>
      </c>
      <c r="C254" s="99" t="s">
        <v>815</v>
      </c>
      <c r="D254" s="23" t="s">
        <v>105</v>
      </c>
      <c r="E254" s="23" t="s">
        <v>363</v>
      </c>
      <c r="F254" s="159" t="s">
        <v>144</v>
      </c>
      <c r="G254" s="160" t="s">
        <v>373</v>
      </c>
      <c r="H254" s="161">
        <v>10</v>
      </c>
      <c r="I254" s="161">
        <v>0</v>
      </c>
      <c r="J254" s="127">
        <v>55000000</v>
      </c>
      <c r="K254" s="88" t="s">
        <v>398</v>
      </c>
      <c r="L254" s="159" t="s">
        <v>157</v>
      </c>
      <c r="M254" s="162" t="s">
        <v>495</v>
      </c>
      <c r="N254" s="23" t="s">
        <v>198</v>
      </c>
      <c r="O254" s="150" t="s">
        <v>926</v>
      </c>
      <c r="P254" s="159" t="s">
        <v>348</v>
      </c>
      <c r="Q254" s="53">
        <v>80111600</v>
      </c>
      <c r="R254" s="162" t="s">
        <v>213</v>
      </c>
      <c r="S254" s="162" t="str">
        <f>MID(PAA[[#This Row],[Meta Proyecto de Inversión]],1,4)</f>
        <v>8173</v>
      </c>
      <c r="T254" s="162" t="str">
        <f>MID(PAA[[#This Row],[Meta Proyecto de Inversión]],6,1)</f>
        <v>4</v>
      </c>
      <c r="U254" s="163" t="str">
        <f>IFERROR(VLOOKUP(N254,TD!$B$50:$F$54,2,0)," ")</f>
        <v>O230117</v>
      </c>
      <c r="V254" s="163" t="str">
        <f>IFERROR(VLOOKUP(N254,TD!$B$50:$F$54,3,0)," ")</f>
        <v>4503</v>
      </c>
      <c r="W254" s="163">
        <f>IFERROR(VLOOKUP(N254,TD!$B$50:$F$54,4,0)," ")</f>
        <v>20240255</v>
      </c>
      <c r="X254" s="162" t="s">
        <v>180</v>
      </c>
      <c r="Y254" s="163" t="str">
        <f>IFERROR(VLOOKUP(X254,TD!$J$51:$K$64,2,0)," ")</f>
        <v>Servicio de apoyo   logístico  en eventos operativos y/o emergencias.</v>
      </c>
      <c r="Z254" s="164" t="str">
        <f t="shared" si="12"/>
        <v>12-Servicio de apoyo   logístico  en eventos operativos y/o emergencias.</v>
      </c>
      <c r="AA254" s="162" t="s">
        <v>221</v>
      </c>
      <c r="AB254" s="163" t="str">
        <f>IFERROR(VLOOKUP(AA254,TD!$N$51:$O$66,2,0)," ")</f>
        <v>Servicio de atención a emergencias y desastres</v>
      </c>
      <c r="AC254" s="164" t="str">
        <f t="shared" si="13"/>
        <v>004_Servicio de atención a emergencias y desastres</v>
      </c>
      <c r="AD254" s="164" t="str">
        <f t="shared" si="14"/>
        <v>12-Servicio de apoyo   logístico  en eventos operativos y/o emergencias. 004_Servicio de atención a emergencias y desastres</v>
      </c>
      <c r="AE254" s="163" t="str">
        <f t="shared" si="15"/>
        <v>O23011745032024025512004</v>
      </c>
      <c r="AF254" s="163" t="str">
        <f>IFERROR(VLOOKUP(AD254,TD!$J$66:$K$89,2,0)," ")</f>
        <v>PM/0131/0112/45030040255</v>
      </c>
      <c r="AG254" s="118" t="s">
        <v>385</v>
      </c>
      <c r="AH254" s="162" t="s">
        <v>193</v>
      </c>
      <c r="AI254" s="165" t="str">
        <f>CONCATENATE(PAA[[#This Row],[Id Interno]],"-",PAA[[#This Row],[tipo de Contrato (TH talento humano - B/S bienes y/o servicios)]],"-",S254,"-",T254,"-",PAA[[#This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55" spans="2:35" ht="84" customHeight="1" x14ac:dyDescent="0.35">
      <c r="B255" s="23">
        <v>20260223</v>
      </c>
      <c r="C255" s="99" t="s">
        <v>816</v>
      </c>
      <c r="D255" s="23" t="s">
        <v>105</v>
      </c>
      <c r="E255" s="23" t="s">
        <v>363</v>
      </c>
      <c r="F255" s="159" t="s">
        <v>144</v>
      </c>
      <c r="G255" s="160" t="s">
        <v>373</v>
      </c>
      <c r="H255" s="161">
        <v>6</v>
      </c>
      <c r="I255" s="161">
        <v>0</v>
      </c>
      <c r="J255" s="127">
        <v>33000000</v>
      </c>
      <c r="K255" s="88" t="s">
        <v>398</v>
      </c>
      <c r="L255" s="159" t="s">
        <v>157</v>
      </c>
      <c r="M255" s="162" t="s">
        <v>495</v>
      </c>
      <c r="N255" s="23" t="s">
        <v>198</v>
      </c>
      <c r="O255" s="150" t="s">
        <v>926</v>
      </c>
      <c r="P255" s="159" t="s">
        <v>348</v>
      </c>
      <c r="Q255" s="53">
        <v>80111600</v>
      </c>
      <c r="R255" s="162" t="s">
        <v>213</v>
      </c>
      <c r="S255" s="162" t="str">
        <f>MID(PAA[[#This Row],[Meta Proyecto de Inversión]],1,4)</f>
        <v>8173</v>
      </c>
      <c r="T255" s="162" t="str">
        <f>MID(PAA[[#This Row],[Meta Proyecto de Inversión]],6,1)</f>
        <v>4</v>
      </c>
      <c r="U255" s="163" t="str">
        <f>IFERROR(VLOOKUP(N255,TD!$B$50:$F$54,2,0)," ")</f>
        <v>O230117</v>
      </c>
      <c r="V255" s="163" t="str">
        <f>IFERROR(VLOOKUP(N255,TD!$B$50:$F$54,3,0)," ")</f>
        <v>4503</v>
      </c>
      <c r="W255" s="163">
        <f>IFERROR(VLOOKUP(N255,TD!$B$50:$F$54,4,0)," ")</f>
        <v>20240255</v>
      </c>
      <c r="X255" s="162" t="s">
        <v>180</v>
      </c>
      <c r="Y255" s="163" t="str">
        <f>IFERROR(VLOOKUP(X255,TD!$J$51:$K$64,2,0)," ")</f>
        <v>Servicio de apoyo   logístico  en eventos operativos y/o emergencias.</v>
      </c>
      <c r="Z255" s="164" t="str">
        <f t="shared" si="12"/>
        <v>12-Servicio de apoyo   logístico  en eventos operativos y/o emergencias.</v>
      </c>
      <c r="AA255" s="162" t="s">
        <v>221</v>
      </c>
      <c r="AB255" s="163" t="str">
        <f>IFERROR(VLOOKUP(AA255,TD!$N$51:$O$66,2,0)," ")</f>
        <v>Servicio de atención a emergencias y desastres</v>
      </c>
      <c r="AC255" s="164" t="str">
        <f t="shared" si="13"/>
        <v>004_Servicio de atención a emergencias y desastres</v>
      </c>
      <c r="AD255" s="164" t="str">
        <f t="shared" si="14"/>
        <v>12-Servicio de apoyo   logístico  en eventos operativos y/o emergencias. 004_Servicio de atención a emergencias y desastres</v>
      </c>
      <c r="AE255" s="163" t="str">
        <f t="shared" si="15"/>
        <v>O23011745032024025512004</v>
      </c>
      <c r="AF255" s="163" t="str">
        <f>IFERROR(VLOOKUP(AD255,TD!$J$66:$K$89,2,0)," ")</f>
        <v>PM/0131/0112/45030040255</v>
      </c>
      <c r="AG255" s="118" t="s">
        <v>385</v>
      </c>
      <c r="AH255" s="162" t="s">
        <v>193</v>
      </c>
      <c r="AI255" s="165" t="str">
        <f>CONCATENATE(PAA[[#This Row],[Id Interno]],"-",PAA[[#This Row],[tipo de Contrato (TH talento humano - B/S bienes y/o servicios)]],"-",S255,"-",T255,"-",PAA[[#This Row],[Objeto de la contratación]])</f>
        <v>20260223-TH-8173-4-Prestar servicios profesionales para apoyar en las actividades administrativas y tecnicas de los elementos e inventario a cargo Subdirección Logistica  – SBLG.</v>
      </c>
    </row>
    <row r="256" spans="2:35" ht="70" x14ac:dyDescent="0.35">
      <c r="B256" s="23">
        <v>20260224</v>
      </c>
      <c r="C256" s="99" t="s">
        <v>647</v>
      </c>
      <c r="D256" s="23" t="s">
        <v>105</v>
      </c>
      <c r="E256" s="23" t="s">
        <v>363</v>
      </c>
      <c r="F256" s="159" t="s">
        <v>144</v>
      </c>
      <c r="G256" s="160" t="s">
        <v>373</v>
      </c>
      <c r="H256" s="161">
        <v>9</v>
      </c>
      <c r="I256" s="161">
        <v>0</v>
      </c>
      <c r="J256" s="127">
        <v>45000000</v>
      </c>
      <c r="K256" s="88" t="s">
        <v>398</v>
      </c>
      <c r="L256" s="159" t="s">
        <v>157</v>
      </c>
      <c r="M256" s="162" t="s">
        <v>495</v>
      </c>
      <c r="N256" s="23" t="s">
        <v>198</v>
      </c>
      <c r="O256" s="150" t="s">
        <v>926</v>
      </c>
      <c r="P256" s="159" t="s">
        <v>348</v>
      </c>
      <c r="Q256" s="53">
        <v>80111600</v>
      </c>
      <c r="R256" s="162" t="s">
        <v>213</v>
      </c>
      <c r="S256" s="162" t="str">
        <f>MID(PAA[[#This Row],[Meta Proyecto de Inversión]],1,4)</f>
        <v>8173</v>
      </c>
      <c r="T256" s="162" t="str">
        <f>MID(PAA[[#This Row],[Meta Proyecto de Inversión]],6,1)</f>
        <v>4</v>
      </c>
      <c r="U256" s="163" t="str">
        <f>IFERROR(VLOOKUP(N256,TD!$B$50:$F$54,2,0)," ")</f>
        <v>O230117</v>
      </c>
      <c r="V256" s="163" t="str">
        <f>IFERROR(VLOOKUP(N256,TD!$B$50:$F$54,3,0)," ")</f>
        <v>4503</v>
      </c>
      <c r="W256" s="163">
        <f>IFERROR(VLOOKUP(N256,TD!$B$50:$F$54,4,0)," ")</f>
        <v>20240255</v>
      </c>
      <c r="X256" s="162" t="s">
        <v>180</v>
      </c>
      <c r="Y256" s="163" t="str">
        <f>IFERROR(VLOOKUP(X256,TD!$J$51:$K$64,2,0)," ")</f>
        <v>Servicio de apoyo   logístico  en eventos operativos y/o emergencias.</v>
      </c>
      <c r="Z256" s="164" t="str">
        <f t="shared" si="12"/>
        <v>12-Servicio de apoyo   logístico  en eventos operativos y/o emergencias.</v>
      </c>
      <c r="AA256" s="162" t="s">
        <v>221</v>
      </c>
      <c r="AB256" s="163" t="str">
        <f>IFERROR(VLOOKUP(AA256,TD!$N$51:$O$66,2,0)," ")</f>
        <v>Servicio de atención a emergencias y desastres</v>
      </c>
      <c r="AC256" s="164" t="str">
        <f t="shared" si="13"/>
        <v>004_Servicio de atención a emergencias y desastres</v>
      </c>
      <c r="AD256" s="164" t="str">
        <f t="shared" si="14"/>
        <v>12-Servicio de apoyo   logístico  en eventos operativos y/o emergencias. 004_Servicio de atención a emergencias y desastres</v>
      </c>
      <c r="AE256" s="163" t="str">
        <f t="shared" si="15"/>
        <v>O23011745032024025512004</v>
      </c>
      <c r="AF256" s="163" t="str">
        <f>IFERROR(VLOOKUP(AD256,TD!$J$66:$K$89,2,0)," ")</f>
        <v>PM/0131/0112/45030040255</v>
      </c>
      <c r="AG256" s="118" t="s">
        <v>385</v>
      </c>
      <c r="AH256" s="162" t="s">
        <v>193</v>
      </c>
      <c r="AI256" s="165" t="str">
        <f>CONCATENATE(PAA[[#This Row],[Id Interno]],"-",PAA[[#This Row],[tipo de Contrato (TH talento humano - B/S bienes y/o servicios)]],"-",S256,"-",T256,"-",PAA[[#This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57" spans="2:35" ht="56" x14ac:dyDescent="0.35">
      <c r="B257" s="23">
        <v>20260225</v>
      </c>
      <c r="C257" s="99" t="s">
        <v>648</v>
      </c>
      <c r="D257" s="23" t="s">
        <v>105</v>
      </c>
      <c r="E257" s="23" t="s">
        <v>363</v>
      </c>
      <c r="F257" s="159" t="s">
        <v>145</v>
      </c>
      <c r="G257" s="160" t="s">
        <v>373</v>
      </c>
      <c r="H257" s="161">
        <v>9</v>
      </c>
      <c r="I257" s="161">
        <v>0</v>
      </c>
      <c r="J257" s="127">
        <v>29565000</v>
      </c>
      <c r="K257" s="88" t="s">
        <v>398</v>
      </c>
      <c r="L257" s="159" t="s">
        <v>157</v>
      </c>
      <c r="M257" s="162" t="s">
        <v>495</v>
      </c>
      <c r="N257" s="23" t="s">
        <v>198</v>
      </c>
      <c r="O257" s="150" t="s">
        <v>926</v>
      </c>
      <c r="P257" s="159" t="s">
        <v>348</v>
      </c>
      <c r="Q257" s="53">
        <v>80111600</v>
      </c>
      <c r="R257" s="162" t="s">
        <v>213</v>
      </c>
      <c r="S257" s="162" t="str">
        <f>MID(PAA[[#This Row],[Meta Proyecto de Inversión]],1,4)</f>
        <v>8173</v>
      </c>
      <c r="T257" s="162" t="str">
        <f>MID(PAA[[#This Row],[Meta Proyecto de Inversión]],6,1)</f>
        <v>4</v>
      </c>
      <c r="U257" s="163" t="str">
        <f>IFERROR(VLOOKUP(N257,TD!$B$50:$F$54,2,0)," ")</f>
        <v>O230117</v>
      </c>
      <c r="V257" s="163" t="str">
        <f>IFERROR(VLOOKUP(N257,TD!$B$50:$F$54,3,0)," ")</f>
        <v>4503</v>
      </c>
      <c r="W257" s="163">
        <f>IFERROR(VLOOKUP(N257,TD!$B$50:$F$54,4,0)," ")</f>
        <v>20240255</v>
      </c>
      <c r="X257" s="162" t="s">
        <v>180</v>
      </c>
      <c r="Y257" s="163" t="str">
        <f>IFERROR(VLOOKUP(X257,TD!$J$51:$K$64,2,0)," ")</f>
        <v>Servicio de apoyo   logístico  en eventos operativos y/o emergencias.</v>
      </c>
      <c r="Z257" s="164" t="str">
        <f t="shared" si="12"/>
        <v>12-Servicio de apoyo   logístico  en eventos operativos y/o emergencias.</v>
      </c>
      <c r="AA257" s="162" t="s">
        <v>221</v>
      </c>
      <c r="AB257" s="163" t="str">
        <f>IFERROR(VLOOKUP(AA257,TD!$N$51:$O$66,2,0)," ")</f>
        <v>Servicio de atención a emergencias y desastres</v>
      </c>
      <c r="AC257" s="164" t="str">
        <f t="shared" si="13"/>
        <v>004_Servicio de atención a emergencias y desastres</v>
      </c>
      <c r="AD257" s="164" t="str">
        <f t="shared" si="14"/>
        <v>12-Servicio de apoyo   logístico  en eventos operativos y/o emergencias. 004_Servicio de atención a emergencias y desastres</v>
      </c>
      <c r="AE257" s="163" t="str">
        <f t="shared" si="15"/>
        <v>O23011745032024025512004</v>
      </c>
      <c r="AF257" s="163" t="str">
        <f>IFERROR(VLOOKUP(AD257,TD!$J$66:$K$89,2,0)," ")</f>
        <v>PM/0131/0112/45030040255</v>
      </c>
      <c r="AG257" s="118" t="s">
        <v>385</v>
      </c>
      <c r="AH257" s="162" t="s">
        <v>193</v>
      </c>
      <c r="AI257" s="165" t="str">
        <f>CONCATENATE(PAA[[#This Row],[Id Interno]],"-",PAA[[#This Row],[tipo de Contrato (TH talento humano - B/S bienes y/o servicios)]],"-",S257,"-",T257,"-",PAA[[#This Row],[Objeto de la contratación]])</f>
        <v>20260225-TH-8173-4-Prestar servicios de apoyo a la gestión en las actividades de soporte operacional para el desarrollo de las estrategías de la Subdirección Logística. SBLG</v>
      </c>
    </row>
    <row r="258" spans="2:35" ht="56" x14ac:dyDescent="0.35">
      <c r="B258" s="23">
        <v>20260226</v>
      </c>
      <c r="C258" s="99" t="s">
        <v>648</v>
      </c>
      <c r="D258" s="23" t="s">
        <v>105</v>
      </c>
      <c r="E258" s="23" t="s">
        <v>363</v>
      </c>
      <c r="F258" s="159" t="s">
        <v>145</v>
      </c>
      <c r="G258" s="160" t="s">
        <v>373</v>
      </c>
      <c r="H258" s="161">
        <v>10</v>
      </c>
      <c r="I258" s="161">
        <v>0</v>
      </c>
      <c r="J258" s="127">
        <v>32800000</v>
      </c>
      <c r="K258" s="88" t="s">
        <v>398</v>
      </c>
      <c r="L258" s="159" t="s">
        <v>157</v>
      </c>
      <c r="M258" s="162" t="s">
        <v>495</v>
      </c>
      <c r="N258" s="23" t="s">
        <v>198</v>
      </c>
      <c r="O258" s="150" t="s">
        <v>926</v>
      </c>
      <c r="P258" s="159" t="s">
        <v>348</v>
      </c>
      <c r="Q258" s="53">
        <v>80111600</v>
      </c>
      <c r="R258" s="162" t="s">
        <v>213</v>
      </c>
      <c r="S258" s="162" t="str">
        <f>MID(PAA[[#This Row],[Meta Proyecto de Inversión]],1,4)</f>
        <v>8173</v>
      </c>
      <c r="T258" s="162" t="str">
        <f>MID(PAA[[#This Row],[Meta Proyecto de Inversión]],6,1)</f>
        <v>4</v>
      </c>
      <c r="U258" s="163" t="str">
        <f>IFERROR(VLOOKUP(N258,TD!$B$50:$F$54,2,0)," ")</f>
        <v>O230117</v>
      </c>
      <c r="V258" s="163" t="str">
        <f>IFERROR(VLOOKUP(N258,TD!$B$50:$F$54,3,0)," ")</f>
        <v>4503</v>
      </c>
      <c r="W258" s="163">
        <f>IFERROR(VLOOKUP(N258,TD!$B$50:$F$54,4,0)," ")</f>
        <v>20240255</v>
      </c>
      <c r="X258" s="162" t="s">
        <v>180</v>
      </c>
      <c r="Y258" s="163" t="str">
        <f>IFERROR(VLOOKUP(X258,TD!$J$51:$K$64,2,0)," ")</f>
        <v>Servicio de apoyo   logístico  en eventos operativos y/o emergencias.</v>
      </c>
      <c r="Z258" s="164" t="str">
        <f t="shared" si="12"/>
        <v>12-Servicio de apoyo   logístico  en eventos operativos y/o emergencias.</v>
      </c>
      <c r="AA258" s="162" t="s">
        <v>221</v>
      </c>
      <c r="AB258" s="163" t="str">
        <f>IFERROR(VLOOKUP(AA258,TD!$N$51:$O$66,2,0)," ")</f>
        <v>Servicio de atención a emergencias y desastres</v>
      </c>
      <c r="AC258" s="164" t="str">
        <f t="shared" si="13"/>
        <v>004_Servicio de atención a emergencias y desastres</v>
      </c>
      <c r="AD258" s="164" t="str">
        <f t="shared" si="14"/>
        <v>12-Servicio de apoyo   logístico  en eventos operativos y/o emergencias. 004_Servicio de atención a emergencias y desastres</v>
      </c>
      <c r="AE258" s="163" t="str">
        <f t="shared" si="15"/>
        <v>O23011745032024025512004</v>
      </c>
      <c r="AF258" s="163" t="str">
        <f>IFERROR(VLOOKUP(AD258,TD!$J$66:$K$89,2,0)," ")</f>
        <v>PM/0131/0112/45030040255</v>
      </c>
      <c r="AG258" s="118" t="s">
        <v>385</v>
      </c>
      <c r="AH258" s="162" t="s">
        <v>193</v>
      </c>
      <c r="AI258" s="165" t="str">
        <f>CONCATENATE(PAA[[#This Row],[Id Interno]],"-",PAA[[#This Row],[tipo de Contrato (TH talento humano - B/S bienes y/o servicios)]],"-",S258,"-",T258,"-",PAA[[#This Row],[Objeto de la contratación]])</f>
        <v>20260226-TH-8173-4-Prestar servicios de apoyo a la gestión en las actividades de soporte operacional para el desarrollo de las estrategías de la Subdirección Logística. SBLG</v>
      </c>
    </row>
    <row r="259" spans="2:35" ht="56" x14ac:dyDescent="0.35">
      <c r="B259" s="23">
        <v>20260227</v>
      </c>
      <c r="C259" s="99" t="s">
        <v>648</v>
      </c>
      <c r="D259" s="23" t="s">
        <v>105</v>
      </c>
      <c r="E259" s="23" t="s">
        <v>363</v>
      </c>
      <c r="F259" s="159" t="s">
        <v>145</v>
      </c>
      <c r="G259" s="160" t="s">
        <v>373</v>
      </c>
      <c r="H259" s="161">
        <v>10</v>
      </c>
      <c r="I259" s="161">
        <v>0</v>
      </c>
      <c r="J259" s="127">
        <v>32850000</v>
      </c>
      <c r="K259" s="88" t="s">
        <v>398</v>
      </c>
      <c r="L259" s="159" t="s">
        <v>157</v>
      </c>
      <c r="M259" s="162" t="s">
        <v>495</v>
      </c>
      <c r="N259" s="23" t="s">
        <v>198</v>
      </c>
      <c r="O259" s="150" t="s">
        <v>926</v>
      </c>
      <c r="P259" s="159" t="s">
        <v>348</v>
      </c>
      <c r="Q259" s="53">
        <v>80111600</v>
      </c>
      <c r="R259" s="162" t="s">
        <v>213</v>
      </c>
      <c r="S259" s="162" t="str">
        <f>MID(PAA[[#This Row],[Meta Proyecto de Inversión]],1,4)</f>
        <v>8173</v>
      </c>
      <c r="T259" s="162" t="str">
        <f>MID(PAA[[#This Row],[Meta Proyecto de Inversión]],6,1)</f>
        <v>4</v>
      </c>
      <c r="U259" s="163" t="str">
        <f>IFERROR(VLOOKUP(N259,TD!$B$50:$F$54,2,0)," ")</f>
        <v>O230117</v>
      </c>
      <c r="V259" s="163" t="str">
        <f>IFERROR(VLOOKUP(N259,TD!$B$50:$F$54,3,0)," ")</f>
        <v>4503</v>
      </c>
      <c r="W259" s="163">
        <f>IFERROR(VLOOKUP(N259,TD!$B$50:$F$54,4,0)," ")</f>
        <v>20240255</v>
      </c>
      <c r="X259" s="162" t="s">
        <v>180</v>
      </c>
      <c r="Y259" s="163" t="str">
        <f>IFERROR(VLOOKUP(X259,TD!$J$51:$K$64,2,0)," ")</f>
        <v>Servicio de apoyo   logístico  en eventos operativos y/o emergencias.</v>
      </c>
      <c r="Z259" s="164" t="str">
        <f t="shared" si="12"/>
        <v>12-Servicio de apoyo   logístico  en eventos operativos y/o emergencias.</v>
      </c>
      <c r="AA259" s="162" t="s">
        <v>221</v>
      </c>
      <c r="AB259" s="163" t="str">
        <f>IFERROR(VLOOKUP(AA259,TD!$N$51:$O$66,2,0)," ")</f>
        <v>Servicio de atención a emergencias y desastres</v>
      </c>
      <c r="AC259" s="164" t="str">
        <f t="shared" si="13"/>
        <v>004_Servicio de atención a emergencias y desastres</v>
      </c>
      <c r="AD259" s="164" t="str">
        <f t="shared" si="14"/>
        <v>12-Servicio de apoyo   logístico  en eventos operativos y/o emergencias. 004_Servicio de atención a emergencias y desastres</v>
      </c>
      <c r="AE259" s="163" t="str">
        <f t="shared" si="15"/>
        <v>O23011745032024025512004</v>
      </c>
      <c r="AF259" s="163" t="str">
        <f>IFERROR(VLOOKUP(AD259,TD!$J$66:$K$89,2,0)," ")</f>
        <v>PM/0131/0112/45030040255</v>
      </c>
      <c r="AG259" s="118" t="s">
        <v>385</v>
      </c>
      <c r="AH259" s="162" t="s">
        <v>193</v>
      </c>
      <c r="AI259" s="165" t="str">
        <f>CONCATENATE(PAA[[#This Row],[Id Interno]],"-",PAA[[#This Row],[tipo de Contrato (TH talento humano - B/S bienes y/o servicios)]],"-",S259,"-",T259,"-",PAA[[#This Row],[Objeto de la contratación]])</f>
        <v>20260227-TH-8173-4-Prestar servicios de apoyo a la gestión en las actividades de soporte operacional para el desarrollo de las estrategías de la Subdirección Logística. SBLG</v>
      </c>
    </row>
    <row r="260" spans="2:35" ht="56" x14ac:dyDescent="0.35">
      <c r="B260" s="23">
        <v>20260228</v>
      </c>
      <c r="C260" s="99" t="s">
        <v>648</v>
      </c>
      <c r="D260" s="23" t="s">
        <v>105</v>
      </c>
      <c r="E260" s="23" t="s">
        <v>363</v>
      </c>
      <c r="F260" s="159" t="s">
        <v>145</v>
      </c>
      <c r="G260" s="160" t="s">
        <v>373</v>
      </c>
      <c r="H260" s="161">
        <v>10</v>
      </c>
      <c r="I260" s="161">
        <v>0</v>
      </c>
      <c r="J260" s="127">
        <v>32800000</v>
      </c>
      <c r="K260" s="88" t="s">
        <v>398</v>
      </c>
      <c r="L260" s="159" t="s">
        <v>157</v>
      </c>
      <c r="M260" s="162" t="s">
        <v>495</v>
      </c>
      <c r="N260" s="23" t="s">
        <v>198</v>
      </c>
      <c r="O260" s="150" t="s">
        <v>926</v>
      </c>
      <c r="P260" s="159" t="s">
        <v>348</v>
      </c>
      <c r="Q260" s="53">
        <v>80111600</v>
      </c>
      <c r="R260" s="162" t="s">
        <v>213</v>
      </c>
      <c r="S260" s="162" t="str">
        <f>MID(PAA[[#This Row],[Meta Proyecto de Inversión]],1,4)</f>
        <v>8173</v>
      </c>
      <c r="T260" s="162" t="str">
        <f>MID(PAA[[#This Row],[Meta Proyecto de Inversión]],6,1)</f>
        <v>4</v>
      </c>
      <c r="U260" s="163" t="str">
        <f>IFERROR(VLOOKUP(N260,TD!$B$50:$F$54,2,0)," ")</f>
        <v>O230117</v>
      </c>
      <c r="V260" s="163" t="str">
        <f>IFERROR(VLOOKUP(N260,TD!$B$50:$F$54,3,0)," ")</f>
        <v>4503</v>
      </c>
      <c r="W260" s="163">
        <f>IFERROR(VLOOKUP(N260,TD!$B$50:$F$54,4,0)," ")</f>
        <v>20240255</v>
      </c>
      <c r="X260" s="162" t="s">
        <v>180</v>
      </c>
      <c r="Y260" s="163" t="str">
        <f>IFERROR(VLOOKUP(X260,TD!$J$51:$K$64,2,0)," ")</f>
        <v>Servicio de apoyo   logístico  en eventos operativos y/o emergencias.</v>
      </c>
      <c r="Z260" s="164" t="str">
        <f t="shared" si="12"/>
        <v>12-Servicio de apoyo   logístico  en eventos operativos y/o emergencias.</v>
      </c>
      <c r="AA260" s="162" t="s">
        <v>221</v>
      </c>
      <c r="AB260" s="163" t="str">
        <f>IFERROR(VLOOKUP(AA260,TD!$N$51:$O$66,2,0)," ")</f>
        <v>Servicio de atención a emergencias y desastres</v>
      </c>
      <c r="AC260" s="164" t="str">
        <f t="shared" si="13"/>
        <v>004_Servicio de atención a emergencias y desastres</v>
      </c>
      <c r="AD260" s="164" t="str">
        <f t="shared" si="14"/>
        <v>12-Servicio de apoyo   logístico  en eventos operativos y/o emergencias. 004_Servicio de atención a emergencias y desastres</v>
      </c>
      <c r="AE260" s="163" t="str">
        <f t="shared" si="15"/>
        <v>O23011745032024025512004</v>
      </c>
      <c r="AF260" s="163" t="str">
        <f>IFERROR(VLOOKUP(AD260,TD!$J$66:$K$89,2,0)," ")</f>
        <v>PM/0131/0112/45030040255</v>
      </c>
      <c r="AG260" s="118" t="s">
        <v>385</v>
      </c>
      <c r="AH260" s="162" t="s">
        <v>193</v>
      </c>
      <c r="AI260" s="165" t="str">
        <f>CONCATENATE(PAA[[#This Row],[Id Interno]],"-",PAA[[#This Row],[tipo de Contrato (TH talento humano - B/S bienes y/o servicios)]],"-",S260,"-",T260,"-",PAA[[#This Row],[Objeto de la contratación]])</f>
        <v>20260228-TH-8173-4-Prestar servicios de apoyo a la gestión en las actividades de soporte operacional para el desarrollo de las estrategías de la Subdirección Logística. SBLG</v>
      </c>
    </row>
    <row r="261" spans="2:35" ht="56" x14ac:dyDescent="0.35">
      <c r="B261" s="23">
        <v>20260229</v>
      </c>
      <c r="C261" s="99" t="s">
        <v>812</v>
      </c>
      <c r="D261" s="23" t="s">
        <v>105</v>
      </c>
      <c r="E261" s="23" t="s">
        <v>363</v>
      </c>
      <c r="F261" s="159" t="s">
        <v>145</v>
      </c>
      <c r="G261" s="160" t="s">
        <v>373</v>
      </c>
      <c r="H261" s="161">
        <v>8</v>
      </c>
      <c r="I261" s="161">
        <v>0</v>
      </c>
      <c r="J261" s="127">
        <v>32000000</v>
      </c>
      <c r="K261" s="88" t="s">
        <v>398</v>
      </c>
      <c r="L261" s="159" t="s">
        <v>157</v>
      </c>
      <c r="M261" s="162" t="s">
        <v>495</v>
      </c>
      <c r="N261" s="23" t="s">
        <v>198</v>
      </c>
      <c r="O261" s="150" t="s">
        <v>926</v>
      </c>
      <c r="P261" s="159" t="s">
        <v>348</v>
      </c>
      <c r="Q261" s="53">
        <v>80111600</v>
      </c>
      <c r="R261" s="162" t="s">
        <v>213</v>
      </c>
      <c r="S261" s="162" t="str">
        <f>MID(PAA[[#This Row],[Meta Proyecto de Inversión]],1,4)</f>
        <v>8173</v>
      </c>
      <c r="T261" s="162" t="str">
        <f>MID(PAA[[#This Row],[Meta Proyecto de Inversión]],6,1)</f>
        <v>4</v>
      </c>
      <c r="U261" s="163" t="str">
        <f>IFERROR(VLOOKUP(N261,TD!$B$50:$F$54,2,0)," ")</f>
        <v>O230117</v>
      </c>
      <c r="V261" s="163" t="str">
        <f>IFERROR(VLOOKUP(N261,TD!$B$50:$F$54,3,0)," ")</f>
        <v>4503</v>
      </c>
      <c r="W261" s="163">
        <f>IFERROR(VLOOKUP(N261,TD!$B$50:$F$54,4,0)," ")</f>
        <v>20240255</v>
      </c>
      <c r="X261" s="162" t="s">
        <v>180</v>
      </c>
      <c r="Y261" s="163" t="str">
        <f>IFERROR(VLOOKUP(X261,TD!$J$51:$K$64,2,0)," ")</f>
        <v>Servicio de apoyo   logístico  en eventos operativos y/o emergencias.</v>
      </c>
      <c r="Z261" s="164" t="str">
        <f t="shared" si="12"/>
        <v>12-Servicio de apoyo   logístico  en eventos operativos y/o emergencias.</v>
      </c>
      <c r="AA261" s="162" t="s">
        <v>221</v>
      </c>
      <c r="AB261" s="163" t="str">
        <f>IFERROR(VLOOKUP(AA261,TD!$N$51:$O$66,2,0)," ")</f>
        <v>Servicio de atención a emergencias y desastres</v>
      </c>
      <c r="AC261" s="164" t="str">
        <f t="shared" si="13"/>
        <v>004_Servicio de atención a emergencias y desastres</v>
      </c>
      <c r="AD261" s="164" t="str">
        <f t="shared" si="14"/>
        <v>12-Servicio de apoyo   logístico  en eventos operativos y/o emergencias. 004_Servicio de atención a emergencias y desastres</v>
      </c>
      <c r="AE261" s="163" t="str">
        <f t="shared" si="15"/>
        <v>O23011745032024025512004</v>
      </c>
      <c r="AF261" s="163" t="str">
        <f>IFERROR(VLOOKUP(AD261,TD!$J$66:$K$89,2,0)," ")</f>
        <v>PM/0131/0112/45030040255</v>
      </c>
      <c r="AG261" s="118" t="s">
        <v>385</v>
      </c>
      <c r="AH261" s="162" t="s">
        <v>193</v>
      </c>
      <c r="AI261" s="165" t="str">
        <f>CONCATENATE(PAA[[#This Row],[Id Interno]],"-",PAA[[#This Row],[tipo de Contrato (TH talento humano - B/S bienes y/o servicios)]],"-",S261,"-",T261,"-",PAA[[#This Row],[Objeto de la contratación]])</f>
        <v>20260229-TH-8173-4-Prestar servicios de apoyo a la gestión en actividades administrativas y documentales para el desarrollo de las estrategías de la Subdirección Logística - SBLG</v>
      </c>
    </row>
    <row r="262" spans="2:35" ht="84" x14ac:dyDescent="0.35">
      <c r="B262" s="23">
        <v>20260230</v>
      </c>
      <c r="C262" s="99" t="s">
        <v>817</v>
      </c>
      <c r="D262" s="23" t="s">
        <v>105</v>
      </c>
      <c r="E262" s="23" t="s">
        <v>363</v>
      </c>
      <c r="F262" s="159" t="s">
        <v>144</v>
      </c>
      <c r="G262" s="160" t="s">
        <v>373</v>
      </c>
      <c r="H262" s="161">
        <v>9</v>
      </c>
      <c r="I262" s="161">
        <v>0</v>
      </c>
      <c r="J262" s="127">
        <v>81000000</v>
      </c>
      <c r="K262" s="88" t="s">
        <v>398</v>
      </c>
      <c r="L262" s="159" t="s">
        <v>157</v>
      </c>
      <c r="M262" s="162" t="s">
        <v>495</v>
      </c>
      <c r="N262" s="23" t="s">
        <v>198</v>
      </c>
      <c r="O262" s="150" t="s">
        <v>926</v>
      </c>
      <c r="P262" s="159" t="s">
        <v>348</v>
      </c>
      <c r="Q262" s="53">
        <v>80111600</v>
      </c>
      <c r="R262" s="162" t="s">
        <v>213</v>
      </c>
      <c r="S262" s="162" t="str">
        <f>MID(PAA[[#This Row],[Meta Proyecto de Inversión]],1,4)</f>
        <v>8173</v>
      </c>
      <c r="T262" s="162" t="str">
        <f>MID(PAA[[#This Row],[Meta Proyecto de Inversión]],6,1)</f>
        <v>4</v>
      </c>
      <c r="U262" s="163" t="str">
        <f>IFERROR(VLOOKUP(N262,TD!$B$50:$F$54,2,0)," ")</f>
        <v>O230117</v>
      </c>
      <c r="V262" s="163" t="str">
        <f>IFERROR(VLOOKUP(N262,TD!$B$50:$F$54,3,0)," ")</f>
        <v>4503</v>
      </c>
      <c r="W262" s="163">
        <f>IFERROR(VLOOKUP(N262,TD!$B$50:$F$54,4,0)," ")</f>
        <v>20240255</v>
      </c>
      <c r="X262" s="162" t="s">
        <v>180</v>
      </c>
      <c r="Y262" s="163" t="str">
        <f>IFERROR(VLOOKUP(X262,TD!$J$51:$K$64,2,0)," ")</f>
        <v>Servicio de apoyo   logístico  en eventos operativos y/o emergencias.</v>
      </c>
      <c r="Z262" s="164" t="str">
        <f t="shared" si="12"/>
        <v>12-Servicio de apoyo   logístico  en eventos operativos y/o emergencias.</v>
      </c>
      <c r="AA262" s="162" t="s">
        <v>221</v>
      </c>
      <c r="AB262" s="163" t="str">
        <f>IFERROR(VLOOKUP(AA262,TD!$N$51:$O$66,2,0)," ")</f>
        <v>Servicio de atención a emergencias y desastres</v>
      </c>
      <c r="AC262" s="164" t="str">
        <f t="shared" si="13"/>
        <v>004_Servicio de atención a emergencias y desastres</v>
      </c>
      <c r="AD262" s="164" t="str">
        <f t="shared" si="14"/>
        <v>12-Servicio de apoyo   logístico  en eventos operativos y/o emergencias. 004_Servicio de atención a emergencias y desastres</v>
      </c>
      <c r="AE262" s="163" t="str">
        <f t="shared" si="15"/>
        <v>O23011745032024025512004</v>
      </c>
      <c r="AF262" s="163" t="str">
        <f>IFERROR(VLOOKUP(AD262,TD!$J$66:$K$89,2,0)," ")</f>
        <v>PM/0131/0112/45030040255</v>
      </c>
      <c r="AG262" s="118" t="s">
        <v>385</v>
      </c>
      <c r="AH262" s="162" t="s">
        <v>193</v>
      </c>
      <c r="AI262" s="165" t="str">
        <f>CONCATENATE(PAA[[#This Row],[Id Interno]],"-",PAA[[#This Row],[tipo de Contrato (TH talento humano - B/S bienes y/o servicios)]],"-",S262,"-",T262,"-",PAA[[#This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63" spans="2:35" ht="56.15" customHeight="1" x14ac:dyDescent="0.35">
      <c r="B263" s="23">
        <v>20260231</v>
      </c>
      <c r="C263" s="99" t="s">
        <v>818</v>
      </c>
      <c r="D263" s="23" t="s">
        <v>105</v>
      </c>
      <c r="E263" s="23" t="s">
        <v>363</v>
      </c>
      <c r="F263" s="159" t="s">
        <v>145</v>
      </c>
      <c r="G263" s="160" t="s">
        <v>373</v>
      </c>
      <c r="H263" s="161">
        <v>6</v>
      </c>
      <c r="I263" s="161">
        <v>0</v>
      </c>
      <c r="J263" s="127">
        <v>21600000</v>
      </c>
      <c r="K263" s="88" t="s">
        <v>398</v>
      </c>
      <c r="L263" s="159" t="s">
        <v>157</v>
      </c>
      <c r="M263" s="162" t="s">
        <v>495</v>
      </c>
      <c r="N263" s="23" t="s">
        <v>198</v>
      </c>
      <c r="O263" s="150" t="s">
        <v>926</v>
      </c>
      <c r="P263" s="159" t="s">
        <v>348</v>
      </c>
      <c r="Q263" s="53">
        <v>80111600</v>
      </c>
      <c r="R263" s="162" t="s">
        <v>213</v>
      </c>
      <c r="S263" s="162" t="str">
        <f>MID(PAA[[#This Row],[Meta Proyecto de Inversión]],1,4)</f>
        <v>8173</v>
      </c>
      <c r="T263" s="162" t="str">
        <f>MID(PAA[[#This Row],[Meta Proyecto de Inversión]],6,1)</f>
        <v>4</v>
      </c>
      <c r="U263" s="163" t="str">
        <f>IFERROR(VLOOKUP(N263,TD!$B$50:$F$54,2,0)," ")</f>
        <v>O230117</v>
      </c>
      <c r="V263" s="163" t="str">
        <f>IFERROR(VLOOKUP(N263,TD!$B$50:$F$54,3,0)," ")</f>
        <v>4503</v>
      </c>
      <c r="W263" s="163">
        <f>IFERROR(VLOOKUP(N263,TD!$B$50:$F$54,4,0)," ")</f>
        <v>20240255</v>
      </c>
      <c r="X263" s="162" t="s">
        <v>180</v>
      </c>
      <c r="Y263" s="163" t="str">
        <f>IFERROR(VLOOKUP(X263,TD!$J$51:$K$64,2,0)," ")</f>
        <v>Servicio de apoyo   logístico  en eventos operativos y/o emergencias.</v>
      </c>
      <c r="Z263" s="164" t="str">
        <f t="shared" si="12"/>
        <v>12-Servicio de apoyo   logístico  en eventos operativos y/o emergencias.</v>
      </c>
      <c r="AA263" s="162" t="s">
        <v>221</v>
      </c>
      <c r="AB263" s="163" t="str">
        <f>IFERROR(VLOOKUP(AA263,TD!$N$51:$O$66,2,0)," ")</f>
        <v>Servicio de atención a emergencias y desastres</v>
      </c>
      <c r="AC263" s="164" t="str">
        <f t="shared" si="13"/>
        <v>004_Servicio de atención a emergencias y desastres</v>
      </c>
      <c r="AD263" s="164" t="str">
        <f t="shared" si="14"/>
        <v>12-Servicio de apoyo   logístico  en eventos operativos y/o emergencias. 004_Servicio de atención a emergencias y desastres</v>
      </c>
      <c r="AE263" s="163" t="str">
        <f t="shared" si="15"/>
        <v>O23011745032024025512004</v>
      </c>
      <c r="AF263" s="163" t="str">
        <f>IFERROR(VLOOKUP(AD263,TD!$J$66:$K$89,2,0)," ")</f>
        <v>PM/0131/0112/45030040255</v>
      </c>
      <c r="AG263" s="118" t="s">
        <v>385</v>
      </c>
      <c r="AH263" s="162" t="s">
        <v>193</v>
      </c>
      <c r="AI263" s="165" t="str">
        <f>CONCATENATE(PAA[[#This Row],[Id Interno]],"-",PAA[[#This Row],[tipo de Contrato (TH talento humano - B/S bienes y/o servicios)]],"-",S263,"-",T263,"-",PAA[[#This Row],[Objeto de la contratación]])</f>
        <v>20260231-TH-8173-4-Prestar servicios de apoyo a la gestión para el seguimiento y control de los suministros y consumibles  necesarios para la oportuna disponibilidad en la atención de emergencias -SBLG</v>
      </c>
    </row>
    <row r="264" spans="2:35" ht="56" x14ac:dyDescent="0.35">
      <c r="B264" s="23">
        <v>20260232</v>
      </c>
      <c r="C264" s="99" t="s">
        <v>819</v>
      </c>
      <c r="D264" s="23" t="s">
        <v>105</v>
      </c>
      <c r="E264" s="23" t="s">
        <v>363</v>
      </c>
      <c r="F264" s="159" t="s">
        <v>144</v>
      </c>
      <c r="G264" s="160" t="s">
        <v>373</v>
      </c>
      <c r="H264" s="161">
        <v>6</v>
      </c>
      <c r="I264" s="161">
        <v>0</v>
      </c>
      <c r="J264" s="127">
        <v>35000000</v>
      </c>
      <c r="K264" s="88" t="s">
        <v>398</v>
      </c>
      <c r="L264" s="159" t="s">
        <v>157</v>
      </c>
      <c r="M264" s="162" t="s">
        <v>495</v>
      </c>
      <c r="N264" s="23" t="s">
        <v>198</v>
      </c>
      <c r="O264" s="150" t="s">
        <v>926</v>
      </c>
      <c r="P264" s="159" t="s">
        <v>348</v>
      </c>
      <c r="Q264" s="53">
        <v>80111600</v>
      </c>
      <c r="R264" s="162" t="s">
        <v>213</v>
      </c>
      <c r="S264" s="162" t="str">
        <f>MID(PAA[[#This Row],[Meta Proyecto de Inversión]],1,4)</f>
        <v>8173</v>
      </c>
      <c r="T264" s="162" t="str">
        <f>MID(PAA[[#This Row],[Meta Proyecto de Inversión]],6,1)</f>
        <v>4</v>
      </c>
      <c r="U264" s="163" t="str">
        <f>IFERROR(VLOOKUP(N264,TD!$B$50:$F$54,2,0)," ")</f>
        <v>O230117</v>
      </c>
      <c r="V264" s="163" t="str">
        <f>IFERROR(VLOOKUP(N264,TD!$B$50:$F$54,3,0)," ")</f>
        <v>4503</v>
      </c>
      <c r="W264" s="163">
        <f>IFERROR(VLOOKUP(N264,TD!$B$50:$F$54,4,0)," ")</f>
        <v>20240255</v>
      </c>
      <c r="X264" s="162" t="s">
        <v>180</v>
      </c>
      <c r="Y264" s="163" t="str">
        <f>IFERROR(VLOOKUP(X264,TD!$J$51:$K$64,2,0)," ")</f>
        <v>Servicio de apoyo   logístico  en eventos operativos y/o emergencias.</v>
      </c>
      <c r="Z264" s="164" t="str">
        <f t="shared" si="12"/>
        <v>12-Servicio de apoyo   logístico  en eventos operativos y/o emergencias.</v>
      </c>
      <c r="AA264" s="162" t="s">
        <v>221</v>
      </c>
      <c r="AB264" s="163" t="str">
        <f>IFERROR(VLOOKUP(AA264,TD!$N$51:$O$66,2,0)," ")</f>
        <v>Servicio de atención a emergencias y desastres</v>
      </c>
      <c r="AC264" s="164" t="str">
        <f t="shared" si="13"/>
        <v>004_Servicio de atención a emergencias y desastres</v>
      </c>
      <c r="AD264" s="164" t="str">
        <f t="shared" si="14"/>
        <v>12-Servicio de apoyo   logístico  en eventos operativos y/o emergencias. 004_Servicio de atención a emergencias y desastres</v>
      </c>
      <c r="AE264" s="163" t="str">
        <f t="shared" si="15"/>
        <v>O23011745032024025512004</v>
      </c>
      <c r="AF264" s="163" t="str">
        <f>IFERROR(VLOOKUP(AD264,TD!$J$66:$K$89,2,0)," ")</f>
        <v>PM/0131/0112/45030040255</v>
      </c>
      <c r="AG264" s="118" t="s">
        <v>385</v>
      </c>
      <c r="AH264" s="162" t="s">
        <v>193</v>
      </c>
      <c r="AI264" s="165" t="str">
        <f>CONCATENATE(PAA[[#This Row],[Id Interno]],"-",PAA[[#This Row],[tipo de Contrato (TH talento humano - B/S bienes y/o servicios)]],"-",S264,"-",T264,"-",PAA[[#This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65" spans="2:35" ht="70" x14ac:dyDescent="0.35">
      <c r="B265" s="23">
        <v>20260233</v>
      </c>
      <c r="C265" s="99" t="s">
        <v>820</v>
      </c>
      <c r="D265" s="23" t="s">
        <v>105</v>
      </c>
      <c r="E265" s="23" t="s">
        <v>363</v>
      </c>
      <c r="F265" s="159" t="s">
        <v>144</v>
      </c>
      <c r="G265" s="160" t="s">
        <v>373</v>
      </c>
      <c r="H265" s="161">
        <v>8</v>
      </c>
      <c r="I265" s="161">
        <v>0</v>
      </c>
      <c r="J265" s="127">
        <v>52000000</v>
      </c>
      <c r="K265" s="88" t="s">
        <v>398</v>
      </c>
      <c r="L265" s="159" t="s">
        <v>157</v>
      </c>
      <c r="M265" s="162" t="s">
        <v>495</v>
      </c>
      <c r="N265" s="23" t="s">
        <v>198</v>
      </c>
      <c r="O265" s="150" t="s">
        <v>926</v>
      </c>
      <c r="P265" s="159" t="s">
        <v>348</v>
      </c>
      <c r="Q265" s="53">
        <v>80111600</v>
      </c>
      <c r="R265" s="162" t="s">
        <v>213</v>
      </c>
      <c r="S265" s="162" t="str">
        <f>MID(PAA[[#This Row],[Meta Proyecto de Inversión]],1,4)</f>
        <v>8173</v>
      </c>
      <c r="T265" s="162" t="str">
        <f>MID(PAA[[#This Row],[Meta Proyecto de Inversión]],6,1)</f>
        <v>4</v>
      </c>
      <c r="U265" s="163" t="str">
        <f>IFERROR(VLOOKUP(N265,TD!$B$50:$F$54,2,0)," ")</f>
        <v>O230117</v>
      </c>
      <c r="V265" s="163" t="str">
        <f>IFERROR(VLOOKUP(N265,TD!$B$50:$F$54,3,0)," ")</f>
        <v>4503</v>
      </c>
      <c r="W265" s="163">
        <f>IFERROR(VLOOKUP(N265,TD!$B$50:$F$54,4,0)," ")</f>
        <v>20240255</v>
      </c>
      <c r="X265" s="162" t="s">
        <v>180</v>
      </c>
      <c r="Y265" s="163" t="str">
        <f>IFERROR(VLOOKUP(X265,TD!$J$51:$K$64,2,0)," ")</f>
        <v>Servicio de apoyo   logístico  en eventos operativos y/o emergencias.</v>
      </c>
      <c r="Z265" s="164" t="str">
        <f t="shared" si="12"/>
        <v>12-Servicio de apoyo   logístico  en eventos operativos y/o emergencias.</v>
      </c>
      <c r="AA265" s="162" t="s">
        <v>221</v>
      </c>
      <c r="AB265" s="163" t="str">
        <f>IFERROR(VLOOKUP(AA265,TD!$N$51:$O$66,2,0)," ")</f>
        <v>Servicio de atención a emergencias y desastres</v>
      </c>
      <c r="AC265" s="164" t="str">
        <f t="shared" si="13"/>
        <v>004_Servicio de atención a emergencias y desastres</v>
      </c>
      <c r="AD265" s="164" t="str">
        <f t="shared" si="14"/>
        <v>12-Servicio de apoyo   logístico  en eventos operativos y/o emergencias. 004_Servicio de atención a emergencias y desastres</v>
      </c>
      <c r="AE265" s="163" t="str">
        <f t="shared" si="15"/>
        <v>O23011745032024025512004</v>
      </c>
      <c r="AF265" s="163" t="str">
        <f>IFERROR(VLOOKUP(AD265,TD!$J$66:$K$89,2,0)," ")</f>
        <v>PM/0131/0112/45030040255</v>
      </c>
      <c r="AG265" s="118" t="s">
        <v>385</v>
      </c>
      <c r="AH265" s="162" t="s">
        <v>193</v>
      </c>
      <c r="AI265" s="165" t="str">
        <f>CONCATENATE(PAA[[#This Row],[Id Interno]],"-",PAA[[#This Row],[tipo de Contrato (TH talento humano - B/S bienes y/o servicios)]],"-",S265,"-",T265,"-",PAA[[#This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66" spans="2:35" ht="84" x14ac:dyDescent="0.35">
      <c r="B266" s="23">
        <v>20260234</v>
      </c>
      <c r="C266" s="99" t="s">
        <v>649</v>
      </c>
      <c r="D266" s="23" t="s">
        <v>105</v>
      </c>
      <c r="E266" s="23" t="s">
        <v>363</v>
      </c>
      <c r="F266" s="159" t="s">
        <v>144</v>
      </c>
      <c r="G266" s="160" t="s">
        <v>373</v>
      </c>
      <c r="H266" s="161">
        <v>10</v>
      </c>
      <c r="I266" s="161">
        <v>0</v>
      </c>
      <c r="J266" s="127">
        <v>90000000</v>
      </c>
      <c r="K266" s="88" t="s">
        <v>398</v>
      </c>
      <c r="L266" s="159" t="s">
        <v>157</v>
      </c>
      <c r="M266" s="162" t="s">
        <v>495</v>
      </c>
      <c r="N266" s="23" t="s">
        <v>198</v>
      </c>
      <c r="O266" s="150" t="s">
        <v>926</v>
      </c>
      <c r="P266" s="159" t="s">
        <v>348</v>
      </c>
      <c r="Q266" s="53">
        <v>80111600</v>
      </c>
      <c r="R266" s="162" t="s">
        <v>213</v>
      </c>
      <c r="S266" s="162" t="str">
        <f>MID(PAA[[#This Row],[Meta Proyecto de Inversión]],1,4)</f>
        <v>8173</v>
      </c>
      <c r="T266" s="162" t="str">
        <f>MID(PAA[[#This Row],[Meta Proyecto de Inversión]],6,1)</f>
        <v>4</v>
      </c>
      <c r="U266" s="163" t="str">
        <f>IFERROR(VLOOKUP(N266,TD!$B$50:$F$54,2,0)," ")</f>
        <v>O230117</v>
      </c>
      <c r="V266" s="163" t="str">
        <f>IFERROR(VLOOKUP(N266,TD!$B$50:$F$54,3,0)," ")</f>
        <v>4503</v>
      </c>
      <c r="W266" s="163">
        <f>IFERROR(VLOOKUP(N266,TD!$B$50:$F$54,4,0)," ")</f>
        <v>20240255</v>
      </c>
      <c r="X266" s="162" t="s">
        <v>176</v>
      </c>
      <c r="Y266" s="163" t="str">
        <f>IFERROR(VLOOKUP(X266,TD!$J$51:$K$64,2,0)," ")</f>
        <v>Servicio de mantenimiento, dotación (HEA´s y equipo menor) y adquisición de vehiculos   especializados para la atención de emergencias.</v>
      </c>
      <c r="Z266" s="164" t="str">
        <f t="shared" si="12"/>
        <v>09-Servicio de mantenimiento, dotación (HEA´s y equipo menor) y adquisición de vehiculos   especializados para la atención de emergencias.</v>
      </c>
      <c r="AA266" s="162" t="s">
        <v>221</v>
      </c>
      <c r="AB266" s="163" t="str">
        <f>IFERROR(VLOOKUP(AA266,TD!$N$51:$O$66,2,0)," ")</f>
        <v>Servicio de atención a emergencias y desastres</v>
      </c>
      <c r="AC266" s="164" t="str">
        <f t="shared" si="13"/>
        <v>004_Servicio de atención a emergencias y desastres</v>
      </c>
      <c r="AD266" s="164" t="str">
        <f t="shared" si="14"/>
        <v>09-Servicio de mantenimiento, dotación (HEA´s y equipo menor) y adquisición de vehiculos   especializados para la atención de emergencias. 004_Servicio de atención a emergencias y desastres</v>
      </c>
      <c r="AE266" s="163" t="str">
        <f t="shared" si="15"/>
        <v>O23011745032024025509004</v>
      </c>
      <c r="AF266" s="163" t="str">
        <f>IFERROR(VLOOKUP(AD266,TD!$J$66:$K$89,2,0)," ")</f>
        <v>PM/0131/0109/45030040255</v>
      </c>
      <c r="AG266" s="118" t="s">
        <v>385</v>
      </c>
      <c r="AH266" s="162" t="s">
        <v>193</v>
      </c>
      <c r="AI266" s="165" t="str">
        <f>CONCATENATE(PAA[[#This Row],[Id Interno]],"-",PAA[[#This Row],[tipo de Contrato (TH talento humano - B/S bienes y/o servicios)]],"-",S266,"-",T266,"-",PAA[[#This Row],[Objeto de la contratación]])</f>
        <v>20260234-TH-8173-4-Prestación de servicios profesionales para la gestión, seguimiento y control administrativo, técnico y operativo del equipo menor a cargo de la Subdirección Logística. SBLG.</v>
      </c>
    </row>
    <row r="267" spans="2:35" ht="84" x14ac:dyDescent="0.35">
      <c r="B267" s="23">
        <v>20260235</v>
      </c>
      <c r="C267" s="99" t="s">
        <v>821</v>
      </c>
      <c r="D267" s="23" t="s">
        <v>105</v>
      </c>
      <c r="E267" s="23" t="s">
        <v>363</v>
      </c>
      <c r="F267" s="159" t="s">
        <v>145</v>
      </c>
      <c r="G267" s="160" t="s">
        <v>373</v>
      </c>
      <c r="H267" s="161">
        <v>10</v>
      </c>
      <c r="I267" s="161">
        <v>0</v>
      </c>
      <c r="J267" s="127">
        <v>36000000</v>
      </c>
      <c r="K267" s="88" t="s">
        <v>398</v>
      </c>
      <c r="L267" s="159" t="s">
        <v>157</v>
      </c>
      <c r="M267" s="162" t="s">
        <v>495</v>
      </c>
      <c r="N267" s="23" t="s">
        <v>198</v>
      </c>
      <c r="O267" s="150" t="s">
        <v>926</v>
      </c>
      <c r="P267" s="159" t="s">
        <v>348</v>
      </c>
      <c r="Q267" s="53">
        <v>80111600</v>
      </c>
      <c r="R267" s="162" t="s">
        <v>213</v>
      </c>
      <c r="S267" s="162" t="str">
        <f>MID(PAA[[#This Row],[Meta Proyecto de Inversión]],1,4)</f>
        <v>8173</v>
      </c>
      <c r="T267" s="162" t="str">
        <f>MID(PAA[[#This Row],[Meta Proyecto de Inversión]],6,1)</f>
        <v>4</v>
      </c>
      <c r="U267" s="163" t="str">
        <f>IFERROR(VLOOKUP(N267,TD!$B$50:$F$54,2,0)," ")</f>
        <v>O230117</v>
      </c>
      <c r="V267" s="163" t="str">
        <f>IFERROR(VLOOKUP(N267,TD!$B$50:$F$54,3,0)," ")</f>
        <v>4503</v>
      </c>
      <c r="W267" s="163">
        <f>IFERROR(VLOOKUP(N267,TD!$B$50:$F$54,4,0)," ")</f>
        <v>20240255</v>
      </c>
      <c r="X267" s="162" t="s">
        <v>176</v>
      </c>
      <c r="Y267" s="163" t="str">
        <f>IFERROR(VLOOKUP(X267,TD!$J$51:$K$64,2,0)," ")</f>
        <v>Servicio de mantenimiento, dotación (HEA´s y equipo menor) y adquisición de vehiculos   especializados para la atención de emergencias.</v>
      </c>
      <c r="Z267" s="164" t="str">
        <f t="shared" si="12"/>
        <v>09-Servicio de mantenimiento, dotación (HEA´s y equipo menor) y adquisición de vehiculos   especializados para la atención de emergencias.</v>
      </c>
      <c r="AA267" s="162" t="s">
        <v>221</v>
      </c>
      <c r="AB267" s="163" t="str">
        <f>IFERROR(VLOOKUP(AA267,TD!$N$51:$O$66,2,0)," ")</f>
        <v>Servicio de atención a emergencias y desastres</v>
      </c>
      <c r="AC267" s="164" t="str">
        <f t="shared" si="13"/>
        <v>004_Servicio de atención a emergencias y desastres</v>
      </c>
      <c r="AD267" s="164" t="str">
        <f t="shared" si="14"/>
        <v>09-Servicio de mantenimiento, dotación (HEA´s y equipo menor) y adquisición de vehiculos   especializados para la atención de emergencias. 004_Servicio de atención a emergencias y desastres</v>
      </c>
      <c r="AE267" s="163" t="str">
        <f t="shared" si="15"/>
        <v>O23011745032024025509004</v>
      </c>
      <c r="AF267" s="163" t="str">
        <f>IFERROR(VLOOKUP(AD267,TD!$J$66:$K$89,2,0)," ")</f>
        <v>PM/0131/0109/45030040255</v>
      </c>
      <c r="AG267" s="118" t="s">
        <v>385</v>
      </c>
      <c r="AH267" s="162" t="s">
        <v>193</v>
      </c>
      <c r="AI267" s="165" t="str">
        <f>CONCATENATE(PAA[[#This Row],[Id Interno]],"-",PAA[[#This Row],[tipo de Contrato (TH talento humano - B/S bienes y/o servicios)]],"-",S267,"-",T267,"-",PAA[[#This Row],[Objeto de la contratación]])</f>
        <v>20260235-TH-8173-4-Prestar servicio de apoyo a la gestión para asistir a la Subdirección Logística en el seguimiento técnico y administrativo de los mantenimientos minimos requeridos en la Subdirección Logística - SBLG</v>
      </c>
    </row>
    <row r="268" spans="2:35" ht="84" x14ac:dyDescent="0.35">
      <c r="B268" s="23">
        <v>20260236</v>
      </c>
      <c r="C268" s="99" t="s">
        <v>821</v>
      </c>
      <c r="D268" s="23" t="s">
        <v>105</v>
      </c>
      <c r="E268" s="23" t="s">
        <v>363</v>
      </c>
      <c r="F268" s="159" t="s">
        <v>145</v>
      </c>
      <c r="G268" s="160" t="s">
        <v>373</v>
      </c>
      <c r="H268" s="161">
        <v>9</v>
      </c>
      <c r="I268" s="161">
        <v>0</v>
      </c>
      <c r="J268" s="127">
        <v>32400000</v>
      </c>
      <c r="K268" s="88" t="s">
        <v>398</v>
      </c>
      <c r="L268" s="159" t="s">
        <v>157</v>
      </c>
      <c r="M268" s="162" t="s">
        <v>495</v>
      </c>
      <c r="N268" s="23" t="s">
        <v>198</v>
      </c>
      <c r="O268" s="150" t="s">
        <v>926</v>
      </c>
      <c r="P268" s="159" t="s">
        <v>348</v>
      </c>
      <c r="Q268" s="53">
        <v>80111600</v>
      </c>
      <c r="R268" s="162" t="s">
        <v>213</v>
      </c>
      <c r="S268" s="162" t="str">
        <f>MID(PAA[[#This Row],[Meta Proyecto de Inversión]],1,4)</f>
        <v>8173</v>
      </c>
      <c r="T268" s="162" t="str">
        <f>MID(PAA[[#This Row],[Meta Proyecto de Inversión]],6,1)</f>
        <v>4</v>
      </c>
      <c r="U268" s="163" t="str">
        <f>IFERROR(VLOOKUP(N268,TD!$B$50:$F$54,2,0)," ")</f>
        <v>O230117</v>
      </c>
      <c r="V268" s="163" t="str">
        <f>IFERROR(VLOOKUP(N268,TD!$B$50:$F$54,3,0)," ")</f>
        <v>4503</v>
      </c>
      <c r="W268" s="163">
        <f>IFERROR(VLOOKUP(N268,TD!$B$50:$F$54,4,0)," ")</f>
        <v>20240255</v>
      </c>
      <c r="X268" s="162" t="s">
        <v>176</v>
      </c>
      <c r="Y268" s="163" t="str">
        <f>IFERROR(VLOOKUP(X268,TD!$J$51:$K$64,2,0)," ")</f>
        <v>Servicio de mantenimiento, dotación (HEA´s y equipo menor) y adquisición de vehiculos   especializados para la atención de emergencias.</v>
      </c>
      <c r="Z268" s="164" t="str">
        <f t="shared" ref="Z268:Z331" si="16">CONCATENATE(X268,"-",Y268)</f>
        <v>09-Servicio de mantenimiento, dotación (HEA´s y equipo menor) y adquisición de vehiculos   especializados para la atención de emergencias.</v>
      </c>
      <c r="AA268" s="162" t="s">
        <v>221</v>
      </c>
      <c r="AB268" s="163" t="str">
        <f>IFERROR(VLOOKUP(AA268,TD!$N$51:$O$66,2,0)," ")</f>
        <v>Servicio de atención a emergencias y desastres</v>
      </c>
      <c r="AC268" s="164" t="str">
        <f t="shared" ref="AC268:AC331" si="17">CONCATENATE(AA268,"_",AB268)</f>
        <v>004_Servicio de atención a emergencias y desastres</v>
      </c>
      <c r="AD268" s="164" t="str">
        <f t="shared" ref="AD268:AD331" si="18">CONCATENATE(Z268," ",AC268)</f>
        <v>09-Servicio de mantenimiento, dotación (HEA´s y equipo menor) y adquisición de vehiculos   especializados para la atención de emergencias. 004_Servicio de atención a emergencias y desastres</v>
      </c>
      <c r="AE268" s="163" t="str">
        <f t="shared" ref="AE268:AE331" si="19">CONCATENATE(U268,V268,W268,X268,AA268)</f>
        <v>O23011745032024025509004</v>
      </c>
      <c r="AF268" s="163" t="str">
        <f>IFERROR(VLOOKUP(AD268,TD!$J$66:$K$89,2,0)," ")</f>
        <v>PM/0131/0109/45030040255</v>
      </c>
      <c r="AG268" s="118" t="s">
        <v>385</v>
      </c>
      <c r="AH268" s="162" t="s">
        <v>193</v>
      </c>
      <c r="AI268" s="165" t="str">
        <f>CONCATENATE(PAA[[#This Row],[Id Interno]],"-",PAA[[#This Row],[tipo de Contrato (TH talento humano - B/S bienes y/o servicios)]],"-",S268,"-",T268,"-",PAA[[#This Row],[Objeto de la contratación]])</f>
        <v>20260236-TH-8173-4-Prestar servicio de apoyo a la gestión para asistir a la Subdirección Logística en el seguimiento técnico y administrativo de los mantenimientos minimos requeridos en la Subdirección Logística - SBLG</v>
      </c>
    </row>
    <row r="269" spans="2:35" ht="84" x14ac:dyDescent="0.35">
      <c r="B269" s="23">
        <v>20260237</v>
      </c>
      <c r="C269" s="99" t="s">
        <v>520</v>
      </c>
      <c r="D269" s="23" t="s">
        <v>105</v>
      </c>
      <c r="E269" s="23" t="s">
        <v>363</v>
      </c>
      <c r="F269" s="159" t="s">
        <v>144</v>
      </c>
      <c r="G269" s="160" t="s">
        <v>373</v>
      </c>
      <c r="H269" s="161">
        <v>6</v>
      </c>
      <c r="I269" s="161">
        <v>0</v>
      </c>
      <c r="J269" s="127">
        <v>42000000</v>
      </c>
      <c r="K269" s="88" t="s">
        <v>398</v>
      </c>
      <c r="L269" s="159" t="s">
        <v>157</v>
      </c>
      <c r="M269" s="162" t="s">
        <v>495</v>
      </c>
      <c r="N269" s="23" t="s">
        <v>198</v>
      </c>
      <c r="O269" s="150" t="s">
        <v>926</v>
      </c>
      <c r="P269" s="159" t="s">
        <v>348</v>
      </c>
      <c r="Q269" s="53">
        <v>80111600</v>
      </c>
      <c r="R269" s="162" t="s">
        <v>213</v>
      </c>
      <c r="S269" s="162" t="str">
        <f>MID(PAA[[#This Row],[Meta Proyecto de Inversión]],1,4)</f>
        <v>8173</v>
      </c>
      <c r="T269" s="162" t="str">
        <f>MID(PAA[[#This Row],[Meta Proyecto de Inversión]],6,1)</f>
        <v>4</v>
      </c>
      <c r="U269" s="163" t="str">
        <f>IFERROR(VLOOKUP(N269,TD!$B$50:$F$54,2,0)," ")</f>
        <v>O230117</v>
      </c>
      <c r="V269" s="163" t="str">
        <f>IFERROR(VLOOKUP(N269,TD!$B$50:$F$54,3,0)," ")</f>
        <v>4503</v>
      </c>
      <c r="W269" s="163">
        <f>IFERROR(VLOOKUP(N269,TD!$B$50:$F$54,4,0)," ")</f>
        <v>20240255</v>
      </c>
      <c r="X269" s="162" t="s">
        <v>176</v>
      </c>
      <c r="Y269" s="163" t="str">
        <f>IFERROR(VLOOKUP(X269,TD!$J$51:$K$64,2,0)," ")</f>
        <v>Servicio de mantenimiento, dotación (HEA´s y equipo menor) y adquisición de vehiculos   especializados para la atención de emergencias.</v>
      </c>
      <c r="Z269" s="164" t="str">
        <f t="shared" si="16"/>
        <v>09-Servicio de mantenimiento, dotación (HEA´s y equipo menor) y adquisición de vehiculos   especializados para la atención de emergencias.</v>
      </c>
      <c r="AA269" s="162" t="s">
        <v>221</v>
      </c>
      <c r="AB269" s="163" t="str">
        <f>IFERROR(VLOOKUP(AA269,TD!$N$51:$O$66,2,0)," ")</f>
        <v>Servicio de atención a emergencias y desastres</v>
      </c>
      <c r="AC269" s="164" t="str">
        <f t="shared" si="17"/>
        <v>004_Servicio de atención a emergencias y desastres</v>
      </c>
      <c r="AD269" s="164" t="str">
        <f t="shared" si="18"/>
        <v>09-Servicio de mantenimiento, dotación (HEA´s y equipo menor) y adquisición de vehiculos   especializados para la atención de emergencias. 004_Servicio de atención a emergencias y desastres</v>
      </c>
      <c r="AE269" s="163" t="str">
        <f t="shared" si="19"/>
        <v>O23011745032024025509004</v>
      </c>
      <c r="AF269" s="163" t="str">
        <f>IFERROR(VLOOKUP(AD269,TD!$J$66:$K$89,2,0)," ")</f>
        <v>PM/0131/0109/45030040255</v>
      </c>
      <c r="AG269" s="118" t="s">
        <v>385</v>
      </c>
      <c r="AH269" s="162" t="s">
        <v>193</v>
      </c>
      <c r="AI269" s="165" t="str">
        <f>CONCATENATE(PAA[[#This Row],[Id Interno]],"-",PAA[[#This Row],[tipo de Contrato (TH talento humano - B/S bienes y/o servicios)]],"-",S269,"-",T269,"-",PAA[[#This Row],[Objeto de la contratación]])</f>
        <v>20260237-TH-8173-4-Prestación de servicios profesionales para realizar el seguimiento y monitoreo a los diferentes procesos y procedimientos del equipo menor a cargo de la Subdirección Logística - SBLG</v>
      </c>
    </row>
    <row r="270" spans="2:35" ht="84" x14ac:dyDescent="0.35">
      <c r="B270" s="23">
        <v>20260238</v>
      </c>
      <c r="C270" s="99" t="s">
        <v>822</v>
      </c>
      <c r="D270" s="23" t="s">
        <v>105</v>
      </c>
      <c r="E270" s="23" t="s">
        <v>363</v>
      </c>
      <c r="F270" s="159" t="s">
        <v>145</v>
      </c>
      <c r="G270" s="160" t="s">
        <v>373</v>
      </c>
      <c r="H270" s="161">
        <v>9</v>
      </c>
      <c r="I270" s="161">
        <v>0</v>
      </c>
      <c r="J270" s="127">
        <v>32400000</v>
      </c>
      <c r="K270" s="88" t="s">
        <v>398</v>
      </c>
      <c r="L270" s="159" t="s">
        <v>157</v>
      </c>
      <c r="M270" s="162" t="s">
        <v>495</v>
      </c>
      <c r="N270" s="23" t="s">
        <v>198</v>
      </c>
      <c r="O270" s="150" t="s">
        <v>926</v>
      </c>
      <c r="P270" s="159" t="s">
        <v>348</v>
      </c>
      <c r="Q270" s="53">
        <v>80111600</v>
      </c>
      <c r="R270" s="162" t="s">
        <v>213</v>
      </c>
      <c r="S270" s="162" t="str">
        <f>MID(PAA[[#This Row],[Meta Proyecto de Inversión]],1,4)</f>
        <v>8173</v>
      </c>
      <c r="T270" s="162" t="str">
        <f>MID(PAA[[#This Row],[Meta Proyecto de Inversión]],6,1)</f>
        <v>4</v>
      </c>
      <c r="U270" s="163" t="str">
        <f>IFERROR(VLOOKUP(N270,TD!$B$50:$F$54,2,0)," ")</f>
        <v>O230117</v>
      </c>
      <c r="V270" s="163" t="str">
        <f>IFERROR(VLOOKUP(N270,TD!$B$50:$F$54,3,0)," ")</f>
        <v>4503</v>
      </c>
      <c r="W270" s="163">
        <f>IFERROR(VLOOKUP(N270,TD!$B$50:$F$54,4,0)," ")</f>
        <v>20240255</v>
      </c>
      <c r="X270" s="162" t="s">
        <v>176</v>
      </c>
      <c r="Y270" s="163" t="str">
        <f>IFERROR(VLOOKUP(X270,TD!$J$51:$K$64,2,0)," ")</f>
        <v>Servicio de mantenimiento, dotación (HEA´s y equipo menor) y adquisición de vehiculos   especializados para la atención de emergencias.</v>
      </c>
      <c r="Z270" s="164" t="str">
        <f t="shared" si="16"/>
        <v>09-Servicio de mantenimiento, dotación (HEA´s y equipo menor) y adquisición de vehiculos   especializados para la atención de emergencias.</v>
      </c>
      <c r="AA270" s="162" t="s">
        <v>221</v>
      </c>
      <c r="AB270" s="163" t="str">
        <f>IFERROR(VLOOKUP(AA270,TD!$N$51:$O$66,2,0)," ")</f>
        <v>Servicio de atención a emergencias y desastres</v>
      </c>
      <c r="AC270" s="164" t="str">
        <f t="shared" si="17"/>
        <v>004_Servicio de atención a emergencias y desastres</v>
      </c>
      <c r="AD270" s="164" t="str">
        <f t="shared" si="18"/>
        <v>09-Servicio de mantenimiento, dotación (HEA´s y equipo menor) y adquisición de vehiculos   especializados para la atención de emergencias. 004_Servicio de atención a emergencias y desastres</v>
      </c>
      <c r="AE270" s="163" t="str">
        <f t="shared" si="19"/>
        <v>O23011745032024025509004</v>
      </c>
      <c r="AF270" s="163" t="str">
        <f>IFERROR(VLOOKUP(AD270,TD!$J$66:$K$89,2,0)," ")</f>
        <v>PM/0131/0109/45030040255</v>
      </c>
      <c r="AG270" s="118" t="s">
        <v>385</v>
      </c>
      <c r="AH270" s="162" t="s">
        <v>193</v>
      </c>
      <c r="AI270" s="165" t="str">
        <f>CONCATENATE(PAA[[#This Row],[Id Interno]],"-",PAA[[#This Row],[tipo de Contrato (TH talento humano - B/S bienes y/o servicios)]],"-",S270,"-",T270,"-",PAA[[#This Row],[Objeto de la contratación]])</f>
        <v>20260238-TH-8173-4-Prestar servicios de apoyo a la gestión en actividades administrativas y documentales en el procedimiento de equipo menor desarrollo de las estrategías de la Subdirección Logística - SBLG - SBLG</v>
      </c>
    </row>
    <row r="271" spans="2:35" ht="84" x14ac:dyDescent="0.35">
      <c r="B271" s="23">
        <v>20260239</v>
      </c>
      <c r="C271" s="99" t="s">
        <v>520</v>
      </c>
      <c r="D271" s="23" t="s">
        <v>105</v>
      </c>
      <c r="E271" s="23" t="s">
        <v>363</v>
      </c>
      <c r="F271" s="159" t="s">
        <v>144</v>
      </c>
      <c r="G271" s="160" t="s">
        <v>373</v>
      </c>
      <c r="H271" s="161">
        <v>9</v>
      </c>
      <c r="I271" s="161">
        <v>0</v>
      </c>
      <c r="J271" s="127">
        <v>49500000</v>
      </c>
      <c r="K271" s="88" t="s">
        <v>398</v>
      </c>
      <c r="L271" s="159" t="s">
        <v>157</v>
      </c>
      <c r="M271" s="162" t="s">
        <v>495</v>
      </c>
      <c r="N271" s="23" t="s">
        <v>198</v>
      </c>
      <c r="O271" s="150" t="s">
        <v>926</v>
      </c>
      <c r="P271" s="159" t="s">
        <v>348</v>
      </c>
      <c r="Q271" s="53">
        <v>80111600</v>
      </c>
      <c r="R271" s="162" t="s">
        <v>213</v>
      </c>
      <c r="S271" s="162" t="str">
        <f>MID(PAA[[#This Row],[Meta Proyecto de Inversión]],1,4)</f>
        <v>8173</v>
      </c>
      <c r="T271" s="162" t="str">
        <f>MID(PAA[[#This Row],[Meta Proyecto de Inversión]],6,1)</f>
        <v>4</v>
      </c>
      <c r="U271" s="163" t="str">
        <f>IFERROR(VLOOKUP(N271,TD!$B$50:$F$54,2,0)," ")</f>
        <v>O230117</v>
      </c>
      <c r="V271" s="163" t="str">
        <f>IFERROR(VLOOKUP(N271,TD!$B$50:$F$54,3,0)," ")</f>
        <v>4503</v>
      </c>
      <c r="W271" s="163">
        <f>IFERROR(VLOOKUP(N271,TD!$B$50:$F$54,4,0)," ")</f>
        <v>20240255</v>
      </c>
      <c r="X271" s="162" t="s">
        <v>176</v>
      </c>
      <c r="Y271" s="163" t="str">
        <f>IFERROR(VLOOKUP(X271,TD!$J$51:$K$64,2,0)," ")</f>
        <v>Servicio de mantenimiento, dotación (HEA´s y equipo menor) y adquisición de vehiculos   especializados para la atención de emergencias.</v>
      </c>
      <c r="Z271" s="164" t="str">
        <f t="shared" si="16"/>
        <v>09-Servicio de mantenimiento, dotación (HEA´s y equipo menor) y adquisición de vehiculos   especializados para la atención de emergencias.</v>
      </c>
      <c r="AA271" s="162" t="s">
        <v>221</v>
      </c>
      <c r="AB271" s="163" t="str">
        <f>IFERROR(VLOOKUP(AA271,TD!$N$51:$O$66,2,0)," ")</f>
        <v>Servicio de atención a emergencias y desastres</v>
      </c>
      <c r="AC271" s="164" t="str">
        <f t="shared" si="17"/>
        <v>004_Servicio de atención a emergencias y desastres</v>
      </c>
      <c r="AD271" s="164" t="str">
        <f t="shared" si="18"/>
        <v>09-Servicio de mantenimiento, dotación (HEA´s y equipo menor) y adquisición de vehiculos   especializados para la atención de emergencias. 004_Servicio de atención a emergencias y desastres</v>
      </c>
      <c r="AE271" s="163" t="str">
        <f t="shared" si="19"/>
        <v>O23011745032024025509004</v>
      </c>
      <c r="AF271" s="163" t="str">
        <f>IFERROR(VLOOKUP(AD271,TD!$J$66:$K$89,2,0)," ")</f>
        <v>PM/0131/0109/45030040255</v>
      </c>
      <c r="AG271" s="118" t="s">
        <v>385</v>
      </c>
      <c r="AH271" s="162" t="s">
        <v>193</v>
      </c>
      <c r="AI271" s="165" t="str">
        <f>CONCATENATE(PAA[[#This Row],[Id Interno]],"-",PAA[[#This Row],[tipo de Contrato (TH talento humano - B/S bienes y/o servicios)]],"-",S271,"-",T271,"-",PAA[[#This Row],[Objeto de la contratación]])</f>
        <v>20260239-TH-8173-4-Prestación de servicios profesionales para realizar el seguimiento y monitoreo a los diferentes procesos y procedimientos del equipo menor a cargo de la Subdirección Logística - SBLG</v>
      </c>
    </row>
    <row r="272" spans="2:35" ht="84" x14ac:dyDescent="0.35">
      <c r="B272" s="23">
        <v>20260240</v>
      </c>
      <c r="C272" s="99" t="s">
        <v>821</v>
      </c>
      <c r="D272" s="23" t="s">
        <v>105</v>
      </c>
      <c r="E272" s="23" t="s">
        <v>363</v>
      </c>
      <c r="F272" s="159" t="s">
        <v>145</v>
      </c>
      <c r="G272" s="160" t="s">
        <v>373</v>
      </c>
      <c r="H272" s="161">
        <v>7</v>
      </c>
      <c r="I272" s="161">
        <v>0</v>
      </c>
      <c r="J272" s="127">
        <v>25200000</v>
      </c>
      <c r="K272" s="88" t="s">
        <v>398</v>
      </c>
      <c r="L272" s="159" t="s">
        <v>157</v>
      </c>
      <c r="M272" s="162" t="s">
        <v>495</v>
      </c>
      <c r="N272" s="23" t="s">
        <v>198</v>
      </c>
      <c r="O272" s="150" t="s">
        <v>926</v>
      </c>
      <c r="P272" s="159" t="s">
        <v>348</v>
      </c>
      <c r="Q272" s="53">
        <v>80111600</v>
      </c>
      <c r="R272" s="162" t="s">
        <v>213</v>
      </c>
      <c r="S272" s="162" t="str">
        <f>MID(PAA[[#This Row],[Meta Proyecto de Inversión]],1,4)</f>
        <v>8173</v>
      </c>
      <c r="T272" s="162" t="str">
        <f>MID(PAA[[#This Row],[Meta Proyecto de Inversión]],6,1)</f>
        <v>4</v>
      </c>
      <c r="U272" s="163" t="str">
        <f>IFERROR(VLOOKUP(N272,TD!$B$50:$F$54,2,0)," ")</f>
        <v>O230117</v>
      </c>
      <c r="V272" s="163" t="str">
        <f>IFERROR(VLOOKUP(N272,TD!$B$50:$F$54,3,0)," ")</f>
        <v>4503</v>
      </c>
      <c r="W272" s="163">
        <f>IFERROR(VLOOKUP(N272,TD!$B$50:$F$54,4,0)," ")</f>
        <v>20240255</v>
      </c>
      <c r="X272" s="162" t="s">
        <v>176</v>
      </c>
      <c r="Y272" s="163" t="str">
        <f>IFERROR(VLOOKUP(X272,TD!$J$51:$K$64,2,0)," ")</f>
        <v>Servicio de mantenimiento, dotación (HEA´s y equipo menor) y adquisición de vehiculos   especializados para la atención de emergencias.</v>
      </c>
      <c r="Z272" s="164" t="str">
        <f t="shared" si="16"/>
        <v>09-Servicio de mantenimiento, dotación (HEA´s y equipo menor) y adquisición de vehiculos   especializados para la atención de emergencias.</v>
      </c>
      <c r="AA272" s="162" t="s">
        <v>221</v>
      </c>
      <c r="AB272" s="163" t="str">
        <f>IFERROR(VLOOKUP(AA272,TD!$N$51:$O$66,2,0)," ")</f>
        <v>Servicio de atención a emergencias y desastres</v>
      </c>
      <c r="AC272" s="164" t="str">
        <f t="shared" si="17"/>
        <v>004_Servicio de atención a emergencias y desastres</v>
      </c>
      <c r="AD272" s="164" t="str">
        <f t="shared" si="18"/>
        <v>09-Servicio de mantenimiento, dotación (HEA´s y equipo menor) y adquisición de vehiculos   especializados para la atención de emergencias. 004_Servicio de atención a emergencias y desastres</v>
      </c>
      <c r="AE272" s="163" t="str">
        <f t="shared" si="19"/>
        <v>O23011745032024025509004</v>
      </c>
      <c r="AF272" s="163" t="str">
        <f>IFERROR(VLOOKUP(AD272,TD!$J$66:$K$89,2,0)," ")</f>
        <v>PM/0131/0109/45030040255</v>
      </c>
      <c r="AG272" s="118" t="s">
        <v>385</v>
      </c>
      <c r="AH272" s="162" t="s">
        <v>193</v>
      </c>
      <c r="AI272" s="165" t="str">
        <f>CONCATENATE(PAA[[#This Row],[Id Interno]],"-",PAA[[#This Row],[tipo de Contrato (TH talento humano - B/S bienes y/o servicios)]],"-",S272,"-",T272,"-",PAA[[#This Row],[Objeto de la contratación]])</f>
        <v>20260240-TH-8173-4-Prestar servicio de apoyo a la gestión para asistir a la Subdirección Logística en el seguimiento técnico y administrativo de los mantenimientos minimos requeridos en la Subdirección Logística - SBLG</v>
      </c>
    </row>
    <row r="273" spans="2:35" ht="56" x14ac:dyDescent="0.35">
      <c r="B273" s="23">
        <v>20260241</v>
      </c>
      <c r="C273" s="99" t="s">
        <v>823</v>
      </c>
      <c r="D273" s="23" t="s">
        <v>105</v>
      </c>
      <c r="E273" s="23" t="s">
        <v>363</v>
      </c>
      <c r="F273" s="159" t="s">
        <v>144</v>
      </c>
      <c r="G273" s="160" t="s">
        <v>373</v>
      </c>
      <c r="H273" s="161">
        <v>7</v>
      </c>
      <c r="I273" s="161">
        <v>15</v>
      </c>
      <c r="J273" s="127">
        <v>60000000</v>
      </c>
      <c r="K273" s="88" t="s">
        <v>398</v>
      </c>
      <c r="L273" s="159" t="s">
        <v>157</v>
      </c>
      <c r="M273" s="162" t="s">
        <v>495</v>
      </c>
      <c r="N273" s="23" t="s">
        <v>198</v>
      </c>
      <c r="O273" s="150" t="s">
        <v>926</v>
      </c>
      <c r="P273" s="159" t="s">
        <v>348</v>
      </c>
      <c r="Q273" s="53">
        <v>80111600</v>
      </c>
      <c r="R273" s="162" t="s">
        <v>213</v>
      </c>
      <c r="S273" s="162" t="str">
        <f>MID(PAA[[#This Row],[Meta Proyecto de Inversión]],1,4)</f>
        <v>8173</v>
      </c>
      <c r="T273" s="162" t="str">
        <f>MID(PAA[[#This Row],[Meta Proyecto de Inversión]],6,1)</f>
        <v>4</v>
      </c>
      <c r="U273" s="163" t="str">
        <f>IFERROR(VLOOKUP(N273,TD!$B$50:$F$54,2,0)," ")</f>
        <v>O230117</v>
      </c>
      <c r="V273" s="163" t="str">
        <f>IFERROR(VLOOKUP(N273,TD!$B$50:$F$54,3,0)," ")</f>
        <v>4503</v>
      </c>
      <c r="W273" s="163">
        <f>IFERROR(VLOOKUP(N273,TD!$B$50:$F$54,4,0)," ")</f>
        <v>20240255</v>
      </c>
      <c r="X273" s="162" t="s">
        <v>180</v>
      </c>
      <c r="Y273" s="163" t="str">
        <f>IFERROR(VLOOKUP(X273,TD!$J$51:$K$64,2,0)," ")</f>
        <v>Servicio de apoyo   logístico  en eventos operativos y/o emergencias.</v>
      </c>
      <c r="Z273" s="164" t="str">
        <f t="shared" si="16"/>
        <v>12-Servicio de apoyo   logístico  en eventos operativos y/o emergencias.</v>
      </c>
      <c r="AA273" s="162" t="s">
        <v>221</v>
      </c>
      <c r="AB273" s="163" t="str">
        <f>IFERROR(VLOOKUP(AA273,TD!$N$51:$O$66,2,0)," ")</f>
        <v>Servicio de atención a emergencias y desastres</v>
      </c>
      <c r="AC273" s="164" t="str">
        <f t="shared" si="17"/>
        <v>004_Servicio de atención a emergencias y desastres</v>
      </c>
      <c r="AD273" s="164" t="str">
        <f t="shared" si="18"/>
        <v>12-Servicio de apoyo   logístico  en eventos operativos y/o emergencias. 004_Servicio de atención a emergencias y desastres</v>
      </c>
      <c r="AE273" s="163" t="str">
        <f t="shared" si="19"/>
        <v>O23011745032024025512004</v>
      </c>
      <c r="AF273" s="163" t="str">
        <f>IFERROR(VLOOKUP(AD273,TD!$J$66:$K$89,2,0)," ")</f>
        <v>PM/0131/0112/45030040255</v>
      </c>
      <c r="AG273" s="118" t="s">
        <v>385</v>
      </c>
      <c r="AH273" s="162" t="s">
        <v>193</v>
      </c>
      <c r="AI273" s="165" t="str">
        <f>CONCATENATE(PAA[[#This Row],[Id Interno]],"-",PAA[[#This Row],[tipo de Contrato (TH talento humano - B/S bienes y/o servicios)]],"-",S273,"-",T273,"-",PAA[[#This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74" spans="2:35" ht="56" x14ac:dyDescent="0.35">
      <c r="B274" s="23">
        <v>20260242</v>
      </c>
      <c r="C274" s="99" t="s">
        <v>897</v>
      </c>
      <c r="D274" s="23" t="s">
        <v>105</v>
      </c>
      <c r="E274" s="23" t="s">
        <v>363</v>
      </c>
      <c r="F274" s="159" t="s">
        <v>144</v>
      </c>
      <c r="G274" s="160" t="s">
        <v>373</v>
      </c>
      <c r="H274" s="161">
        <v>7</v>
      </c>
      <c r="I274" s="161">
        <v>0</v>
      </c>
      <c r="J274" s="127">
        <v>31500000</v>
      </c>
      <c r="K274" s="88" t="s">
        <v>398</v>
      </c>
      <c r="L274" s="159" t="s">
        <v>157</v>
      </c>
      <c r="M274" s="162" t="s">
        <v>495</v>
      </c>
      <c r="N274" s="23" t="s">
        <v>198</v>
      </c>
      <c r="O274" s="150" t="s">
        <v>926</v>
      </c>
      <c r="P274" s="159" t="s">
        <v>348</v>
      </c>
      <c r="Q274" s="53">
        <v>80111600</v>
      </c>
      <c r="R274" s="162" t="s">
        <v>213</v>
      </c>
      <c r="S274" s="162" t="str">
        <f>MID(PAA[[#This Row],[Meta Proyecto de Inversión]],1,4)</f>
        <v>8173</v>
      </c>
      <c r="T274" s="162" t="str">
        <f>MID(PAA[[#This Row],[Meta Proyecto de Inversión]],6,1)</f>
        <v>4</v>
      </c>
      <c r="U274" s="163" t="str">
        <f>IFERROR(VLOOKUP(N274,TD!$B$50:$F$54,2,0)," ")</f>
        <v>O230117</v>
      </c>
      <c r="V274" s="163" t="str">
        <f>IFERROR(VLOOKUP(N274,TD!$B$50:$F$54,3,0)," ")</f>
        <v>4503</v>
      </c>
      <c r="W274" s="163">
        <f>IFERROR(VLOOKUP(N274,TD!$B$50:$F$54,4,0)," ")</f>
        <v>20240255</v>
      </c>
      <c r="X274" s="162" t="s">
        <v>180</v>
      </c>
      <c r="Y274" s="163" t="str">
        <f>IFERROR(VLOOKUP(X274,TD!$J$51:$K$64,2,0)," ")</f>
        <v>Servicio de apoyo   logístico  en eventos operativos y/o emergencias.</v>
      </c>
      <c r="Z274" s="164" t="str">
        <f t="shared" si="16"/>
        <v>12-Servicio de apoyo   logístico  en eventos operativos y/o emergencias.</v>
      </c>
      <c r="AA274" s="162" t="s">
        <v>221</v>
      </c>
      <c r="AB274" s="163" t="str">
        <f>IFERROR(VLOOKUP(AA274,TD!$N$51:$O$66,2,0)," ")</f>
        <v>Servicio de atención a emergencias y desastres</v>
      </c>
      <c r="AC274" s="164" t="str">
        <f t="shared" si="17"/>
        <v>004_Servicio de atención a emergencias y desastres</v>
      </c>
      <c r="AD274" s="164" t="str">
        <f t="shared" si="18"/>
        <v>12-Servicio de apoyo   logístico  en eventos operativos y/o emergencias. 004_Servicio de atención a emergencias y desastres</v>
      </c>
      <c r="AE274" s="163" t="str">
        <f t="shared" si="19"/>
        <v>O23011745032024025512004</v>
      </c>
      <c r="AF274" s="163" t="str">
        <f>IFERROR(VLOOKUP(AD274,TD!$J$66:$K$89,2,0)," ")</f>
        <v>PM/0131/0112/45030040255</v>
      </c>
      <c r="AG274" s="118" t="s">
        <v>385</v>
      </c>
      <c r="AH274" s="162" t="s">
        <v>193</v>
      </c>
      <c r="AI274" s="165" t="str">
        <f>CONCATENATE(PAA[[#This Row],[Id Interno]],"-",PAA[[#This Row],[tipo de Contrato (TH talento humano - B/S bienes y/o servicios)]],"-",S274,"-",T274,"-",PAA[[#This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75" spans="2:35" ht="70" x14ac:dyDescent="0.35">
      <c r="B275" s="23">
        <v>20260243</v>
      </c>
      <c r="C275" s="99" t="s">
        <v>824</v>
      </c>
      <c r="D275" s="23" t="s">
        <v>105</v>
      </c>
      <c r="E275" s="23" t="s">
        <v>363</v>
      </c>
      <c r="F275" s="159" t="s">
        <v>144</v>
      </c>
      <c r="G275" s="160" t="s">
        <v>373</v>
      </c>
      <c r="H275" s="161">
        <v>8</v>
      </c>
      <c r="I275" s="161">
        <v>0</v>
      </c>
      <c r="J275" s="127">
        <v>48000000</v>
      </c>
      <c r="K275" s="88" t="s">
        <v>398</v>
      </c>
      <c r="L275" s="159" t="s">
        <v>157</v>
      </c>
      <c r="M275" s="162" t="s">
        <v>495</v>
      </c>
      <c r="N275" s="23" t="s">
        <v>198</v>
      </c>
      <c r="O275" s="150" t="s">
        <v>926</v>
      </c>
      <c r="P275" s="159" t="s">
        <v>348</v>
      </c>
      <c r="Q275" s="53">
        <v>80111600</v>
      </c>
      <c r="R275" s="162" t="s">
        <v>213</v>
      </c>
      <c r="S275" s="162" t="str">
        <f>MID(PAA[[#This Row],[Meta Proyecto de Inversión]],1,4)</f>
        <v>8173</v>
      </c>
      <c r="T275" s="162" t="str">
        <f>MID(PAA[[#This Row],[Meta Proyecto de Inversión]],6,1)</f>
        <v>4</v>
      </c>
      <c r="U275" s="163" t="str">
        <f>IFERROR(VLOOKUP(N275,TD!$B$50:$F$54,2,0)," ")</f>
        <v>O230117</v>
      </c>
      <c r="V275" s="163" t="str">
        <f>IFERROR(VLOOKUP(N275,TD!$B$50:$F$54,3,0)," ")</f>
        <v>4503</v>
      </c>
      <c r="W275" s="163">
        <f>IFERROR(VLOOKUP(N275,TD!$B$50:$F$54,4,0)," ")</f>
        <v>20240255</v>
      </c>
      <c r="X275" s="162" t="s">
        <v>180</v>
      </c>
      <c r="Y275" s="163" t="str">
        <f>IFERROR(VLOOKUP(X275,TD!$J$51:$K$64,2,0)," ")</f>
        <v>Servicio de apoyo   logístico  en eventos operativos y/o emergencias.</v>
      </c>
      <c r="Z275" s="164" t="str">
        <f t="shared" si="16"/>
        <v>12-Servicio de apoyo   logístico  en eventos operativos y/o emergencias.</v>
      </c>
      <c r="AA275" s="162" t="s">
        <v>221</v>
      </c>
      <c r="AB275" s="163" t="str">
        <f>IFERROR(VLOOKUP(AA275,TD!$N$51:$O$66,2,0)," ")</f>
        <v>Servicio de atención a emergencias y desastres</v>
      </c>
      <c r="AC275" s="164" t="str">
        <f t="shared" si="17"/>
        <v>004_Servicio de atención a emergencias y desastres</v>
      </c>
      <c r="AD275" s="164" t="str">
        <f t="shared" si="18"/>
        <v>12-Servicio de apoyo   logístico  en eventos operativos y/o emergencias. 004_Servicio de atención a emergencias y desastres</v>
      </c>
      <c r="AE275" s="163" t="str">
        <f t="shared" si="19"/>
        <v>O23011745032024025512004</v>
      </c>
      <c r="AF275" s="163" t="str">
        <f>IFERROR(VLOOKUP(AD275,TD!$J$66:$K$89,2,0)," ")</f>
        <v>PM/0131/0112/45030040255</v>
      </c>
      <c r="AG275" s="118" t="s">
        <v>385</v>
      </c>
      <c r="AH275" s="162" t="s">
        <v>193</v>
      </c>
      <c r="AI275" s="165" t="str">
        <f>CONCATENATE(PAA[[#This Row],[Id Interno]],"-",PAA[[#This Row],[tipo de Contrato (TH talento humano - B/S bienes y/o servicios)]],"-",S275,"-",T275,"-",PAA[[#This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76" spans="2:35" ht="56" x14ac:dyDescent="0.35">
      <c r="B276" s="23">
        <v>20260244</v>
      </c>
      <c r="C276" s="99" t="s">
        <v>972</v>
      </c>
      <c r="D276" s="23" t="s">
        <v>114</v>
      </c>
      <c r="E276" s="23" t="s">
        <v>402</v>
      </c>
      <c r="F276" s="159" t="s">
        <v>111</v>
      </c>
      <c r="G276" s="160" t="s">
        <v>375</v>
      </c>
      <c r="H276" s="161">
        <v>10</v>
      </c>
      <c r="I276" s="161">
        <v>0</v>
      </c>
      <c r="J276" s="127">
        <v>111000000</v>
      </c>
      <c r="K276" s="88" t="s">
        <v>398</v>
      </c>
      <c r="L276" s="159" t="s">
        <v>157</v>
      </c>
      <c r="M276" s="162" t="s">
        <v>495</v>
      </c>
      <c r="N276" s="23" t="s">
        <v>198</v>
      </c>
      <c r="O276" s="150" t="s">
        <v>926</v>
      </c>
      <c r="P276" s="159" t="s">
        <v>161</v>
      </c>
      <c r="Q276" s="53">
        <v>15101500</v>
      </c>
      <c r="R276" s="162" t="s">
        <v>213</v>
      </c>
      <c r="S276" s="162" t="str">
        <f>MID(PAA[[#This Row],[Meta Proyecto de Inversión]],1,4)</f>
        <v>8173</v>
      </c>
      <c r="T276" s="162" t="str">
        <f>MID(PAA[[#This Row],[Meta Proyecto de Inversión]],6,1)</f>
        <v>4</v>
      </c>
      <c r="U276" s="163" t="str">
        <f>IFERROR(VLOOKUP(N276,TD!$B$50:$F$54,2,0)," ")</f>
        <v>O230117</v>
      </c>
      <c r="V276" s="163" t="str">
        <f>IFERROR(VLOOKUP(N276,TD!$B$50:$F$54,3,0)," ")</f>
        <v>4503</v>
      </c>
      <c r="W276" s="163">
        <f>IFERROR(VLOOKUP(N276,TD!$B$50:$F$54,4,0)," ")</f>
        <v>20240255</v>
      </c>
      <c r="X276" s="162" t="s">
        <v>180</v>
      </c>
      <c r="Y276" s="163" t="str">
        <f>IFERROR(VLOOKUP(X276,TD!$J$51:$K$64,2,0)," ")</f>
        <v>Servicio de apoyo   logístico  en eventos operativos y/o emergencias.</v>
      </c>
      <c r="Z276" s="164" t="str">
        <f t="shared" si="16"/>
        <v>12-Servicio de apoyo   logístico  en eventos operativos y/o emergencias.</v>
      </c>
      <c r="AA276" s="162" t="s">
        <v>221</v>
      </c>
      <c r="AB276" s="163" t="str">
        <f>IFERROR(VLOOKUP(AA276,TD!$N$51:$O$66,2,0)," ")</f>
        <v>Servicio de atención a emergencias y desastres</v>
      </c>
      <c r="AC276" s="164" t="str">
        <f t="shared" si="17"/>
        <v>004_Servicio de atención a emergencias y desastres</v>
      </c>
      <c r="AD276" s="164" t="str">
        <f t="shared" si="18"/>
        <v>12-Servicio de apoyo   logístico  en eventos operativos y/o emergencias. 004_Servicio de atención a emergencias y desastres</v>
      </c>
      <c r="AE276" s="163" t="str">
        <f t="shared" si="19"/>
        <v>O23011745032024025512004</v>
      </c>
      <c r="AF276" s="163" t="str">
        <f>IFERROR(VLOOKUP(AD276,TD!$J$66:$K$89,2,0)," ")</f>
        <v>PM/0131/0112/45030040255</v>
      </c>
      <c r="AG276" s="118" t="s">
        <v>85</v>
      </c>
      <c r="AH276" s="162" t="s">
        <v>193</v>
      </c>
      <c r="AI276" s="165" t="str">
        <f>CONCATENATE(PAA[[#This Row],[Id Interno]],"-",PAA[[#This Row],[tipo de Contrato (TH talento humano - B/S bienes y/o servicios)]],"-",S276,"-",T276,"-",PAA[[#This Row],[Objeto de la contratación]])</f>
        <v>20260244-BS-8173-4-Suministrar combustible para el parque automotor y los equipos especializados de la U.A.E. Cuerpo Oficial de Bomberos Bogotá, dentro y fuera del perímetro del Distrito Capital – SBLG.</v>
      </c>
    </row>
    <row r="277" spans="2:35" ht="84" x14ac:dyDescent="0.35">
      <c r="B277" s="23">
        <v>20260248</v>
      </c>
      <c r="C277" s="99" t="s">
        <v>503</v>
      </c>
      <c r="D277" s="23" t="s">
        <v>88</v>
      </c>
      <c r="E277" s="23" t="s">
        <v>402</v>
      </c>
      <c r="F277" s="159" t="s">
        <v>111</v>
      </c>
      <c r="G277" s="160" t="s">
        <v>377</v>
      </c>
      <c r="H277" s="161">
        <v>8</v>
      </c>
      <c r="I277" s="161">
        <v>0</v>
      </c>
      <c r="J277" s="127">
        <v>99000000</v>
      </c>
      <c r="K277" s="88" t="s">
        <v>398</v>
      </c>
      <c r="L277" s="159" t="s">
        <v>157</v>
      </c>
      <c r="M277" s="162" t="s">
        <v>495</v>
      </c>
      <c r="N277" s="23" t="s">
        <v>198</v>
      </c>
      <c r="O277" s="150" t="s">
        <v>926</v>
      </c>
      <c r="P277" s="159" t="s">
        <v>161</v>
      </c>
      <c r="Q277" s="53" t="s">
        <v>504</v>
      </c>
      <c r="R277" s="162" t="s">
        <v>213</v>
      </c>
      <c r="S277" s="162" t="str">
        <f>MID(PAA[[#This Row],[Meta Proyecto de Inversión]],1,4)</f>
        <v>8173</v>
      </c>
      <c r="T277" s="162" t="str">
        <f>MID(PAA[[#This Row],[Meta Proyecto de Inversión]],6,1)</f>
        <v>4</v>
      </c>
      <c r="U277" s="163" t="str">
        <f>IFERROR(VLOOKUP(N277,TD!$B$50:$F$54,2,0)," ")</f>
        <v>O230117</v>
      </c>
      <c r="V277" s="163" t="str">
        <f>IFERROR(VLOOKUP(N277,TD!$B$50:$F$54,3,0)," ")</f>
        <v>4503</v>
      </c>
      <c r="W277" s="163">
        <f>IFERROR(VLOOKUP(N277,TD!$B$50:$F$54,4,0)," ")</f>
        <v>20240255</v>
      </c>
      <c r="X277" s="162" t="s">
        <v>180</v>
      </c>
      <c r="Y277" s="163" t="str">
        <f>IFERROR(VLOOKUP(X277,TD!$J$51:$K$64,2,0)," ")</f>
        <v>Servicio de apoyo   logístico  en eventos operativos y/o emergencias.</v>
      </c>
      <c r="Z277" s="164" t="str">
        <f t="shared" si="16"/>
        <v>12-Servicio de apoyo   logístico  en eventos operativos y/o emergencias.</v>
      </c>
      <c r="AA277" s="162" t="s">
        <v>221</v>
      </c>
      <c r="AB277" s="163" t="str">
        <f>IFERROR(VLOOKUP(AA277,TD!$N$51:$O$66,2,0)," ")</f>
        <v>Servicio de atención a emergencias y desastres</v>
      </c>
      <c r="AC277" s="164" t="str">
        <f t="shared" si="17"/>
        <v>004_Servicio de atención a emergencias y desastres</v>
      </c>
      <c r="AD277" s="164" t="str">
        <f t="shared" si="18"/>
        <v>12-Servicio de apoyo   logístico  en eventos operativos y/o emergencias. 004_Servicio de atención a emergencias y desastres</v>
      </c>
      <c r="AE277" s="163" t="str">
        <f t="shared" si="19"/>
        <v>O23011745032024025512004</v>
      </c>
      <c r="AF277" s="163" t="str">
        <f>IFERROR(VLOOKUP(AD277,TD!$J$66:$K$89,2,0)," ")</f>
        <v>PM/0131/0112/45030040255</v>
      </c>
      <c r="AG277" s="118" t="s">
        <v>102</v>
      </c>
      <c r="AH277" s="162" t="s">
        <v>193</v>
      </c>
      <c r="AI277" s="165" t="str">
        <f>CONCATENATE(PAA[[#This Row],[Id Interno]],"-",PAA[[#This Row],[tipo de Contrato (TH talento humano - B/S bienes y/o servicios)]],"-",S277,"-",T277,"-",PAA[[#This Row],[Objeto de la contratación]])</f>
        <v>20260248-BS-8173-4-Suministro de alimentación e hidratación para el cuerpo operativo en la atención de emergencias, entrenamientos, capacitaciones y actividades de prevención.-SBLG </v>
      </c>
    </row>
    <row r="278" spans="2:35" ht="112" x14ac:dyDescent="0.35">
      <c r="B278" s="99">
        <v>20260253</v>
      </c>
      <c r="C278" s="99" t="s">
        <v>507</v>
      </c>
      <c r="D278" s="99" t="s">
        <v>105</v>
      </c>
      <c r="E278" s="99" t="s">
        <v>402</v>
      </c>
      <c r="F278" s="160" t="s">
        <v>111</v>
      </c>
      <c r="G278" s="160" t="s">
        <v>381</v>
      </c>
      <c r="H278" s="166">
        <v>5</v>
      </c>
      <c r="I278" s="166">
        <v>0</v>
      </c>
      <c r="J278" s="118">
        <v>2000000</v>
      </c>
      <c r="K278" s="126" t="s">
        <v>398</v>
      </c>
      <c r="L278" s="160" t="s">
        <v>157</v>
      </c>
      <c r="M278" s="167" t="s">
        <v>495</v>
      </c>
      <c r="N278" s="99" t="s">
        <v>198</v>
      </c>
      <c r="O278" s="150" t="s">
        <v>926</v>
      </c>
      <c r="P278" s="160" t="s">
        <v>348</v>
      </c>
      <c r="Q278" s="128" t="s">
        <v>508</v>
      </c>
      <c r="R278" s="167" t="s">
        <v>213</v>
      </c>
      <c r="S278" s="162" t="str">
        <f>MID(PAA[[#This Row],[Meta Proyecto de Inversión]],1,4)</f>
        <v>8173</v>
      </c>
      <c r="T278" s="162" t="str">
        <f>MID(PAA[[#This Row],[Meta Proyecto de Inversión]],6,1)</f>
        <v>4</v>
      </c>
      <c r="U278" s="168" t="str">
        <f>IFERROR(VLOOKUP(N278,TD!$B$50:$F$54,2,0)," ")</f>
        <v>O230117</v>
      </c>
      <c r="V278" s="168" t="str">
        <f>IFERROR(VLOOKUP(N278,TD!$B$50:$F$54,3,0)," ")</f>
        <v>4503</v>
      </c>
      <c r="W278" s="168">
        <f>IFERROR(VLOOKUP(N278,TD!$B$50:$F$54,4,0)," ")</f>
        <v>20240255</v>
      </c>
      <c r="X278" s="167" t="s">
        <v>176</v>
      </c>
      <c r="Y278" s="168" t="str">
        <f>IFERROR(VLOOKUP(X278,TD!$J$51:$K$64,2,0)," ")</f>
        <v>Servicio de mantenimiento, dotación (HEA´s y equipo menor) y adquisición de vehiculos   especializados para la atención de emergencias.</v>
      </c>
      <c r="Z278" s="164" t="str">
        <f t="shared" si="16"/>
        <v>09-Servicio de mantenimiento, dotación (HEA´s y equipo menor) y adquisición de vehiculos   especializados para la atención de emergencias.</v>
      </c>
      <c r="AA278" s="167" t="s">
        <v>221</v>
      </c>
      <c r="AB278" s="168" t="str">
        <f>IFERROR(VLOOKUP(AA278,TD!$N$51:$O$66,2,0)," ")</f>
        <v>Servicio de atención a emergencias y desastres</v>
      </c>
      <c r="AC278" s="164" t="str">
        <f t="shared" si="17"/>
        <v>004_Servicio de atención a emergencias y desastres</v>
      </c>
      <c r="AD278" s="164" t="str">
        <f t="shared" si="18"/>
        <v>09-Servicio de mantenimiento, dotación (HEA´s y equipo menor) y adquisición de vehiculos   especializados para la atención de emergencias. 004_Servicio de atención a emergencias y desastres</v>
      </c>
      <c r="AE278" s="168" t="str">
        <f t="shared" si="19"/>
        <v>O23011745032024025509004</v>
      </c>
      <c r="AF278" s="168" t="str">
        <f>IFERROR(VLOOKUP(AD278,TD!$J$66:$K$89,2,0)," ")</f>
        <v>PM/0131/0109/45030040255</v>
      </c>
      <c r="AG278" s="118" t="s">
        <v>80</v>
      </c>
      <c r="AH278" s="167" t="s">
        <v>193</v>
      </c>
      <c r="AI278" s="169" t="str">
        <f>CONCATENATE(PAA[[#This Row],[Id Interno]],"-",PAA[[#This Row],[tipo de Contrato (TH talento humano - B/S bienes y/o servicios)]],"-",S278,"-",T278,"-",PAA[[#This Row],[Objeto de la contratación]])</f>
        <v>20260253-BS-8173-4-Suministrar los repuestos, accesorios e insumos de los equipos de rescate vehicular liviano y pesado marca LUKAS-  SBLG</v>
      </c>
    </row>
    <row r="279" spans="2:35" ht="84" x14ac:dyDescent="0.35">
      <c r="B279" s="23">
        <v>20260255</v>
      </c>
      <c r="C279" s="99" t="s">
        <v>978</v>
      </c>
      <c r="D279" s="23" t="s">
        <v>105</v>
      </c>
      <c r="E279" s="23" t="s">
        <v>402</v>
      </c>
      <c r="F279" s="159" t="s">
        <v>89</v>
      </c>
      <c r="G279" s="160" t="s">
        <v>375</v>
      </c>
      <c r="H279" s="161">
        <v>4</v>
      </c>
      <c r="I279" s="161">
        <v>0</v>
      </c>
      <c r="J279" s="127">
        <v>26104301</v>
      </c>
      <c r="K279" s="88" t="s">
        <v>398</v>
      </c>
      <c r="L279" s="159" t="s">
        <v>157</v>
      </c>
      <c r="M279" s="162" t="s">
        <v>495</v>
      </c>
      <c r="N279" s="23" t="s">
        <v>198</v>
      </c>
      <c r="O279" s="150" t="s">
        <v>926</v>
      </c>
      <c r="P279" s="159" t="s">
        <v>348</v>
      </c>
      <c r="Q279" s="53">
        <v>72101509</v>
      </c>
      <c r="R279" s="162" t="s">
        <v>213</v>
      </c>
      <c r="S279" s="162" t="str">
        <f>MID(PAA[[#This Row],[Meta Proyecto de Inversión]],1,4)</f>
        <v>8173</v>
      </c>
      <c r="T279" s="162" t="str">
        <f>MID(PAA[[#This Row],[Meta Proyecto de Inversión]],6,1)</f>
        <v>4</v>
      </c>
      <c r="U279" s="163" t="str">
        <f>IFERROR(VLOOKUP(N279,TD!$B$50:$F$54,2,0)," ")</f>
        <v>O230117</v>
      </c>
      <c r="V279" s="163" t="str">
        <f>IFERROR(VLOOKUP(N279,TD!$B$50:$F$54,3,0)," ")</f>
        <v>4503</v>
      </c>
      <c r="W279" s="163">
        <f>IFERROR(VLOOKUP(N279,TD!$B$50:$F$54,4,0)," ")</f>
        <v>20240255</v>
      </c>
      <c r="X279" s="162" t="s">
        <v>176</v>
      </c>
      <c r="Y279" s="163" t="str">
        <f>IFERROR(VLOOKUP(X279,TD!$J$51:$K$64,2,0)," ")</f>
        <v>Servicio de mantenimiento, dotación (HEA´s y equipo menor) y adquisición de vehiculos   especializados para la atención de emergencias.</v>
      </c>
      <c r="Z279" s="164" t="str">
        <f t="shared" si="16"/>
        <v>09-Servicio de mantenimiento, dotación (HEA´s y equipo menor) y adquisición de vehiculos   especializados para la atención de emergencias.</v>
      </c>
      <c r="AA279" s="167" t="s">
        <v>221</v>
      </c>
      <c r="AB279" s="163" t="str">
        <f>IFERROR(VLOOKUP(AA279,TD!$N$51:$O$66,2,0)," ")</f>
        <v>Servicio de atención a emergencias y desastres</v>
      </c>
      <c r="AC279" s="164" t="str">
        <f t="shared" si="17"/>
        <v>004_Servicio de atención a emergencias y desastres</v>
      </c>
      <c r="AD279" s="164" t="str">
        <f t="shared" si="18"/>
        <v>09-Servicio de mantenimiento, dotación (HEA´s y equipo menor) y adquisición de vehiculos   especializados para la atención de emergencias. 004_Servicio de atención a emergencias y desastres</v>
      </c>
      <c r="AE279" s="163" t="str">
        <f t="shared" si="19"/>
        <v>O23011745032024025509004</v>
      </c>
      <c r="AF279" s="163" t="str">
        <f>IFERROR(VLOOKUP(AD279,TD!$J$66:$K$89,2,0)," ")</f>
        <v>PM/0131/0109/45030040255</v>
      </c>
      <c r="AG279" s="118" t="s">
        <v>80</v>
      </c>
      <c r="AH279" s="162" t="s">
        <v>193</v>
      </c>
      <c r="AI279" s="165" t="str">
        <f>CONCATENATE(PAA[[#This Row],[Id Interno]],"-",PAA[[#This Row],[tipo de Contrato (TH talento humano - B/S bienes y/o servicios)]],"-",S279,"-",T279,"-",PAA[[#This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280" spans="2:35" ht="56" x14ac:dyDescent="0.35">
      <c r="B280" s="23">
        <v>20260257</v>
      </c>
      <c r="C280" s="99" t="s">
        <v>651</v>
      </c>
      <c r="D280" s="23" t="s">
        <v>92</v>
      </c>
      <c r="E280" s="23" t="s">
        <v>402</v>
      </c>
      <c r="F280" s="159" t="s">
        <v>89</v>
      </c>
      <c r="G280" s="160" t="s">
        <v>375</v>
      </c>
      <c r="H280" s="161">
        <v>12</v>
      </c>
      <c r="I280" s="161">
        <v>0</v>
      </c>
      <c r="J280" s="127">
        <v>49000000</v>
      </c>
      <c r="K280" s="88" t="s">
        <v>398</v>
      </c>
      <c r="L280" s="159" t="s">
        <v>157</v>
      </c>
      <c r="M280" s="162" t="s">
        <v>495</v>
      </c>
      <c r="N280" s="23" t="s">
        <v>330</v>
      </c>
      <c r="O280" s="150" t="s">
        <v>925</v>
      </c>
      <c r="P280" s="159" t="s">
        <v>161</v>
      </c>
      <c r="Q280" s="53">
        <v>78181505</v>
      </c>
      <c r="R280" s="162" t="s">
        <v>331</v>
      </c>
      <c r="S280" s="162" t="str">
        <f>MID(PAA[[#This Row],[Meta Proyecto de Inversión]],1,4)</f>
        <v>No a</v>
      </c>
      <c r="T280" s="162" t="str">
        <f>MID(PAA[[#This Row],[Meta Proyecto de Inversión]],6,1)</f>
        <v>l</v>
      </c>
      <c r="U280" s="163" t="str">
        <f>IFERROR(VLOOKUP(N280,TD!$B$50:$F$54,2,0)," ")</f>
        <v>NA</v>
      </c>
      <c r="V280" s="163" t="str">
        <f>IFERROR(VLOOKUP(N280,TD!$B$50:$F$54,3,0)," ")</f>
        <v>NA</v>
      </c>
      <c r="W280" s="163" t="str">
        <f>IFERROR(VLOOKUP(N280,TD!$B$50:$F$54,4,0)," ")</f>
        <v>NA</v>
      </c>
      <c r="X280" s="162" t="s">
        <v>335</v>
      </c>
      <c r="Y280" s="163" t="str">
        <f>IFERROR(VLOOKUP(X280,TD!$J$51:$K$64,2,0)," ")</f>
        <v>N/A</v>
      </c>
      <c r="Z280" s="164" t="str">
        <f t="shared" si="16"/>
        <v>N/A-N/A</v>
      </c>
      <c r="AA280" s="167" t="s">
        <v>335</v>
      </c>
      <c r="AB280" s="163" t="str">
        <f>IFERROR(VLOOKUP(AA280,TD!$N$51:$O$66,2,0)," ")</f>
        <v>N/A</v>
      </c>
      <c r="AC280" s="164" t="str">
        <f t="shared" si="17"/>
        <v>N/A_N/A</v>
      </c>
      <c r="AD280" s="164" t="str">
        <f t="shared" si="18"/>
        <v>N/A-N/A N/A_N/A</v>
      </c>
      <c r="AE280" s="163" t="str">
        <f t="shared" si="19"/>
        <v>NANANAN/AN/A</v>
      </c>
      <c r="AF280" s="163" t="str">
        <f>IFERROR(VLOOKUP(AD280,TD!$J$66:$K$89,2,0)," ")</f>
        <v>N/A</v>
      </c>
      <c r="AG280" s="118" t="s">
        <v>332</v>
      </c>
      <c r="AH280" s="162" t="s">
        <v>193</v>
      </c>
      <c r="AI280" s="165" t="str">
        <f>CONCATENATE(PAA[[#This Row],[Id Interno]],"-",PAA[[#This Row],[tipo de Contrato (TH talento humano - B/S bienes y/o servicios)]],"-",S280,"-",T280,"-",PAA[[#This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81" spans="2:35" ht="56" x14ac:dyDescent="0.35">
      <c r="B281" s="23">
        <v>20260258</v>
      </c>
      <c r="C281" s="99" t="s">
        <v>844</v>
      </c>
      <c r="D281" s="99" t="s">
        <v>105</v>
      </c>
      <c r="E281" s="99" t="s">
        <v>363</v>
      </c>
      <c r="F281" s="160" t="s">
        <v>145</v>
      </c>
      <c r="G281" s="160" t="s">
        <v>373</v>
      </c>
      <c r="H281" s="166">
        <v>10</v>
      </c>
      <c r="I281" s="166">
        <v>0</v>
      </c>
      <c r="J281" s="118">
        <v>31000000</v>
      </c>
      <c r="K281" s="126" t="s">
        <v>398</v>
      </c>
      <c r="L281" s="160" t="s">
        <v>158</v>
      </c>
      <c r="M281" s="167" t="s">
        <v>421</v>
      </c>
      <c r="N281" s="99" t="s">
        <v>198</v>
      </c>
      <c r="O281" s="150" t="s">
        <v>926</v>
      </c>
      <c r="P281" s="160" t="s">
        <v>348</v>
      </c>
      <c r="Q281" s="128">
        <v>80111600</v>
      </c>
      <c r="R281" s="167" t="s">
        <v>211</v>
      </c>
      <c r="S281" s="162" t="str">
        <f>MID(PAA[[#This Row],[Meta Proyecto de Inversión]],1,4)</f>
        <v>8173</v>
      </c>
      <c r="T281" s="162" t="str">
        <f>MID(PAA[[#This Row],[Meta Proyecto de Inversión]],6,1)</f>
        <v>2</v>
      </c>
      <c r="U281" s="163" t="str">
        <f>IFERROR(VLOOKUP(N281,TD!$B$50:$F$54,2,0)," ")</f>
        <v>O230117</v>
      </c>
      <c r="V281" s="163" t="str">
        <f>IFERROR(VLOOKUP(N281,TD!$B$50:$F$54,3,0)," ")</f>
        <v>4503</v>
      </c>
      <c r="W281" s="163">
        <f>IFERROR(VLOOKUP(N281,TD!$B$50:$F$54,4,0)," ")</f>
        <v>20240255</v>
      </c>
      <c r="X281" s="162" t="s">
        <v>164</v>
      </c>
      <c r="Y281" s="163" t="str">
        <f>IFERROR(VLOOKUP(X281,TD!$J$51:$K$64,2,0)," ")</f>
        <v>Servicio de atención a incidentes y emergencias.</v>
      </c>
      <c r="Z281" s="164" t="str">
        <f t="shared" si="16"/>
        <v>04-Servicio de atención a incidentes y emergencias.</v>
      </c>
      <c r="AA281" s="167" t="s">
        <v>221</v>
      </c>
      <c r="AB281" s="163" t="str">
        <f>IFERROR(VLOOKUP(AA281,TD!$N$51:$O$66,2,0)," ")</f>
        <v>Servicio de atención a emergencias y desastres</v>
      </c>
      <c r="AC281" s="164" t="str">
        <f t="shared" si="17"/>
        <v>004_Servicio de atención a emergencias y desastres</v>
      </c>
      <c r="AD281" s="164" t="str">
        <f t="shared" si="18"/>
        <v>04-Servicio de atención a incidentes y emergencias. 004_Servicio de atención a emergencias y desastres</v>
      </c>
      <c r="AE281" s="163" t="str">
        <f t="shared" si="19"/>
        <v>O23011745032024025504004</v>
      </c>
      <c r="AF281" s="163" t="str">
        <f>IFERROR(VLOOKUP(AD281,TD!$J$66:$K$89,2,0)," ")</f>
        <v>PM/0131/0104/45030040255</v>
      </c>
      <c r="AG281" s="118" t="s">
        <v>385</v>
      </c>
      <c r="AH281" s="162" t="s">
        <v>193</v>
      </c>
      <c r="AI281" s="165" t="str">
        <f>CONCATENATE(PAA[[#This Row],[Id Interno]],"-",PAA[[#This Row],[tipo de Contrato (TH talento humano - B/S bienes y/o servicios)]],"-",S281,"-",T281,"-",PAA[[#This Row],[Objeto de la contratación]])</f>
        <v>20260258-TH-8173-2-Prestación de servicios de apoyo al proceso de comunicaciones en emergencias del centro de coordinación y comunicaciones (c.c.c.), para el desarrollo de los programas a cargo de la Subdirección Operativa-S.O.</v>
      </c>
    </row>
    <row r="282" spans="2:35" ht="56" x14ac:dyDescent="0.35">
      <c r="B282" s="23">
        <v>20260259</v>
      </c>
      <c r="C282" s="99" t="s">
        <v>844</v>
      </c>
      <c r="D282" s="99" t="s">
        <v>105</v>
      </c>
      <c r="E282" s="99" t="s">
        <v>363</v>
      </c>
      <c r="F282" s="160" t="s">
        <v>145</v>
      </c>
      <c r="G282" s="160" t="s">
        <v>373</v>
      </c>
      <c r="H282" s="166">
        <v>10</v>
      </c>
      <c r="I282" s="166">
        <v>0</v>
      </c>
      <c r="J282" s="118">
        <v>31000000</v>
      </c>
      <c r="K282" s="126" t="s">
        <v>398</v>
      </c>
      <c r="L282" s="160" t="s">
        <v>158</v>
      </c>
      <c r="M282" s="167" t="s">
        <v>421</v>
      </c>
      <c r="N282" s="99" t="s">
        <v>198</v>
      </c>
      <c r="O282" s="150" t="s">
        <v>926</v>
      </c>
      <c r="P282" s="160" t="s">
        <v>348</v>
      </c>
      <c r="Q282" s="128">
        <v>80111600</v>
      </c>
      <c r="R282" s="167" t="s">
        <v>211</v>
      </c>
      <c r="S282" s="162" t="str">
        <f>MID(PAA[[#This Row],[Meta Proyecto de Inversión]],1,4)</f>
        <v>8173</v>
      </c>
      <c r="T282" s="162" t="str">
        <f>MID(PAA[[#This Row],[Meta Proyecto de Inversión]],6,1)</f>
        <v>2</v>
      </c>
      <c r="U282" s="163" t="str">
        <f>IFERROR(VLOOKUP(N282,TD!$B$50:$F$54,2,0)," ")</f>
        <v>O230117</v>
      </c>
      <c r="V282" s="163" t="str">
        <f>IFERROR(VLOOKUP(N282,TD!$B$50:$F$54,3,0)," ")</f>
        <v>4503</v>
      </c>
      <c r="W282" s="163">
        <f>IFERROR(VLOOKUP(N282,TD!$B$50:$F$54,4,0)," ")</f>
        <v>20240255</v>
      </c>
      <c r="X282" s="162" t="s">
        <v>164</v>
      </c>
      <c r="Y282" s="163" t="str">
        <f>IFERROR(VLOOKUP(X282,TD!$J$51:$K$64,2,0)," ")</f>
        <v>Servicio de atención a incidentes y emergencias.</v>
      </c>
      <c r="Z282" s="164" t="str">
        <f t="shared" si="16"/>
        <v>04-Servicio de atención a incidentes y emergencias.</v>
      </c>
      <c r="AA282" s="167" t="s">
        <v>221</v>
      </c>
      <c r="AB282" s="163" t="str">
        <f>IFERROR(VLOOKUP(AA282,TD!$N$51:$O$66,2,0)," ")</f>
        <v>Servicio de atención a emergencias y desastres</v>
      </c>
      <c r="AC282" s="164" t="str">
        <f t="shared" si="17"/>
        <v>004_Servicio de atención a emergencias y desastres</v>
      </c>
      <c r="AD282" s="164" t="str">
        <f t="shared" si="18"/>
        <v>04-Servicio de atención a incidentes y emergencias. 004_Servicio de atención a emergencias y desastres</v>
      </c>
      <c r="AE282" s="163" t="str">
        <f t="shared" si="19"/>
        <v>O23011745032024025504004</v>
      </c>
      <c r="AF282" s="163" t="str">
        <f>IFERROR(VLOOKUP(AD282,TD!$J$66:$K$89,2,0)," ")</f>
        <v>PM/0131/0104/45030040255</v>
      </c>
      <c r="AG282" s="118" t="s">
        <v>385</v>
      </c>
      <c r="AH282" s="162" t="s">
        <v>193</v>
      </c>
      <c r="AI282" s="165" t="str">
        <f>CONCATENATE(PAA[[#This Row],[Id Interno]],"-",PAA[[#This Row],[tipo de Contrato (TH talento humano - B/S bienes y/o servicios)]],"-",S282,"-",T282,"-",PAA[[#This Row],[Objeto de la contratación]])</f>
        <v>20260259-TH-8173-2-Prestación de servicios de apoyo al proceso de comunicaciones en emergencias del centro de coordinación y comunicaciones (c.c.c.), para el desarrollo de los programas a cargo de la Subdirección Operativa-S.O.</v>
      </c>
    </row>
    <row r="283" spans="2:35" ht="56" x14ac:dyDescent="0.35">
      <c r="B283" s="23">
        <v>20260260</v>
      </c>
      <c r="C283" s="99" t="s">
        <v>844</v>
      </c>
      <c r="D283" s="99" t="s">
        <v>105</v>
      </c>
      <c r="E283" s="99" t="s">
        <v>363</v>
      </c>
      <c r="F283" s="160" t="s">
        <v>145</v>
      </c>
      <c r="G283" s="160" t="s">
        <v>373</v>
      </c>
      <c r="H283" s="166">
        <v>10</v>
      </c>
      <c r="I283" s="166">
        <v>0</v>
      </c>
      <c r="J283" s="118">
        <v>31000000</v>
      </c>
      <c r="K283" s="126" t="s">
        <v>398</v>
      </c>
      <c r="L283" s="160" t="s">
        <v>158</v>
      </c>
      <c r="M283" s="167" t="s">
        <v>421</v>
      </c>
      <c r="N283" s="99" t="s">
        <v>198</v>
      </c>
      <c r="O283" s="150" t="s">
        <v>926</v>
      </c>
      <c r="P283" s="160" t="s">
        <v>348</v>
      </c>
      <c r="Q283" s="128">
        <v>80111600</v>
      </c>
      <c r="R283" s="167" t="s">
        <v>211</v>
      </c>
      <c r="S283" s="162" t="str">
        <f>MID(PAA[[#This Row],[Meta Proyecto de Inversión]],1,4)</f>
        <v>8173</v>
      </c>
      <c r="T283" s="162" t="str">
        <f>MID(PAA[[#This Row],[Meta Proyecto de Inversión]],6,1)</f>
        <v>2</v>
      </c>
      <c r="U283" s="163" t="str">
        <f>IFERROR(VLOOKUP(N283,TD!$B$50:$F$54,2,0)," ")</f>
        <v>O230117</v>
      </c>
      <c r="V283" s="163" t="str">
        <f>IFERROR(VLOOKUP(N283,TD!$B$50:$F$54,3,0)," ")</f>
        <v>4503</v>
      </c>
      <c r="W283" s="163">
        <f>IFERROR(VLOOKUP(N283,TD!$B$50:$F$54,4,0)," ")</f>
        <v>20240255</v>
      </c>
      <c r="X283" s="162" t="s">
        <v>164</v>
      </c>
      <c r="Y283" s="163" t="str">
        <f>IFERROR(VLOOKUP(X283,TD!$J$51:$K$64,2,0)," ")</f>
        <v>Servicio de atención a incidentes y emergencias.</v>
      </c>
      <c r="Z283" s="164" t="str">
        <f t="shared" si="16"/>
        <v>04-Servicio de atención a incidentes y emergencias.</v>
      </c>
      <c r="AA283" s="167" t="s">
        <v>221</v>
      </c>
      <c r="AB283" s="163" t="str">
        <f>IFERROR(VLOOKUP(AA283,TD!$N$51:$O$66,2,0)," ")</f>
        <v>Servicio de atención a emergencias y desastres</v>
      </c>
      <c r="AC283" s="164" t="str">
        <f t="shared" si="17"/>
        <v>004_Servicio de atención a emergencias y desastres</v>
      </c>
      <c r="AD283" s="164" t="str">
        <f t="shared" si="18"/>
        <v>04-Servicio de atención a incidentes y emergencias. 004_Servicio de atención a emergencias y desastres</v>
      </c>
      <c r="AE283" s="163" t="str">
        <f t="shared" si="19"/>
        <v>O23011745032024025504004</v>
      </c>
      <c r="AF283" s="163" t="str">
        <f>IFERROR(VLOOKUP(AD283,TD!$J$66:$K$89,2,0)," ")</f>
        <v>PM/0131/0104/45030040255</v>
      </c>
      <c r="AG283" s="118" t="s">
        <v>385</v>
      </c>
      <c r="AH283" s="162" t="s">
        <v>193</v>
      </c>
      <c r="AI283" s="165" t="str">
        <f>CONCATENATE(PAA[[#This Row],[Id Interno]],"-",PAA[[#This Row],[tipo de Contrato (TH talento humano - B/S bienes y/o servicios)]],"-",S283,"-",T283,"-",PAA[[#This Row],[Objeto de la contratación]])</f>
        <v>20260260-TH-8173-2-Prestación de servicios de apoyo al proceso de comunicaciones en emergencias del centro de coordinación y comunicaciones (c.c.c.), para el desarrollo de los programas a cargo de la Subdirección Operativa-S.O.</v>
      </c>
    </row>
    <row r="284" spans="2:35" ht="56" x14ac:dyDescent="0.35">
      <c r="B284" s="23">
        <v>20260261</v>
      </c>
      <c r="C284" s="99" t="s">
        <v>844</v>
      </c>
      <c r="D284" s="99" t="s">
        <v>105</v>
      </c>
      <c r="E284" s="99" t="s">
        <v>363</v>
      </c>
      <c r="F284" s="160" t="s">
        <v>145</v>
      </c>
      <c r="G284" s="160" t="s">
        <v>373</v>
      </c>
      <c r="H284" s="166">
        <v>10</v>
      </c>
      <c r="I284" s="166">
        <v>0</v>
      </c>
      <c r="J284" s="118">
        <v>31000000</v>
      </c>
      <c r="K284" s="126" t="s">
        <v>398</v>
      </c>
      <c r="L284" s="160" t="s">
        <v>158</v>
      </c>
      <c r="M284" s="167" t="s">
        <v>421</v>
      </c>
      <c r="N284" s="99" t="s">
        <v>198</v>
      </c>
      <c r="O284" s="150" t="s">
        <v>926</v>
      </c>
      <c r="P284" s="160" t="s">
        <v>348</v>
      </c>
      <c r="Q284" s="128">
        <v>80111600</v>
      </c>
      <c r="R284" s="167" t="s">
        <v>211</v>
      </c>
      <c r="S284" s="162" t="str">
        <f>MID(PAA[[#This Row],[Meta Proyecto de Inversión]],1,4)</f>
        <v>8173</v>
      </c>
      <c r="T284" s="162" t="str">
        <f>MID(PAA[[#This Row],[Meta Proyecto de Inversión]],6,1)</f>
        <v>2</v>
      </c>
      <c r="U284" s="163" t="str">
        <f>IFERROR(VLOOKUP(N284,TD!$B$50:$F$54,2,0)," ")</f>
        <v>O230117</v>
      </c>
      <c r="V284" s="163" t="str">
        <f>IFERROR(VLOOKUP(N284,TD!$B$50:$F$54,3,0)," ")</f>
        <v>4503</v>
      </c>
      <c r="W284" s="163">
        <f>IFERROR(VLOOKUP(N284,TD!$B$50:$F$54,4,0)," ")</f>
        <v>20240255</v>
      </c>
      <c r="X284" s="162" t="s">
        <v>164</v>
      </c>
      <c r="Y284" s="163" t="str">
        <f>IFERROR(VLOOKUP(X284,TD!$J$51:$K$64,2,0)," ")</f>
        <v>Servicio de atención a incidentes y emergencias.</v>
      </c>
      <c r="Z284" s="164" t="str">
        <f t="shared" si="16"/>
        <v>04-Servicio de atención a incidentes y emergencias.</v>
      </c>
      <c r="AA284" s="167" t="s">
        <v>221</v>
      </c>
      <c r="AB284" s="163" t="str">
        <f>IFERROR(VLOOKUP(AA284,TD!$N$51:$O$66,2,0)," ")</f>
        <v>Servicio de atención a emergencias y desastres</v>
      </c>
      <c r="AC284" s="164" t="str">
        <f t="shared" si="17"/>
        <v>004_Servicio de atención a emergencias y desastres</v>
      </c>
      <c r="AD284" s="164" t="str">
        <f t="shared" si="18"/>
        <v>04-Servicio de atención a incidentes y emergencias. 004_Servicio de atención a emergencias y desastres</v>
      </c>
      <c r="AE284" s="163" t="str">
        <f t="shared" si="19"/>
        <v>O23011745032024025504004</v>
      </c>
      <c r="AF284" s="163" t="str">
        <f>IFERROR(VLOOKUP(AD284,TD!$J$66:$K$89,2,0)," ")</f>
        <v>PM/0131/0104/45030040255</v>
      </c>
      <c r="AG284" s="118" t="s">
        <v>385</v>
      </c>
      <c r="AH284" s="162" t="s">
        <v>193</v>
      </c>
      <c r="AI284" s="165" t="str">
        <f>CONCATENATE(PAA[[#This Row],[Id Interno]],"-",PAA[[#This Row],[tipo de Contrato (TH talento humano - B/S bienes y/o servicios)]],"-",S284,"-",T284,"-",PAA[[#This Row],[Objeto de la contratación]])</f>
        <v>20260261-TH-8173-2-Prestación de servicios de apoyo al proceso de comunicaciones en emergencias del centro de coordinación y comunicaciones (c.c.c.), para el desarrollo de los programas a cargo de la Subdirección Operativa-S.O.</v>
      </c>
    </row>
    <row r="285" spans="2:35" ht="56" x14ac:dyDescent="0.35">
      <c r="B285" s="23">
        <v>20260262</v>
      </c>
      <c r="C285" s="99" t="s">
        <v>844</v>
      </c>
      <c r="D285" s="99" t="s">
        <v>105</v>
      </c>
      <c r="E285" s="99" t="s">
        <v>363</v>
      </c>
      <c r="F285" s="160" t="s">
        <v>145</v>
      </c>
      <c r="G285" s="160" t="s">
        <v>373</v>
      </c>
      <c r="H285" s="166">
        <v>10</v>
      </c>
      <c r="I285" s="166">
        <v>0</v>
      </c>
      <c r="J285" s="118">
        <v>31000000</v>
      </c>
      <c r="K285" s="126" t="s">
        <v>398</v>
      </c>
      <c r="L285" s="160" t="s">
        <v>158</v>
      </c>
      <c r="M285" s="167" t="s">
        <v>421</v>
      </c>
      <c r="N285" s="99" t="s">
        <v>198</v>
      </c>
      <c r="O285" s="150" t="s">
        <v>926</v>
      </c>
      <c r="P285" s="160" t="s">
        <v>348</v>
      </c>
      <c r="Q285" s="128">
        <v>80111600</v>
      </c>
      <c r="R285" s="167" t="s">
        <v>211</v>
      </c>
      <c r="S285" s="162" t="str">
        <f>MID(PAA[[#This Row],[Meta Proyecto de Inversión]],1,4)</f>
        <v>8173</v>
      </c>
      <c r="T285" s="162" t="str">
        <f>MID(PAA[[#This Row],[Meta Proyecto de Inversión]],6,1)</f>
        <v>2</v>
      </c>
      <c r="U285" s="163" t="str">
        <f>IFERROR(VLOOKUP(N285,TD!$B$50:$F$54,2,0)," ")</f>
        <v>O230117</v>
      </c>
      <c r="V285" s="163" t="str">
        <f>IFERROR(VLOOKUP(N285,TD!$B$50:$F$54,3,0)," ")</f>
        <v>4503</v>
      </c>
      <c r="W285" s="163">
        <f>IFERROR(VLOOKUP(N285,TD!$B$50:$F$54,4,0)," ")</f>
        <v>20240255</v>
      </c>
      <c r="X285" s="162" t="s">
        <v>164</v>
      </c>
      <c r="Y285" s="163" t="str">
        <f>IFERROR(VLOOKUP(X285,TD!$J$51:$K$64,2,0)," ")</f>
        <v>Servicio de atención a incidentes y emergencias.</v>
      </c>
      <c r="Z285" s="164" t="str">
        <f t="shared" si="16"/>
        <v>04-Servicio de atención a incidentes y emergencias.</v>
      </c>
      <c r="AA285" s="167" t="s">
        <v>221</v>
      </c>
      <c r="AB285" s="163" t="str">
        <f>IFERROR(VLOOKUP(AA285,TD!$N$51:$O$66,2,0)," ")</f>
        <v>Servicio de atención a emergencias y desastres</v>
      </c>
      <c r="AC285" s="164" t="str">
        <f t="shared" si="17"/>
        <v>004_Servicio de atención a emergencias y desastres</v>
      </c>
      <c r="AD285" s="164" t="str">
        <f t="shared" si="18"/>
        <v>04-Servicio de atención a incidentes y emergencias. 004_Servicio de atención a emergencias y desastres</v>
      </c>
      <c r="AE285" s="163" t="str">
        <f t="shared" si="19"/>
        <v>O23011745032024025504004</v>
      </c>
      <c r="AF285" s="163" t="str">
        <f>IFERROR(VLOOKUP(AD285,TD!$J$66:$K$89,2,0)," ")</f>
        <v>PM/0131/0104/45030040255</v>
      </c>
      <c r="AG285" s="118" t="s">
        <v>385</v>
      </c>
      <c r="AH285" s="162" t="s">
        <v>193</v>
      </c>
      <c r="AI285" s="165" t="str">
        <f>CONCATENATE(PAA[[#This Row],[Id Interno]],"-",PAA[[#This Row],[tipo de Contrato (TH talento humano - B/S bienes y/o servicios)]],"-",S285,"-",T285,"-",PAA[[#This Row],[Objeto de la contratación]])</f>
        <v>20260262-TH-8173-2-Prestación de servicios de apoyo al proceso de comunicaciones en emergencias del centro de coordinación y comunicaciones (c.c.c.), para el desarrollo de los programas a cargo de la Subdirección Operativa-S.O.</v>
      </c>
    </row>
    <row r="286" spans="2:35" ht="56" x14ac:dyDescent="0.35">
      <c r="B286" s="23">
        <v>20260263</v>
      </c>
      <c r="C286" s="99" t="s">
        <v>845</v>
      </c>
      <c r="D286" s="99" t="s">
        <v>105</v>
      </c>
      <c r="E286" s="99" t="s">
        <v>363</v>
      </c>
      <c r="F286" s="160" t="s">
        <v>145</v>
      </c>
      <c r="G286" s="160" t="s">
        <v>373</v>
      </c>
      <c r="H286" s="166">
        <v>9</v>
      </c>
      <c r="I286" s="166">
        <v>0</v>
      </c>
      <c r="J286" s="118">
        <v>26910000</v>
      </c>
      <c r="K286" s="126" t="s">
        <v>398</v>
      </c>
      <c r="L286" s="160" t="s">
        <v>158</v>
      </c>
      <c r="M286" s="167" t="s">
        <v>421</v>
      </c>
      <c r="N286" s="99" t="s">
        <v>198</v>
      </c>
      <c r="O286" s="150" t="s">
        <v>926</v>
      </c>
      <c r="P286" s="160" t="s">
        <v>348</v>
      </c>
      <c r="Q286" s="128">
        <v>80111600</v>
      </c>
      <c r="R286" s="167" t="s">
        <v>211</v>
      </c>
      <c r="S286" s="162" t="str">
        <f>MID(PAA[[#This Row],[Meta Proyecto de Inversión]],1,4)</f>
        <v>8173</v>
      </c>
      <c r="T286" s="162" t="str">
        <f>MID(PAA[[#This Row],[Meta Proyecto de Inversión]],6,1)</f>
        <v>2</v>
      </c>
      <c r="U286" s="163" t="str">
        <f>IFERROR(VLOOKUP(N286,TD!$B$50:$F$54,2,0)," ")</f>
        <v>O230117</v>
      </c>
      <c r="V286" s="163" t="str">
        <f>IFERROR(VLOOKUP(N286,TD!$B$50:$F$54,3,0)," ")</f>
        <v>4503</v>
      </c>
      <c r="W286" s="163">
        <f>IFERROR(VLOOKUP(N286,TD!$B$50:$F$54,4,0)," ")</f>
        <v>20240255</v>
      </c>
      <c r="X286" s="162" t="s">
        <v>164</v>
      </c>
      <c r="Y286" s="163" t="str">
        <f>IFERROR(VLOOKUP(X286,TD!$J$51:$K$64,2,0)," ")</f>
        <v>Servicio de atención a incidentes y emergencias.</v>
      </c>
      <c r="Z286" s="164" t="str">
        <f t="shared" si="16"/>
        <v>04-Servicio de atención a incidentes y emergencias.</v>
      </c>
      <c r="AA286" s="162" t="s">
        <v>221</v>
      </c>
      <c r="AB286" s="163" t="str">
        <f>IFERROR(VLOOKUP(AA286,TD!$N$51:$O$66,2,0)," ")</f>
        <v>Servicio de atención a emergencias y desastres</v>
      </c>
      <c r="AC286" s="164" t="str">
        <f t="shared" si="17"/>
        <v>004_Servicio de atención a emergencias y desastres</v>
      </c>
      <c r="AD286" s="164" t="str">
        <f t="shared" si="18"/>
        <v>04-Servicio de atención a incidentes y emergencias. 004_Servicio de atención a emergencias y desastres</v>
      </c>
      <c r="AE286" s="163" t="str">
        <f t="shared" si="19"/>
        <v>O23011745032024025504004</v>
      </c>
      <c r="AF286" s="163" t="str">
        <f>IFERROR(VLOOKUP(AD286,TD!$J$66:$K$89,2,0)," ")</f>
        <v>PM/0131/0104/45030040255</v>
      </c>
      <c r="AG286" s="118" t="s">
        <v>385</v>
      </c>
      <c r="AH286" s="162" t="s">
        <v>193</v>
      </c>
      <c r="AI286" s="165" t="str">
        <f>CONCATENATE(PAA[[#This Row],[Id Interno]],"-",PAA[[#This Row],[tipo de Contrato (TH talento humano - B/S bienes y/o servicios)]],"-",S286,"-",T286,"-",PAA[[#This Row],[Objeto de la contratación]])</f>
        <v>20260263-TH-8173-2-Prestación de servicios para realizar la gestión administrativa requerida en la estación de bomberos asignada, para el desarrollo de los programas a cargo de la Subdirección Operativa-S.O.</v>
      </c>
    </row>
    <row r="287" spans="2:35" ht="56" x14ac:dyDescent="0.35">
      <c r="B287" s="23">
        <v>20260264</v>
      </c>
      <c r="C287" s="99" t="s">
        <v>845</v>
      </c>
      <c r="D287" s="99" t="s">
        <v>105</v>
      </c>
      <c r="E287" s="99" t="s">
        <v>363</v>
      </c>
      <c r="F287" s="160" t="s">
        <v>145</v>
      </c>
      <c r="G287" s="160" t="s">
        <v>373</v>
      </c>
      <c r="H287" s="166">
        <v>9</v>
      </c>
      <c r="I287" s="166">
        <v>0</v>
      </c>
      <c r="J287" s="118">
        <v>26910000</v>
      </c>
      <c r="K287" s="126" t="s">
        <v>398</v>
      </c>
      <c r="L287" s="160" t="s">
        <v>158</v>
      </c>
      <c r="M287" s="167" t="s">
        <v>421</v>
      </c>
      <c r="N287" s="99" t="s">
        <v>198</v>
      </c>
      <c r="O287" s="150" t="s">
        <v>926</v>
      </c>
      <c r="P287" s="160" t="s">
        <v>348</v>
      </c>
      <c r="Q287" s="128">
        <v>80111600</v>
      </c>
      <c r="R287" s="167" t="s">
        <v>211</v>
      </c>
      <c r="S287" s="162" t="str">
        <f>MID(PAA[[#This Row],[Meta Proyecto de Inversión]],1,4)</f>
        <v>8173</v>
      </c>
      <c r="T287" s="162" t="str">
        <f>MID(PAA[[#This Row],[Meta Proyecto de Inversión]],6,1)</f>
        <v>2</v>
      </c>
      <c r="U287" s="163" t="str">
        <f>IFERROR(VLOOKUP(N287,TD!$B$50:$F$54,2,0)," ")</f>
        <v>O230117</v>
      </c>
      <c r="V287" s="163" t="str">
        <f>IFERROR(VLOOKUP(N287,TD!$B$50:$F$54,3,0)," ")</f>
        <v>4503</v>
      </c>
      <c r="W287" s="163">
        <f>IFERROR(VLOOKUP(N287,TD!$B$50:$F$54,4,0)," ")</f>
        <v>20240255</v>
      </c>
      <c r="X287" s="162" t="s">
        <v>164</v>
      </c>
      <c r="Y287" s="163" t="str">
        <f>IFERROR(VLOOKUP(X287,TD!$J$51:$K$64,2,0)," ")</f>
        <v>Servicio de atención a incidentes y emergencias.</v>
      </c>
      <c r="Z287" s="164" t="str">
        <f t="shared" si="16"/>
        <v>04-Servicio de atención a incidentes y emergencias.</v>
      </c>
      <c r="AA287" s="162" t="s">
        <v>221</v>
      </c>
      <c r="AB287" s="163" t="str">
        <f>IFERROR(VLOOKUP(AA287,TD!$N$51:$O$66,2,0)," ")</f>
        <v>Servicio de atención a emergencias y desastres</v>
      </c>
      <c r="AC287" s="164" t="str">
        <f t="shared" si="17"/>
        <v>004_Servicio de atención a emergencias y desastres</v>
      </c>
      <c r="AD287" s="164" t="str">
        <f t="shared" si="18"/>
        <v>04-Servicio de atención a incidentes y emergencias. 004_Servicio de atención a emergencias y desastres</v>
      </c>
      <c r="AE287" s="163" t="str">
        <f t="shared" si="19"/>
        <v>O23011745032024025504004</v>
      </c>
      <c r="AF287" s="163" t="str">
        <f>IFERROR(VLOOKUP(AD287,TD!$J$66:$K$89,2,0)," ")</f>
        <v>PM/0131/0104/45030040255</v>
      </c>
      <c r="AG287" s="118" t="s">
        <v>385</v>
      </c>
      <c r="AH287" s="162" t="s">
        <v>193</v>
      </c>
      <c r="AI287" s="165" t="str">
        <f>CONCATENATE(PAA[[#This Row],[Id Interno]],"-",PAA[[#This Row],[tipo de Contrato (TH talento humano - B/S bienes y/o servicios)]],"-",S287,"-",T287,"-",PAA[[#This Row],[Objeto de la contratación]])</f>
        <v>20260264-TH-8173-2-Prestación de servicios para realizar la gestión administrativa requerida en la estación de bomberos asignada, para el desarrollo de los programas a cargo de la Subdirección Operativa-S.O.</v>
      </c>
    </row>
    <row r="288" spans="2:35" ht="56" x14ac:dyDescent="0.35">
      <c r="B288" s="23">
        <v>20260265</v>
      </c>
      <c r="C288" s="99" t="s">
        <v>845</v>
      </c>
      <c r="D288" s="99" t="s">
        <v>105</v>
      </c>
      <c r="E288" s="99" t="s">
        <v>363</v>
      </c>
      <c r="F288" s="160" t="s">
        <v>145</v>
      </c>
      <c r="G288" s="160" t="s">
        <v>373</v>
      </c>
      <c r="H288" s="166">
        <v>9</v>
      </c>
      <c r="I288" s="166">
        <v>0</v>
      </c>
      <c r="J288" s="118">
        <v>26910000</v>
      </c>
      <c r="K288" s="126" t="s">
        <v>398</v>
      </c>
      <c r="L288" s="160" t="s">
        <v>158</v>
      </c>
      <c r="M288" s="167" t="s">
        <v>421</v>
      </c>
      <c r="N288" s="99" t="s">
        <v>198</v>
      </c>
      <c r="O288" s="150" t="s">
        <v>926</v>
      </c>
      <c r="P288" s="160" t="s">
        <v>348</v>
      </c>
      <c r="Q288" s="128">
        <v>80111600</v>
      </c>
      <c r="R288" s="167" t="s">
        <v>211</v>
      </c>
      <c r="S288" s="162" t="str">
        <f>MID(PAA[[#This Row],[Meta Proyecto de Inversión]],1,4)</f>
        <v>8173</v>
      </c>
      <c r="T288" s="162" t="str">
        <f>MID(PAA[[#This Row],[Meta Proyecto de Inversión]],6,1)</f>
        <v>2</v>
      </c>
      <c r="U288" s="163" t="str">
        <f>IFERROR(VLOOKUP(N288,TD!$B$50:$F$54,2,0)," ")</f>
        <v>O230117</v>
      </c>
      <c r="V288" s="163" t="str">
        <f>IFERROR(VLOOKUP(N288,TD!$B$50:$F$54,3,0)," ")</f>
        <v>4503</v>
      </c>
      <c r="W288" s="163">
        <f>IFERROR(VLOOKUP(N288,TD!$B$50:$F$54,4,0)," ")</f>
        <v>20240255</v>
      </c>
      <c r="X288" s="162" t="s">
        <v>164</v>
      </c>
      <c r="Y288" s="163" t="str">
        <f>IFERROR(VLOOKUP(X288,TD!$J$51:$K$64,2,0)," ")</f>
        <v>Servicio de atención a incidentes y emergencias.</v>
      </c>
      <c r="Z288" s="164" t="str">
        <f t="shared" si="16"/>
        <v>04-Servicio de atención a incidentes y emergencias.</v>
      </c>
      <c r="AA288" s="162" t="s">
        <v>221</v>
      </c>
      <c r="AB288" s="163" t="str">
        <f>IFERROR(VLOOKUP(AA288,TD!$N$51:$O$66,2,0)," ")</f>
        <v>Servicio de atención a emergencias y desastres</v>
      </c>
      <c r="AC288" s="164" t="str">
        <f t="shared" si="17"/>
        <v>004_Servicio de atención a emergencias y desastres</v>
      </c>
      <c r="AD288" s="164" t="str">
        <f t="shared" si="18"/>
        <v>04-Servicio de atención a incidentes y emergencias. 004_Servicio de atención a emergencias y desastres</v>
      </c>
      <c r="AE288" s="163" t="str">
        <f t="shared" si="19"/>
        <v>O23011745032024025504004</v>
      </c>
      <c r="AF288" s="163" t="str">
        <f>IFERROR(VLOOKUP(AD288,TD!$J$66:$K$89,2,0)," ")</f>
        <v>PM/0131/0104/45030040255</v>
      </c>
      <c r="AG288" s="118" t="s">
        <v>385</v>
      </c>
      <c r="AH288" s="162" t="s">
        <v>193</v>
      </c>
      <c r="AI288" s="165" t="str">
        <f>CONCATENATE(PAA[[#This Row],[Id Interno]],"-",PAA[[#This Row],[tipo de Contrato (TH talento humano - B/S bienes y/o servicios)]],"-",S288,"-",T288,"-",PAA[[#This Row],[Objeto de la contratación]])</f>
        <v>20260265-TH-8173-2-Prestación de servicios para realizar la gestión administrativa requerida en la estación de bomberos asignada, para el desarrollo de los programas a cargo de la Subdirección Operativa-S.O.</v>
      </c>
    </row>
    <row r="289" spans="2:35" ht="56" x14ac:dyDescent="0.35">
      <c r="B289" s="23">
        <v>20260266</v>
      </c>
      <c r="C289" s="99" t="s">
        <v>845</v>
      </c>
      <c r="D289" s="99" t="s">
        <v>105</v>
      </c>
      <c r="E289" s="99" t="s">
        <v>363</v>
      </c>
      <c r="F289" s="160" t="s">
        <v>145</v>
      </c>
      <c r="G289" s="160" t="s">
        <v>373</v>
      </c>
      <c r="H289" s="166">
        <v>9</v>
      </c>
      <c r="I289" s="166">
        <v>0</v>
      </c>
      <c r="J289" s="118">
        <v>26910000</v>
      </c>
      <c r="K289" s="126" t="s">
        <v>398</v>
      </c>
      <c r="L289" s="160" t="s">
        <v>158</v>
      </c>
      <c r="M289" s="167" t="s">
        <v>421</v>
      </c>
      <c r="N289" s="99" t="s">
        <v>198</v>
      </c>
      <c r="O289" s="150" t="s">
        <v>926</v>
      </c>
      <c r="P289" s="160" t="s">
        <v>348</v>
      </c>
      <c r="Q289" s="128">
        <v>80111600</v>
      </c>
      <c r="R289" s="167" t="s">
        <v>211</v>
      </c>
      <c r="S289" s="162" t="str">
        <f>MID(PAA[[#This Row],[Meta Proyecto de Inversión]],1,4)</f>
        <v>8173</v>
      </c>
      <c r="T289" s="162" t="str">
        <f>MID(PAA[[#This Row],[Meta Proyecto de Inversión]],6,1)</f>
        <v>2</v>
      </c>
      <c r="U289" s="163" t="str">
        <f>IFERROR(VLOOKUP(N289,TD!$B$50:$F$54,2,0)," ")</f>
        <v>O230117</v>
      </c>
      <c r="V289" s="163" t="str">
        <f>IFERROR(VLOOKUP(N289,TD!$B$50:$F$54,3,0)," ")</f>
        <v>4503</v>
      </c>
      <c r="W289" s="163">
        <f>IFERROR(VLOOKUP(N289,TD!$B$50:$F$54,4,0)," ")</f>
        <v>20240255</v>
      </c>
      <c r="X289" s="162" t="s">
        <v>164</v>
      </c>
      <c r="Y289" s="163" t="str">
        <f>IFERROR(VLOOKUP(X289,TD!$J$51:$K$64,2,0)," ")</f>
        <v>Servicio de atención a incidentes y emergencias.</v>
      </c>
      <c r="Z289" s="164" t="str">
        <f t="shared" si="16"/>
        <v>04-Servicio de atención a incidentes y emergencias.</v>
      </c>
      <c r="AA289" s="162" t="s">
        <v>221</v>
      </c>
      <c r="AB289" s="163" t="str">
        <f>IFERROR(VLOOKUP(AA289,TD!$N$51:$O$66,2,0)," ")</f>
        <v>Servicio de atención a emergencias y desastres</v>
      </c>
      <c r="AC289" s="164" t="str">
        <f t="shared" si="17"/>
        <v>004_Servicio de atención a emergencias y desastres</v>
      </c>
      <c r="AD289" s="164" t="str">
        <f t="shared" si="18"/>
        <v>04-Servicio de atención a incidentes y emergencias. 004_Servicio de atención a emergencias y desastres</v>
      </c>
      <c r="AE289" s="163" t="str">
        <f t="shared" si="19"/>
        <v>O23011745032024025504004</v>
      </c>
      <c r="AF289" s="163" t="str">
        <f>IFERROR(VLOOKUP(AD289,TD!$J$66:$K$89,2,0)," ")</f>
        <v>PM/0131/0104/45030040255</v>
      </c>
      <c r="AG289" s="118" t="s">
        <v>385</v>
      </c>
      <c r="AH289" s="162" t="s">
        <v>193</v>
      </c>
      <c r="AI289" s="165" t="str">
        <f>CONCATENATE(PAA[[#This Row],[Id Interno]],"-",PAA[[#This Row],[tipo de Contrato (TH talento humano - B/S bienes y/o servicios)]],"-",S289,"-",T289,"-",PAA[[#This Row],[Objeto de la contratación]])</f>
        <v>20260266-TH-8173-2-Prestación de servicios para realizar la gestión administrativa requerida en la estación de bomberos asignada, para el desarrollo de los programas a cargo de la Subdirección Operativa-S.O.</v>
      </c>
    </row>
    <row r="290" spans="2:35" ht="56" x14ac:dyDescent="0.35">
      <c r="B290" s="23">
        <v>20260267</v>
      </c>
      <c r="C290" s="99" t="s">
        <v>845</v>
      </c>
      <c r="D290" s="99" t="s">
        <v>105</v>
      </c>
      <c r="E290" s="99" t="s">
        <v>363</v>
      </c>
      <c r="F290" s="160" t="s">
        <v>145</v>
      </c>
      <c r="G290" s="160" t="s">
        <v>373</v>
      </c>
      <c r="H290" s="166">
        <v>9</v>
      </c>
      <c r="I290" s="166">
        <v>0</v>
      </c>
      <c r="J290" s="118">
        <v>26910000</v>
      </c>
      <c r="K290" s="126" t="s">
        <v>398</v>
      </c>
      <c r="L290" s="160" t="s">
        <v>158</v>
      </c>
      <c r="M290" s="167" t="s">
        <v>421</v>
      </c>
      <c r="N290" s="99" t="s">
        <v>198</v>
      </c>
      <c r="O290" s="150" t="s">
        <v>926</v>
      </c>
      <c r="P290" s="160" t="s">
        <v>348</v>
      </c>
      <c r="Q290" s="128">
        <v>80111600</v>
      </c>
      <c r="R290" s="167" t="s">
        <v>211</v>
      </c>
      <c r="S290" s="162" t="str">
        <f>MID(PAA[[#This Row],[Meta Proyecto de Inversión]],1,4)</f>
        <v>8173</v>
      </c>
      <c r="T290" s="162" t="str">
        <f>MID(PAA[[#This Row],[Meta Proyecto de Inversión]],6,1)</f>
        <v>2</v>
      </c>
      <c r="U290" s="163" t="str">
        <f>IFERROR(VLOOKUP(N290,TD!$B$50:$F$54,2,0)," ")</f>
        <v>O230117</v>
      </c>
      <c r="V290" s="163" t="str">
        <f>IFERROR(VLOOKUP(N290,TD!$B$50:$F$54,3,0)," ")</f>
        <v>4503</v>
      </c>
      <c r="W290" s="163">
        <f>IFERROR(VLOOKUP(N290,TD!$B$50:$F$54,4,0)," ")</f>
        <v>20240255</v>
      </c>
      <c r="X290" s="162" t="s">
        <v>164</v>
      </c>
      <c r="Y290" s="163" t="str">
        <f>IFERROR(VLOOKUP(X290,TD!$J$51:$K$64,2,0)," ")</f>
        <v>Servicio de atención a incidentes y emergencias.</v>
      </c>
      <c r="Z290" s="164" t="str">
        <f t="shared" si="16"/>
        <v>04-Servicio de atención a incidentes y emergencias.</v>
      </c>
      <c r="AA290" s="162" t="s">
        <v>221</v>
      </c>
      <c r="AB290" s="163" t="str">
        <f>IFERROR(VLOOKUP(AA290,TD!$N$51:$O$66,2,0)," ")</f>
        <v>Servicio de atención a emergencias y desastres</v>
      </c>
      <c r="AC290" s="164" t="str">
        <f t="shared" si="17"/>
        <v>004_Servicio de atención a emergencias y desastres</v>
      </c>
      <c r="AD290" s="164" t="str">
        <f t="shared" si="18"/>
        <v>04-Servicio de atención a incidentes y emergencias. 004_Servicio de atención a emergencias y desastres</v>
      </c>
      <c r="AE290" s="163" t="str">
        <f t="shared" si="19"/>
        <v>O23011745032024025504004</v>
      </c>
      <c r="AF290" s="163" t="str">
        <f>IFERROR(VLOOKUP(AD290,TD!$J$66:$K$89,2,0)," ")</f>
        <v>PM/0131/0104/45030040255</v>
      </c>
      <c r="AG290" s="118" t="s">
        <v>385</v>
      </c>
      <c r="AH290" s="162" t="s">
        <v>193</v>
      </c>
      <c r="AI290" s="165" t="str">
        <f>CONCATENATE(PAA[[#This Row],[Id Interno]],"-",PAA[[#This Row],[tipo de Contrato (TH talento humano - B/S bienes y/o servicios)]],"-",S290,"-",T290,"-",PAA[[#This Row],[Objeto de la contratación]])</f>
        <v>20260267-TH-8173-2-Prestación de servicios para realizar la gestión administrativa requerida en la estación de bomberos asignada, para el desarrollo de los programas a cargo de la Subdirección Operativa-S.O.</v>
      </c>
    </row>
    <row r="291" spans="2:35" ht="56" x14ac:dyDescent="0.35">
      <c r="B291" s="23">
        <v>20260268</v>
      </c>
      <c r="C291" s="99" t="s">
        <v>845</v>
      </c>
      <c r="D291" s="99" t="s">
        <v>105</v>
      </c>
      <c r="E291" s="99" t="s">
        <v>363</v>
      </c>
      <c r="F291" s="160" t="s">
        <v>145</v>
      </c>
      <c r="G291" s="160" t="s">
        <v>373</v>
      </c>
      <c r="H291" s="166">
        <v>9</v>
      </c>
      <c r="I291" s="166">
        <v>0</v>
      </c>
      <c r="J291" s="118">
        <v>26910000</v>
      </c>
      <c r="K291" s="126" t="s">
        <v>398</v>
      </c>
      <c r="L291" s="160" t="s">
        <v>158</v>
      </c>
      <c r="M291" s="167" t="s">
        <v>421</v>
      </c>
      <c r="N291" s="99" t="s">
        <v>198</v>
      </c>
      <c r="O291" s="150" t="s">
        <v>926</v>
      </c>
      <c r="P291" s="160" t="s">
        <v>348</v>
      </c>
      <c r="Q291" s="128">
        <v>80111600</v>
      </c>
      <c r="R291" s="167" t="s">
        <v>211</v>
      </c>
      <c r="S291" s="162" t="str">
        <f>MID(PAA[[#This Row],[Meta Proyecto de Inversión]],1,4)</f>
        <v>8173</v>
      </c>
      <c r="T291" s="162" t="str">
        <f>MID(PAA[[#This Row],[Meta Proyecto de Inversión]],6,1)</f>
        <v>2</v>
      </c>
      <c r="U291" s="163" t="str">
        <f>IFERROR(VLOOKUP(N291,TD!$B$50:$F$54,2,0)," ")</f>
        <v>O230117</v>
      </c>
      <c r="V291" s="163" t="str">
        <f>IFERROR(VLOOKUP(N291,TD!$B$50:$F$54,3,0)," ")</f>
        <v>4503</v>
      </c>
      <c r="W291" s="163">
        <f>IFERROR(VLOOKUP(N291,TD!$B$50:$F$54,4,0)," ")</f>
        <v>20240255</v>
      </c>
      <c r="X291" s="162" t="s">
        <v>164</v>
      </c>
      <c r="Y291" s="163" t="str">
        <f>IFERROR(VLOOKUP(X291,TD!$J$51:$K$64,2,0)," ")</f>
        <v>Servicio de atención a incidentes y emergencias.</v>
      </c>
      <c r="Z291" s="164" t="str">
        <f t="shared" si="16"/>
        <v>04-Servicio de atención a incidentes y emergencias.</v>
      </c>
      <c r="AA291" s="162" t="s">
        <v>221</v>
      </c>
      <c r="AB291" s="163" t="str">
        <f>IFERROR(VLOOKUP(AA291,TD!$N$51:$O$66,2,0)," ")</f>
        <v>Servicio de atención a emergencias y desastres</v>
      </c>
      <c r="AC291" s="164" t="str">
        <f t="shared" si="17"/>
        <v>004_Servicio de atención a emergencias y desastres</v>
      </c>
      <c r="AD291" s="164" t="str">
        <f t="shared" si="18"/>
        <v>04-Servicio de atención a incidentes y emergencias. 004_Servicio de atención a emergencias y desastres</v>
      </c>
      <c r="AE291" s="163" t="str">
        <f t="shared" si="19"/>
        <v>O23011745032024025504004</v>
      </c>
      <c r="AF291" s="163" t="str">
        <f>IFERROR(VLOOKUP(AD291,TD!$J$66:$K$89,2,0)," ")</f>
        <v>PM/0131/0104/45030040255</v>
      </c>
      <c r="AG291" s="118" t="s">
        <v>385</v>
      </c>
      <c r="AH291" s="162" t="s">
        <v>193</v>
      </c>
      <c r="AI291" s="165" t="str">
        <f>CONCATENATE(PAA[[#This Row],[Id Interno]],"-",PAA[[#This Row],[tipo de Contrato (TH talento humano - B/S bienes y/o servicios)]],"-",S291,"-",T291,"-",PAA[[#This Row],[Objeto de la contratación]])</f>
        <v>20260268-TH-8173-2-Prestación de servicios para realizar la gestión administrativa requerida en la estación de bomberos asignada, para el desarrollo de los programas a cargo de la Subdirección Operativa-S.O.</v>
      </c>
    </row>
    <row r="292" spans="2:35" ht="56" x14ac:dyDescent="0.35">
      <c r="B292" s="23">
        <v>20260269</v>
      </c>
      <c r="C292" s="99" t="s">
        <v>845</v>
      </c>
      <c r="D292" s="99" t="s">
        <v>105</v>
      </c>
      <c r="E292" s="99" t="s">
        <v>363</v>
      </c>
      <c r="F292" s="160" t="s">
        <v>145</v>
      </c>
      <c r="G292" s="160" t="s">
        <v>373</v>
      </c>
      <c r="H292" s="166">
        <v>9</v>
      </c>
      <c r="I292" s="166">
        <v>0</v>
      </c>
      <c r="J292" s="118">
        <v>26910000</v>
      </c>
      <c r="K292" s="126" t="s">
        <v>398</v>
      </c>
      <c r="L292" s="160" t="s">
        <v>158</v>
      </c>
      <c r="M292" s="167" t="s">
        <v>421</v>
      </c>
      <c r="N292" s="99" t="s">
        <v>198</v>
      </c>
      <c r="O292" s="150" t="s">
        <v>926</v>
      </c>
      <c r="P292" s="160" t="s">
        <v>348</v>
      </c>
      <c r="Q292" s="128">
        <v>80111600</v>
      </c>
      <c r="R292" s="167" t="s">
        <v>211</v>
      </c>
      <c r="S292" s="162" t="str">
        <f>MID(PAA[[#This Row],[Meta Proyecto de Inversión]],1,4)</f>
        <v>8173</v>
      </c>
      <c r="T292" s="162" t="str">
        <f>MID(PAA[[#This Row],[Meta Proyecto de Inversión]],6,1)</f>
        <v>2</v>
      </c>
      <c r="U292" s="163" t="str">
        <f>IFERROR(VLOOKUP(N292,TD!$B$50:$F$54,2,0)," ")</f>
        <v>O230117</v>
      </c>
      <c r="V292" s="163" t="str">
        <f>IFERROR(VLOOKUP(N292,TD!$B$50:$F$54,3,0)," ")</f>
        <v>4503</v>
      </c>
      <c r="W292" s="163">
        <f>IFERROR(VLOOKUP(N292,TD!$B$50:$F$54,4,0)," ")</f>
        <v>20240255</v>
      </c>
      <c r="X292" s="162" t="s">
        <v>164</v>
      </c>
      <c r="Y292" s="163" t="str">
        <f>IFERROR(VLOOKUP(X292,TD!$J$51:$K$64,2,0)," ")</f>
        <v>Servicio de atención a incidentes y emergencias.</v>
      </c>
      <c r="Z292" s="164" t="str">
        <f t="shared" si="16"/>
        <v>04-Servicio de atención a incidentes y emergencias.</v>
      </c>
      <c r="AA292" s="162" t="s">
        <v>221</v>
      </c>
      <c r="AB292" s="163" t="str">
        <f>IFERROR(VLOOKUP(AA292,TD!$N$51:$O$66,2,0)," ")</f>
        <v>Servicio de atención a emergencias y desastres</v>
      </c>
      <c r="AC292" s="164" t="str">
        <f t="shared" si="17"/>
        <v>004_Servicio de atención a emergencias y desastres</v>
      </c>
      <c r="AD292" s="164" t="str">
        <f t="shared" si="18"/>
        <v>04-Servicio de atención a incidentes y emergencias. 004_Servicio de atención a emergencias y desastres</v>
      </c>
      <c r="AE292" s="163" t="str">
        <f t="shared" si="19"/>
        <v>O23011745032024025504004</v>
      </c>
      <c r="AF292" s="163" t="str">
        <f>IFERROR(VLOOKUP(AD292,TD!$J$66:$K$89,2,0)," ")</f>
        <v>PM/0131/0104/45030040255</v>
      </c>
      <c r="AG292" s="118" t="s">
        <v>385</v>
      </c>
      <c r="AH292" s="162" t="s">
        <v>193</v>
      </c>
      <c r="AI292" s="165" t="str">
        <f>CONCATENATE(PAA[[#This Row],[Id Interno]],"-",PAA[[#This Row],[tipo de Contrato (TH talento humano - B/S bienes y/o servicios)]],"-",S292,"-",T292,"-",PAA[[#This Row],[Objeto de la contratación]])</f>
        <v>20260269-TH-8173-2-Prestación de servicios para realizar la gestión administrativa requerida en la estación de bomberos asignada, para el desarrollo de los programas a cargo de la Subdirección Operativa-S.O.</v>
      </c>
    </row>
    <row r="293" spans="2:35" ht="56" x14ac:dyDescent="0.35">
      <c r="B293" s="23">
        <v>20260270</v>
      </c>
      <c r="C293" s="99" t="s">
        <v>845</v>
      </c>
      <c r="D293" s="99" t="s">
        <v>105</v>
      </c>
      <c r="E293" s="99" t="s">
        <v>363</v>
      </c>
      <c r="F293" s="160" t="s">
        <v>145</v>
      </c>
      <c r="G293" s="160" t="s">
        <v>373</v>
      </c>
      <c r="H293" s="166">
        <v>9</v>
      </c>
      <c r="I293" s="166">
        <v>0</v>
      </c>
      <c r="J293" s="118">
        <v>26910000</v>
      </c>
      <c r="K293" s="126" t="s">
        <v>398</v>
      </c>
      <c r="L293" s="160" t="s">
        <v>158</v>
      </c>
      <c r="M293" s="167" t="s">
        <v>421</v>
      </c>
      <c r="N293" s="99" t="s">
        <v>198</v>
      </c>
      <c r="O293" s="150" t="s">
        <v>926</v>
      </c>
      <c r="P293" s="160" t="s">
        <v>348</v>
      </c>
      <c r="Q293" s="128">
        <v>80111600</v>
      </c>
      <c r="R293" s="167" t="s">
        <v>211</v>
      </c>
      <c r="S293" s="162" t="str">
        <f>MID(PAA[[#This Row],[Meta Proyecto de Inversión]],1,4)</f>
        <v>8173</v>
      </c>
      <c r="T293" s="162" t="str">
        <f>MID(PAA[[#This Row],[Meta Proyecto de Inversión]],6,1)</f>
        <v>2</v>
      </c>
      <c r="U293" s="163" t="str">
        <f>IFERROR(VLOOKUP(N293,TD!$B$50:$F$54,2,0)," ")</f>
        <v>O230117</v>
      </c>
      <c r="V293" s="163" t="str">
        <f>IFERROR(VLOOKUP(N293,TD!$B$50:$F$54,3,0)," ")</f>
        <v>4503</v>
      </c>
      <c r="W293" s="163">
        <f>IFERROR(VLOOKUP(N293,TD!$B$50:$F$54,4,0)," ")</f>
        <v>20240255</v>
      </c>
      <c r="X293" s="162" t="s">
        <v>164</v>
      </c>
      <c r="Y293" s="163" t="str">
        <f>IFERROR(VLOOKUP(X293,TD!$J$51:$K$64,2,0)," ")</f>
        <v>Servicio de atención a incidentes y emergencias.</v>
      </c>
      <c r="Z293" s="164" t="str">
        <f t="shared" si="16"/>
        <v>04-Servicio de atención a incidentes y emergencias.</v>
      </c>
      <c r="AA293" s="162" t="s">
        <v>221</v>
      </c>
      <c r="AB293" s="163" t="str">
        <f>IFERROR(VLOOKUP(AA293,TD!$N$51:$O$66,2,0)," ")</f>
        <v>Servicio de atención a emergencias y desastres</v>
      </c>
      <c r="AC293" s="164" t="str">
        <f t="shared" si="17"/>
        <v>004_Servicio de atención a emergencias y desastres</v>
      </c>
      <c r="AD293" s="164" t="str">
        <f t="shared" si="18"/>
        <v>04-Servicio de atención a incidentes y emergencias. 004_Servicio de atención a emergencias y desastres</v>
      </c>
      <c r="AE293" s="163" t="str">
        <f t="shared" si="19"/>
        <v>O23011745032024025504004</v>
      </c>
      <c r="AF293" s="163" t="str">
        <f>IFERROR(VLOOKUP(AD293,TD!$J$66:$K$89,2,0)," ")</f>
        <v>PM/0131/0104/45030040255</v>
      </c>
      <c r="AG293" s="118" t="s">
        <v>385</v>
      </c>
      <c r="AH293" s="162" t="s">
        <v>193</v>
      </c>
      <c r="AI293" s="165" t="str">
        <f>CONCATENATE(PAA[[#This Row],[Id Interno]],"-",PAA[[#This Row],[tipo de Contrato (TH talento humano - B/S bienes y/o servicios)]],"-",S293,"-",T293,"-",PAA[[#This Row],[Objeto de la contratación]])</f>
        <v>20260270-TH-8173-2-Prestación de servicios para realizar la gestión administrativa requerida en la estación de bomberos asignada, para el desarrollo de los programas a cargo de la Subdirección Operativa-S.O.</v>
      </c>
    </row>
    <row r="294" spans="2:35" ht="56" x14ac:dyDescent="0.35">
      <c r="B294" s="23">
        <v>20260271</v>
      </c>
      <c r="C294" s="99" t="s">
        <v>845</v>
      </c>
      <c r="D294" s="99" t="s">
        <v>105</v>
      </c>
      <c r="E294" s="99" t="s">
        <v>363</v>
      </c>
      <c r="F294" s="160" t="s">
        <v>145</v>
      </c>
      <c r="G294" s="160" t="s">
        <v>373</v>
      </c>
      <c r="H294" s="166">
        <v>9</v>
      </c>
      <c r="I294" s="166">
        <v>0</v>
      </c>
      <c r="J294" s="118">
        <v>26910000</v>
      </c>
      <c r="K294" s="126" t="s">
        <v>398</v>
      </c>
      <c r="L294" s="160" t="s">
        <v>158</v>
      </c>
      <c r="M294" s="167" t="s">
        <v>421</v>
      </c>
      <c r="N294" s="99" t="s">
        <v>198</v>
      </c>
      <c r="O294" s="150" t="s">
        <v>926</v>
      </c>
      <c r="P294" s="160" t="s">
        <v>348</v>
      </c>
      <c r="Q294" s="128">
        <v>80111600</v>
      </c>
      <c r="R294" s="167" t="s">
        <v>211</v>
      </c>
      <c r="S294" s="162" t="str">
        <f>MID(PAA[[#This Row],[Meta Proyecto de Inversión]],1,4)</f>
        <v>8173</v>
      </c>
      <c r="T294" s="162" t="str">
        <f>MID(PAA[[#This Row],[Meta Proyecto de Inversión]],6,1)</f>
        <v>2</v>
      </c>
      <c r="U294" s="163" t="str">
        <f>IFERROR(VLOOKUP(N294,TD!$B$50:$F$54,2,0)," ")</f>
        <v>O230117</v>
      </c>
      <c r="V294" s="163" t="str">
        <f>IFERROR(VLOOKUP(N294,TD!$B$50:$F$54,3,0)," ")</f>
        <v>4503</v>
      </c>
      <c r="W294" s="163">
        <f>IFERROR(VLOOKUP(N294,TD!$B$50:$F$54,4,0)," ")</f>
        <v>20240255</v>
      </c>
      <c r="X294" s="162" t="s">
        <v>164</v>
      </c>
      <c r="Y294" s="163" t="str">
        <f>IFERROR(VLOOKUP(X294,TD!$J$51:$K$64,2,0)," ")</f>
        <v>Servicio de atención a incidentes y emergencias.</v>
      </c>
      <c r="Z294" s="164" t="str">
        <f t="shared" si="16"/>
        <v>04-Servicio de atención a incidentes y emergencias.</v>
      </c>
      <c r="AA294" s="162" t="s">
        <v>221</v>
      </c>
      <c r="AB294" s="163" t="str">
        <f>IFERROR(VLOOKUP(AA294,TD!$N$51:$O$66,2,0)," ")</f>
        <v>Servicio de atención a emergencias y desastres</v>
      </c>
      <c r="AC294" s="164" t="str">
        <f t="shared" si="17"/>
        <v>004_Servicio de atención a emergencias y desastres</v>
      </c>
      <c r="AD294" s="164" t="str">
        <f t="shared" si="18"/>
        <v>04-Servicio de atención a incidentes y emergencias. 004_Servicio de atención a emergencias y desastres</v>
      </c>
      <c r="AE294" s="163" t="str">
        <f t="shared" si="19"/>
        <v>O23011745032024025504004</v>
      </c>
      <c r="AF294" s="163" t="str">
        <f>IFERROR(VLOOKUP(AD294,TD!$J$66:$K$89,2,0)," ")</f>
        <v>PM/0131/0104/45030040255</v>
      </c>
      <c r="AG294" s="118" t="s">
        <v>385</v>
      </c>
      <c r="AH294" s="162" t="s">
        <v>193</v>
      </c>
      <c r="AI294" s="165" t="str">
        <f>CONCATENATE(PAA[[#This Row],[Id Interno]],"-",PAA[[#This Row],[tipo de Contrato (TH talento humano - B/S bienes y/o servicios)]],"-",S294,"-",T294,"-",PAA[[#This Row],[Objeto de la contratación]])</f>
        <v>20260271-TH-8173-2-Prestación de servicios para realizar la gestión administrativa requerida en la estación de bomberos asignada, para el desarrollo de los programas a cargo de la Subdirección Operativa-S.O.</v>
      </c>
    </row>
    <row r="295" spans="2:35" ht="56" x14ac:dyDescent="0.35">
      <c r="B295" s="23">
        <v>20260272</v>
      </c>
      <c r="C295" s="99" t="s">
        <v>845</v>
      </c>
      <c r="D295" s="99" t="s">
        <v>105</v>
      </c>
      <c r="E295" s="99" t="s">
        <v>363</v>
      </c>
      <c r="F295" s="160" t="s">
        <v>145</v>
      </c>
      <c r="G295" s="160" t="s">
        <v>373</v>
      </c>
      <c r="H295" s="166">
        <v>9</v>
      </c>
      <c r="I295" s="166">
        <v>0</v>
      </c>
      <c r="J295" s="118">
        <v>26910000</v>
      </c>
      <c r="K295" s="126" t="s">
        <v>398</v>
      </c>
      <c r="L295" s="160" t="s">
        <v>158</v>
      </c>
      <c r="M295" s="167" t="s">
        <v>421</v>
      </c>
      <c r="N295" s="99" t="s">
        <v>198</v>
      </c>
      <c r="O295" s="150" t="s">
        <v>926</v>
      </c>
      <c r="P295" s="160" t="s">
        <v>348</v>
      </c>
      <c r="Q295" s="128">
        <v>80111600</v>
      </c>
      <c r="R295" s="167" t="s">
        <v>211</v>
      </c>
      <c r="S295" s="162" t="str">
        <f>MID(PAA[[#This Row],[Meta Proyecto de Inversión]],1,4)</f>
        <v>8173</v>
      </c>
      <c r="T295" s="162" t="str">
        <f>MID(PAA[[#This Row],[Meta Proyecto de Inversión]],6,1)</f>
        <v>2</v>
      </c>
      <c r="U295" s="163" t="str">
        <f>IFERROR(VLOOKUP(N295,TD!$B$50:$F$54,2,0)," ")</f>
        <v>O230117</v>
      </c>
      <c r="V295" s="163" t="str">
        <f>IFERROR(VLOOKUP(N295,TD!$B$50:$F$54,3,0)," ")</f>
        <v>4503</v>
      </c>
      <c r="W295" s="163">
        <f>IFERROR(VLOOKUP(N295,TD!$B$50:$F$54,4,0)," ")</f>
        <v>20240255</v>
      </c>
      <c r="X295" s="162" t="s">
        <v>164</v>
      </c>
      <c r="Y295" s="163" t="str">
        <f>IFERROR(VLOOKUP(X295,TD!$J$51:$K$64,2,0)," ")</f>
        <v>Servicio de atención a incidentes y emergencias.</v>
      </c>
      <c r="Z295" s="164" t="str">
        <f t="shared" si="16"/>
        <v>04-Servicio de atención a incidentes y emergencias.</v>
      </c>
      <c r="AA295" s="162" t="s">
        <v>221</v>
      </c>
      <c r="AB295" s="163" t="str">
        <f>IFERROR(VLOOKUP(AA295,TD!$N$51:$O$66,2,0)," ")</f>
        <v>Servicio de atención a emergencias y desastres</v>
      </c>
      <c r="AC295" s="164" t="str">
        <f t="shared" si="17"/>
        <v>004_Servicio de atención a emergencias y desastres</v>
      </c>
      <c r="AD295" s="164" t="str">
        <f t="shared" si="18"/>
        <v>04-Servicio de atención a incidentes y emergencias. 004_Servicio de atención a emergencias y desastres</v>
      </c>
      <c r="AE295" s="163" t="str">
        <f t="shared" si="19"/>
        <v>O23011745032024025504004</v>
      </c>
      <c r="AF295" s="163" t="str">
        <f>IFERROR(VLOOKUP(AD295,TD!$J$66:$K$89,2,0)," ")</f>
        <v>PM/0131/0104/45030040255</v>
      </c>
      <c r="AG295" s="118" t="s">
        <v>385</v>
      </c>
      <c r="AH295" s="162" t="s">
        <v>193</v>
      </c>
      <c r="AI295" s="165" t="str">
        <f>CONCATENATE(PAA[[#This Row],[Id Interno]],"-",PAA[[#This Row],[tipo de Contrato (TH talento humano - B/S bienes y/o servicios)]],"-",S295,"-",T295,"-",PAA[[#This Row],[Objeto de la contratación]])</f>
        <v>20260272-TH-8173-2-Prestación de servicios para realizar la gestión administrativa requerida en la estación de bomberos asignada, para el desarrollo de los programas a cargo de la Subdirección Operativa-S.O.</v>
      </c>
    </row>
    <row r="296" spans="2:35" ht="56" x14ac:dyDescent="0.35">
      <c r="B296" s="23">
        <v>20260273</v>
      </c>
      <c r="C296" s="99" t="s">
        <v>845</v>
      </c>
      <c r="D296" s="99" t="s">
        <v>105</v>
      </c>
      <c r="E296" s="99" t="s">
        <v>363</v>
      </c>
      <c r="F296" s="160" t="s">
        <v>145</v>
      </c>
      <c r="G296" s="160" t="s">
        <v>373</v>
      </c>
      <c r="H296" s="166">
        <v>9</v>
      </c>
      <c r="I296" s="166">
        <v>0</v>
      </c>
      <c r="J296" s="118">
        <v>26910000</v>
      </c>
      <c r="K296" s="126" t="s">
        <v>398</v>
      </c>
      <c r="L296" s="160" t="s">
        <v>158</v>
      </c>
      <c r="M296" s="167" t="s">
        <v>421</v>
      </c>
      <c r="N296" s="99" t="s">
        <v>198</v>
      </c>
      <c r="O296" s="150" t="s">
        <v>926</v>
      </c>
      <c r="P296" s="160" t="s">
        <v>348</v>
      </c>
      <c r="Q296" s="128">
        <v>80111600</v>
      </c>
      <c r="R296" s="167" t="s">
        <v>211</v>
      </c>
      <c r="S296" s="162" t="str">
        <f>MID(PAA[[#This Row],[Meta Proyecto de Inversión]],1,4)</f>
        <v>8173</v>
      </c>
      <c r="T296" s="162" t="str">
        <f>MID(PAA[[#This Row],[Meta Proyecto de Inversión]],6,1)</f>
        <v>2</v>
      </c>
      <c r="U296" s="163" t="str">
        <f>IFERROR(VLOOKUP(N296,TD!$B$50:$F$54,2,0)," ")</f>
        <v>O230117</v>
      </c>
      <c r="V296" s="163" t="str">
        <f>IFERROR(VLOOKUP(N296,TD!$B$50:$F$54,3,0)," ")</f>
        <v>4503</v>
      </c>
      <c r="W296" s="163">
        <f>IFERROR(VLOOKUP(N296,TD!$B$50:$F$54,4,0)," ")</f>
        <v>20240255</v>
      </c>
      <c r="X296" s="162" t="s">
        <v>164</v>
      </c>
      <c r="Y296" s="163" t="str">
        <f>IFERROR(VLOOKUP(X296,TD!$J$51:$K$64,2,0)," ")</f>
        <v>Servicio de atención a incidentes y emergencias.</v>
      </c>
      <c r="Z296" s="164" t="str">
        <f t="shared" si="16"/>
        <v>04-Servicio de atención a incidentes y emergencias.</v>
      </c>
      <c r="AA296" s="162" t="s">
        <v>221</v>
      </c>
      <c r="AB296" s="163" t="str">
        <f>IFERROR(VLOOKUP(AA296,TD!$N$51:$O$66,2,0)," ")</f>
        <v>Servicio de atención a emergencias y desastres</v>
      </c>
      <c r="AC296" s="164" t="str">
        <f t="shared" si="17"/>
        <v>004_Servicio de atención a emergencias y desastres</v>
      </c>
      <c r="AD296" s="164" t="str">
        <f t="shared" si="18"/>
        <v>04-Servicio de atención a incidentes y emergencias. 004_Servicio de atención a emergencias y desastres</v>
      </c>
      <c r="AE296" s="163" t="str">
        <f t="shared" si="19"/>
        <v>O23011745032024025504004</v>
      </c>
      <c r="AF296" s="163" t="str">
        <f>IFERROR(VLOOKUP(AD296,TD!$J$66:$K$89,2,0)," ")</f>
        <v>PM/0131/0104/45030040255</v>
      </c>
      <c r="AG296" s="118" t="s">
        <v>385</v>
      </c>
      <c r="AH296" s="162" t="s">
        <v>193</v>
      </c>
      <c r="AI296" s="165" t="str">
        <f>CONCATENATE(PAA[[#This Row],[Id Interno]],"-",PAA[[#This Row],[tipo de Contrato (TH talento humano - B/S bienes y/o servicios)]],"-",S296,"-",T296,"-",PAA[[#This Row],[Objeto de la contratación]])</f>
        <v>20260273-TH-8173-2-Prestación de servicios para realizar la gestión administrativa requerida en la estación de bomberos asignada, para el desarrollo de los programas a cargo de la Subdirección Operativa-S.O.</v>
      </c>
    </row>
    <row r="297" spans="2:35" ht="56" x14ac:dyDescent="0.35">
      <c r="B297" s="23">
        <v>20260274</v>
      </c>
      <c r="C297" s="99" t="s">
        <v>845</v>
      </c>
      <c r="D297" s="99" t="s">
        <v>105</v>
      </c>
      <c r="E297" s="99" t="s">
        <v>363</v>
      </c>
      <c r="F297" s="160" t="s">
        <v>145</v>
      </c>
      <c r="G297" s="160" t="s">
        <v>373</v>
      </c>
      <c r="H297" s="166">
        <v>9</v>
      </c>
      <c r="I297" s="166">
        <v>0</v>
      </c>
      <c r="J297" s="118">
        <v>26910000</v>
      </c>
      <c r="K297" s="126" t="s">
        <v>398</v>
      </c>
      <c r="L297" s="160" t="s">
        <v>158</v>
      </c>
      <c r="M297" s="167" t="s">
        <v>421</v>
      </c>
      <c r="N297" s="99" t="s">
        <v>198</v>
      </c>
      <c r="O297" s="150" t="s">
        <v>926</v>
      </c>
      <c r="P297" s="160" t="s">
        <v>348</v>
      </c>
      <c r="Q297" s="128">
        <v>80111600</v>
      </c>
      <c r="R297" s="167" t="s">
        <v>211</v>
      </c>
      <c r="S297" s="162" t="str">
        <f>MID(PAA[[#This Row],[Meta Proyecto de Inversión]],1,4)</f>
        <v>8173</v>
      </c>
      <c r="T297" s="162" t="str">
        <f>MID(PAA[[#This Row],[Meta Proyecto de Inversión]],6,1)</f>
        <v>2</v>
      </c>
      <c r="U297" s="163" t="str">
        <f>IFERROR(VLOOKUP(N297,TD!$B$50:$F$54,2,0)," ")</f>
        <v>O230117</v>
      </c>
      <c r="V297" s="163" t="str">
        <f>IFERROR(VLOOKUP(N297,TD!$B$50:$F$54,3,0)," ")</f>
        <v>4503</v>
      </c>
      <c r="W297" s="163">
        <f>IFERROR(VLOOKUP(N297,TD!$B$50:$F$54,4,0)," ")</f>
        <v>20240255</v>
      </c>
      <c r="X297" s="162" t="s">
        <v>164</v>
      </c>
      <c r="Y297" s="163" t="str">
        <f>IFERROR(VLOOKUP(X297,TD!$J$51:$K$64,2,0)," ")</f>
        <v>Servicio de atención a incidentes y emergencias.</v>
      </c>
      <c r="Z297" s="164" t="str">
        <f t="shared" si="16"/>
        <v>04-Servicio de atención a incidentes y emergencias.</v>
      </c>
      <c r="AA297" s="162" t="s">
        <v>221</v>
      </c>
      <c r="AB297" s="163" t="str">
        <f>IFERROR(VLOOKUP(AA297,TD!$N$51:$O$66,2,0)," ")</f>
        <v>Servicio de atención a emergencias y desastres</v>
      </c>
      <c r="AC297" s="164" t="str">
        <f t="shared" si="17"/>
        <v>004_Servicio de atención a emergencias y desastres</v>
      </c>
      <c r="AD297" s="164" t="str">
        <f t="shared" si="18"/>
        <v>04-Servicio de atención a incidentes y emergencias. 004_Servicio de atención a emergencias y desastres</v>
      </c>
      <c r="AE297" s="163" t="str">
        <f t="shared" si="19"/>
        <v>O23011745032024025504004</v>
      </c>
      <c r="AF297" s="163" t="str">
        <f>IFERROR(VLOOKUP(AD297,TD!$J$66:$K$89,2,0)," ")</f>
        <v>PM/0131/0104/45030040255</v>
      </c>
      <c r="AG297" s="118" t="s">
        <v>385</v>
      </c>
      <c r="AH297" s="162" t="s">
        <v>193</v>
      </c>
      <c r="AI297" s="165" t="str">
        <f>CONCATENATE(PAA[[#This Row],[Id Interno]],"-",PAA[[#This Row],[tipo de Contrato (TH talento humano - B/S bienes y/o servicios)]],"-",S297,"-",T297,"-",PAA[[#This Row],[Objeto de la contratación]])</f>
        <v>20260274-TH-8173-2-Prestación de servicios para realizar la gestión administrativa requerida en la estación de bomberos asignada, para el desarrollo de los programas a cargo de la Subdirección Operativa-S.O.</v>
      </c>
    </row>
    <row r="298" spans="2:35" ht="56" x14ac:dyDescent="0.35">
      <c r="B298" s="23">
        <v>20260275</v>
      </c>
      <c r="C298" s="99" t="s">
        <v>845</v>
      </c>
      <c r="D298" s="99" t="s">
        <v>105</v>
      </c>
      <c r="E298" s="99" t="s">
        <v>363</v>
      </c>
      <c r="F298" s="160" t="s">
        <v>145</v>
      </c>
      <c r="G298" s="160" t="s">
        <v>373</v>
      </c>
      <c r="H298" s="166">
        <v>9</v>
      </c>
      <c r="I298" s="166">
        <v>0</v>
      </c>
      <c r="J298" s="118">
        <v>26910000</v>
      </c>
      <c r="K298" s="126" t="s">
        <v>398</v>
      </c>
      <c r="L298" s="160" t="s">
        <v>158</v>
      </c>
      <c r="M298" s="167" t="s">
        <v>421</v>
      </c>
      <c r="N298" s="99" t="s">
        <v>198</v>
      </c>
      <c r="O298" s="150" t="s">
        <v>926</v>
      </c>
      <c r="P298" s="160" t="s">
        <v>348</v>
      </c>
      <c r="Q298" s="128">
        <v>80111600</v>
      </c>
      <c r="R298" s="167" t="s">
        <v>211</v>
      </c>
      <c r="S298" s="162" t="str">
        <f>MID(PAA[[#This Row],[Meta Proyecto de Inversión]],1,4)</f>
        <v>8173</v>
      </c>
      <c r="T298" s="162" t="str">
        <f>MID(PAA[[#This Row],[Meta Proyecto de Inversión]],6,1)</f>
        <v>2</v>
      </c>
      <c r="U298" s="163" t="str">
        <f>IFERROR(VLOOKUP(N298,TD!$B$50:$F$54,2,0)," ")</f>
        <v>O230117</v>
      </c>
      <c r="V298" s="163" t="str">
        <f>IFERROR(VLOOKUP(N298,TD!$B$50:$F$54,3,0)," ")</f>
        <v>4503</v>
      </c>
      <c r="W298" s="163">
        <f>IFERROR(VLOOKUP(N298,TD!$B$50:$F$54,4,0)," ")</f>
        <v>20240255</v>
      </c>
      <c r="X298" s="162" t="s">
        <v>164</v>
      </c>
      <c r="Y298" s="163" t="str">
        <f>IFERROR(VLOOKUP(X298,TD!$J$51:$K$64,2,0)," ")</f>
        <v>Servicio de atención a incidentes y emergencias.</v>
      </c>
      <c r="Z298" s="164" t="str">
        <f t="shared" si="16"/>
        <v>04-Servicio de atención a incidentes y emergencias.</v>
      </c>
      <c r="AA298" s="162" t="s">
        <v>221</v>
      </c>
      <c r="AB298" s="163" t="str">
        <f>IFERROR(VLOOKUP(AA298,TD!$N$51:$O$66,2,0)," ")</f>
        <v>Servicio de atención a emergencias y desastres</v>
      </c>
      <c r="AC298" s="164" t="str">
        <f t="shared" si="17"/>
        <v>004_Servicio de atención a emergencias y desastres</v>
      </c>
      <c r="AD298" s="164" t="str">
        <f t="shared" si="18"/>
        <v>04-Servicio de atención a incidentes y emergencias. 004_Servicio de atención a emergencias y desastres</v>
      </c>
      <c r="AE298" s="163" t="str">
        <f t="shared" si="19"/>
        <v>O23011745032024025504004</v>
      </c>
      <c r="AF298" s="163" t="str">
        <f>IFERROR(VLOOKUP(AD298,TD!$J$66:$K$89,2,0)," ")</f>
        <v>PM/0131/0104/45030040255</v>
      </c>
      <c r="AG298" s="118" t="s">
        <v>385</v>
      </c>
      <c r="AH298" s="162" t="s">
        <v>193</v>
      </c>
      <c r="AI298" s="165" t="str">
        <f>CONCATENATE(PAA[[#This Row],[Id Interno]],"-",PAA[[#This Row],[tipo de Contrato (TH talento humano - B/S bienes y/o servicios)]],"-",S298,"-",T298,"-",PAA[[#This Row],[Objeto de la contratación]])</f>
        <v>20260275-TH-8173-2-Prestación de servicios para realizar la gestión administrativa requerida en la estación de bomberos asignada, para el desarrollo de los programas a cargo de la Subdirección Operativa-S.O.</v>
      </c>
    </row>
    <row r="299" spans="2:35" ht="56" x14ac:dyDescent="0.35">
      <c r="B299" s="23">
        <v>20260276</v>
      </c>
      <c r="C299" s="99" t="s">
        <v>845</v>
      </c>
      <c r="D299" s="99" t="s">
        <v>105</v>
      </c>
      <c r="E299" s="99" t="s">
        <v>363</v>
      </c>
      <c r="F299" s="160" t="s">
        <v>145</v>
      </c>
      <c r="G299" s="160" t="s">
        <v>373</v>
      </c>
      <c r="H299" s="166">
        <v>9</v>
      </c>
      <c r="I299" s="166">
        <v>0</v>
      </c>
      <c r="J299" s="118">
        <v>26910000</v>
      </c>
      <c r="K299" s="126" t="s">
        <v>398</v>
      </c>
      <c r="L299" s="160" t="s">
        <v>158</v>
      </c>
      <c r="M299" s="167" t="s">
        <v>421</v>
      </c>
      <c r="N299" s="99" t="s">
        <v>198</v>
      </c>
      <c r="O299" s="150" t="s">
        <v>926</v>
      </c>
      <c r="P299" s="160" t="s">
        <v>348</v>
      </c>
      <c r="Q299" s="128">
        <v>80111600</v>
      </c>
      <c r="R299" s="167" t="s">
        <v>211</v>
      </c>
      <c r="S299" s="162" t="str">
        <f>MID(PAA[[#This Row],[Meta Proyecto de Inversión]],1,4)</f>
        <v>8173</v>
      </c>
      <c r="T299" s="162" t="str">
        <f>MID(PAA[[#This Row],[Meta Proyecto de Inversión]],6,1)</f>
        <v>2</v>
      </c>
      <c r="U299" s="163" t="str">
        <f>IFERROR(VLOOKUP(N299,TD!$B$50:$F$54,2,0)," ")</f>
        <v>O230117</v>
      </c>
      <c r="V299" s="163" t="str">
        <f>IFERROR(VLOOKUP(N299,TD!$B$50:$F$54,3,0)," ")</f>
        <v>4503</v>
      </c>
      <c r="W299" s="163">
        <f>IFERROR(VLOOKUP(N299,TD!$B$50:$F$54,4,0)," ")</f>
        <v>20240255</v>
      </c>
      <c r="X299" s="162" t="s">
        <v>164</v>
      </c>
      <c r="Y299" s="163" t="str">
        <f>IFERROR(VLOOKUP(X299,TD!$J$51:$K$64,2,0)," ")</f>
        <v>Servicio de atención a incidentes y emergencias.</v>
      </c>
      <c r="Z299" s="164" t="str">
        <f t="shared" si="16"/>
        <v>04-Servicio de atención a incidentes y emergencias.</v>
      </c>
      <c r="AA299" s="162" t="s">
        <v>221</v>
      </c>
      <c r="AB299" s="163" t="str">
        <f>IFERROR(VLOOKUP(AA299,TD!$N$51:$O$66,2,0)," ")</f>
        <v>Servicio de atención a emergencias y desastres</v>
      </c>
      <c r="AC299" s="164" t="str">
        <f t="shared" si="17"/>
        <v>004_Servicio de atención a emergencias y desastres</v>
      </c>
      <c r="AD299" s="164" t="str">
        <f t="shared" si="18"/>
        <v>04-Servicio de atención a incidentes y emergencias. 004_Servicio de atención a emergencias y desastres</v>
      </c>
      <c r="AE299" s="163" t="str">
        <f t="shared" si="19"/>
        <v>O23011745032024025504004</v>
      </c>
      <c r="AF299" s="163" t="str">
        <f>IFERROR(VLOOKUP(AD299,TD!$J$66:$K$89,2,0)," ")</f>
        <v>PM/0131/0104/45030040255</v>
      </c>
      <c r="AG299" s="118" t="s">
        <v>385</v>
      </c>
      <c r="AH299" s="162" t="s">
        <v>193</v>
      </c>
      <c r="AI299" s="165" t="str">
        <f>CONCATENATE(PAA[[#This Row],[Id Interno]],"-",PAA[[#This Row],[tipo de Contrato (TH talento humano - B/S bienes y/o servicios)]],"-",S299,"-",T299,"-",PAA[[#This Row],[Objeto de la contratación]])</f>
        <v>20260276-TH-8173-2-Prestación de servicios para realizar la gestión administrativa requerida en la estación de bomberos asignada, para el desarrollo de los programas a cargo de la Subdirección Operativa-S.O.</v>
      </c>
    </row>
    <row r="300" spans="2:35" ht="56" x14ac:dyDescent="0.35">
      <c r="B300" s="23">
        <v>20260277</v>
      </c>
      <c r="C300" s="99" t="s">
        <v>845</v>
      </c>
      <c r="D300" s="99" t="s">
        <v>105</v>
      </c>
      <c r="E300" s="99" t="s">
        <v>363</v>
      </c>
      <c r="F300" s="160" t="s">
        <v>145</v>
      </c>
      <c r="G300" s="160" t="s">
        <v>373</v>
      </c>
      <c r="H300" s="166">
        <v>9</v>
      </c>
      <c r="I300" s="166">
        <v>0</v>
      </c>
      <c r="J300" s="118">
        <v>26910000</v>
      </c>
      <c r="K300" s="126" t="s">
        <v>398</v>
      </c>
      <c r="L300" s="160" t="s">
        <v>158</v>
      </c>
      <c r="M300" s="167" t="s">
        <v>421</v>
      </c>
      <c r="N300" s="99" t="s">
        <v>198</v>
      </c>
      <c r="O300" s="150" t="s">
        <v>926</v>
      </c>
      <c r="P300" s="160" t="s">
        <v>348</v>
      </c>
      <c r="Q300" s="128">
        <v>80111600</v>
      </c>
      <c r="R300" s="167" t="s">
        <v>211</v>
      </c>
      <c r="S300" s="162" t="str">
        <f>MID(PAA[[#This Row],[Meta Proyecto de Inversión]],1,4)</f>
        <v>8173</v>
      </c>
      <c r="T300" s="162" t="str">
        <f>MID(PAA[[#This Row],[Meta Proyecto de Inversión]],6,1)</f>
        <v>2</v>
      </c>
      <c r="U300" s="163" t="str">
        <f>IFERROR(VLOOKUP(N300,TD!$B$50:$F$54,2,0)," ")</f>
        <v>O230117</v>
      </c>
      <c r="V300" s="163" t="str">
        <f>IFERROR(VLOOKUP(N300,TD!$B$50:$F$54,3,0)," ")</f>
        <v>4503</v>
      </c>
      <c r="W300" s="163">
        <f>IFERROR(VLOOKUP(N300,TD!$B$50:$F$54,4,0)," ")</f>
        <v>20240255</v>
      </c>
      <c r="X300" s="162" t="s">
        <v>164</v>
      </c>
      <c r="Y300" s="163" t="str">
        <f>IFERROR(VLOOKUP(X300,TD!$J$51:$K$64,2,0)," ")</f>
        <v>Servicio de atención a incidentes y emergencias.</v>
      </c>
      <c r="Z300" s="164" t="str">
        <f t="shared" si="16"/>
        <v>04-Servicio de atención a incidentes y emergencias.</v>
      </c>
      <c r="AA300" s="162" t="s">
        <v>221</v>
      </c>
      <c r="AB300" s="163" t="str">
        <f>IFERROR(VLOOKUP(AA300,TD!$N$51:$O$66,2,0)," ")</f>
        <v>Servicio de atención a emergencias y desastres</v>
      </c>
      <c r="AC300" s="164" t="str">
        <f t="shared" si="17"/>
        <v>004_Servicio de atención a emergencias y desastres</v>
      </c>
      <c r="AD300" s="164" t="str">
        <f t="shared" si="18"/>
        <v>04-Servicio de atención a incidentes y emergencias. 004_Servicio de atención a emergencias y desastres</v>
      </c>
      <c r="AE300" s="163" t="str">
        <f t="shared" si="19"/>
        <v>O23011745032024025504004</v>
      </c>
      <c r="AF300" s="163" t="str">
        <f>IFERROR(VLOOKUP(AD300,TD!$J$66:$K$89,2,0)," ")</f>
        <v>PM/0131/0104/45030040255</v>
      </c>
      <c r="AG300" s="118" t="s">
        <v>385</v>
      </c>
      <c r="AH300" s="162" t="s">
        <v>193</v>
      </c>
      <c r="AI300" s="165" t="str">
        <f>CONCATENATE(PAA[[#This Row],[Id Interno]],"-",PAA[[#This Row],[tipo de Contrato (TH talento humano - B/S bienes y/o servicios)]],"-",S300,"-",T300,"-",PAA[[#This Row],[Objeto de la contratación]])</f>
        <v>20260277-TH-8173-2-Prestación de servicios para realizar la gestión administrativa requerida en la estación de bomberos asignada, para el desarrollo de los programas a cargo de la Subdirección Operativa-S.O.</v>
      </c>
    </row>
    <row r="301" spans="2:35" ht="56" x14ac:dyDescent="0.35">
      <c r="B301" s="23">
        <v>20260278</v>
      </c>
      <c r="C301" s="99" t="s">
        <v>845</v>
      </c>
      <c r="D301" s="99" t="s">
        <v>105</v>
      </c>
      <c r="E301" s="99" t="s">
        <v>363</v>
      </c>
      <c r="F301" s="160" t="s">
        <v>145</v>
      </c>
      <c r="G301" s="160" t="s">
        <v>373</v>
      </c>
      <c r="H301" s="166">
        <v>9</v>
      </c>
      <c r="I301" s="166">
        <v>0</v>
      </c>
      <c r="J301" s="118">
        <v>26910000</v>
      </c>
      <c r="K301" s="126" t="s">
        <v>398</v>
      </c>
      <c r="L301" s="160" t="s">
        <v>158</v>
      </c>
      <c r="M301" s="167" t="s">
        <v>421</v>
      </c>
      <c r="N301" s="99" t="s">
        <v>198</v>
      </c>
      <c r="O301" s="150" t="s">
        <v>926</v>
      </c>
      <c r="P301" s="160" t="s">
        <v>348</v>
      </c>
      <c r="Q301" s="128">
        <v>80111600</v>
      </c>
      <c r="R301" s="167" t="s">
        <v>211</v>
      </c>
      <c r="S301" s="162" t="str">
        <f>MID(PAA[[#This Row],[Meta Proyecto de Inversión]],1,4)</f>
        <v>8173</v>
      </c>
      <c r="T301" s="162" t="str">
        <f>MID(PAA[[#This Row],[Meta Proyecto de Inversión]],6,1)</f>
        <v>2</v>
      </c>
      <c r="U301" s="163" t="str">
        <f>IFERROR(VLOOKUP(N301,TD!$B$50:$F$54,2,0)," ")</f>
        <v>O230117</v>
      </c>
      <c r="V301" s="163" t="str">
        <f>IFERROR(VLOOKUP(N301,TD!$B$50:$F$54,3,0)," ")</f>
        <v>4503</v>
      </c>
      <c r="W301" s="163">
        <f>IFERROR(VLOOKUP(N301,TD!$B$50:$F$54,4,0)," ")</f>
        <v>20240255</v>
      </c>
      <c r="X301" s="162" t="s">
        <v>164</v>
      </c>
      <c r="Y301" s="163" t="str">
        <f>IFERROR(VLOOKUP(X301,TD!$J$51:$K$64,2,0)," ")</f>
        <v>Servicio de atención a incidentes y emergencias.</v>
      </c>
      <c r="Z301" s="164" t="str">
        <f t="shared" si="16"/>
        <v>04-Servicio de atención a incidentes y emergencias.</v>
      </c>
      <c r="AA301" s="162" t="s">
        <v>221</v>
      </c>
      <c r="AB301" s="163" t="str">
        <f>IFERROR(VLOOKUP(AA301,TD!$N$51:$O$66,2,0)," ")</f>
        <v>Servicio de atención a emergencias y desastres</v>
      </c>
      <c r="AC301" s="164" t="str">
        <f t="shared" si="17"/>
        <v>004_Servicio de atención a emergencias y desastres</v>
      </c>
      <c r="AD301" s="164" t="str">
        <f t="shared" si="18"/>
        <v>04-Servicio de atención a incidentes y emergencias. 004_Servicio de atención a emergencias y desastres</v>
      </c>
      <c r="AE301" s="163" t="str">
        <f t="shared" si="19"/>
        <v>O23011745032024025504004</v>
      </c>
      <c r="AF301" s="163" t="str">
        <f>IFERROR(VLOOKUP(AD301,TD!$J$66:$K$89,2,0)," ")</f>
        <v>PM/0131/0104/45030040255</v>
      </c>
      <c r="AG301" s="118" t="s">
        <v>385</v>
      </c>
      <c r="AH301" s="162" t="s">
        <v>193</v>
      </c>
      <c r="AI301" s="165" t="str">
        <f>CONCATENATE(PAA[[#This Row],[Id Interno]],"-",PAA[[#This Row],[tipo de Contrato (TH talento humano - B/S bienes y/o servicios)]],"-",S301,"-",T301,"-",PAA[[#This Row],[Objeto de la contratación]])</f>
        <v>20260278-TH-8173-2-Prestación de servicios para realizar la gestión administrativa requerida en la estación de bomberos asignada, para el desarrollo de los programas a cargo de la Subdirección Operativa-S.O.</v>
      </c>
    </row>
    <row r="302" spans="2:35" ht="56" x14ac:dyDescent="0.35">
      <c r="B302" s="23">
        <v>20260279</v>
      </c>
      <c r="C302" s="99" t="s">
        <v>846</v>
      </c>
      <c r="D302" s="99" t="s">
        <v>105</v>
      </c>
      <c r="E302" s="99" t="s">
        <v>363</v>
      </c>
      <c r="F302" s="160" t="s">
        <v>145</v>
      </c>
      <c r="G302" s="160" t="s">
        <v>373</v>
      </c>
      <c r="H302" s="166">
        <v>9</v>
      </c>
      <c r="I302" s="166">
        <v>0</v>
      </c>
      <c r="J302" s="118">
        <v>29610000</v>
      </c>
      <c r="K302" s="126" t="s">
        <v>398</v>
      </c>
      <c r="L302" s="160" t="s">
        <v>158</v>
      </c>
      <c r="M302" s="167" t="s">
        <v>421</v>
      </c>
      <c r="N302" s="99" t="s">
        <v>198</v>
      </c>
      <c r="O302" s="150" t="s">
        <v>926</v>
      </c>
      <c r="P302" s="160" t="s">
        <v>348</v>
      </c>
      <c r="Q302" s="128">
        <v>80111600</v>
      </c>
      <c r="R302" s="167" t="s">
        <v>211</v>
      </c>
      <c r="S302" s="162" t="str">
        <f>MID(PAA[[#This Row],[Meta Proyecto de Inversión]],1,4)</f>
        <v>8173</v>
      </c>
      <c r="T302" s="162" t="str">
        <f>MID(PAA[[#This Row],[Meta Proyecto de Inversión]],6,1)</f>
        <v>2</v>
      </c>
      <c r="U302" s="163" t="str">
        <f>IFERROR(VLOOKUP(N302,TD!$B$50:$F$54,2,0)," ")</f>
        <v>O230117</v>
      </c>
      <c r="V302" s="163" t="str">
        <f>IFERROR(VLOOKUP(N302,TD!$B$50:$F$54,3,0)," ")</f>
        <v>4503</v>
      </c>
      <c r="W302" s="163">
        <f>IFERROR(VLOOKUP(N302,TD!$B$50:$F$54,4,0)," ")</f>
        <v>20240255</v>
      </c>
      <c r="X302" s="162" t="s">
        <v>164</v>
      </c>
      <c r="Y302" s="163" t="str">
        <f>IFERROR(VLOOKUP(X302,TD!$J$51:$K$64,2,0)," ")</f>
        <v>Servicio de atención a incidentes y emergencias.</v>
      </c>
      <c r="Z302" s="164" t="str">
        <f t="shared" si="16"/>
        <v>04-Servicio de atención a incidentes y emergencias.</v>
      </c>
      <c r="AA302" s="162" t="s">
        <v>221</v>
      </c>
      <c r="AB302" s="163" t="str">
        <f>IFERROR(VLOOKUP(AA302,TD!$N$51:$O$66,2,0)," ")</f>
        <v>Servicio de atención a emergencias y desastres</v>
      </c>
      <c r="AC302" s="164" t="str">
        <f t="shared" si="17"/>
        <v>004_Servicio de atención a emergencias y desastres</v>
      </c>
      <c r="AD302" s="164" t="str">
        <f t="shared" si="18"/>
        <v>04-Servicio de atención a incidentes y emergencias. 004_Servicio de atención a emergencias y desastres</v>
      </c>
      <c r="AE302" s="163" t="str">
        <f t="shared" si="19"/>
        <v>O23011745032024025504004</v>
      </c>
      <c r="AF302" s="163" t="str">
        <f>IFERROR(VLOOKUP(AD302,TD!$J$66:$K$89,2,0)," ")</f>
        <v>PM/0131/0104/45030040255</v>
      </c>
      <c r="AG302" s="118" t="s">
        <v>385</v>
      </c>
      <c r="AH302" s="162" t="s">
        <v>193</v>
      </c>
      <c r="AI302" s="165" t="str">
        <f>CONCATENATE(PAA[[#This Row],[Id Interno]],"-",PAA[[#This Row],[tipo de Contrato (TH talento humano - B/S bienes y/o servicios)]],"-",S302,"-",T302,"-",PAA[[#This Row],[Objeto de la contratación]])</f>
        <v>20260279-TH-8173-2-Prestación de servicios para la gestión administrativa y documental realizando los reportes requeridos para el desarrollo de los programas a cargo de la Subdirección Operativa-S.O.</v>
      </c>
    </row>
    <row r="303" spans="2:35" ht="70" x14ac:dyDescent="0.35">
      <c r="B303" s="23">
        <v>20260280</v>
      </c>
      <c r="C303" s="99" t="s">
        <v>847</v>
      </c>
      <c r="D303" s="99" t="s">
        <v>105</v>
      </c>
      <c r="E303" s="99" t="s">
        <v>363</v>
      </c>
      <c r="F303" s="160" t="s">
        <v>144</v>
      </c>
      <c r="G303" s="160" t="s">
        <v>373</v>
      </c>
      <c r="H303" s="166">
        <v>9</v>
      </c>
      <c r="I303" s="166">
        <v>0</v>
      </c>
      <c r="J303" s="118">
        <v>45000000</v>
      </c>
      <c r="K303" s="126" t="s">
        <v>398</v>
      </c>
      <c r="L303" s="160" t="s">
        <v>158</v>
      </c>
      <c r="M303" s="167" t="s">
        <v>421</v>
      </c>
      <c r="N303" s="99" t="s">
        <v>198</v>
      </c>
      <c r="O303" s="150" t="s">
        <v>926</v>
      </c>
      <c r="P303" s="160" t="s">
        <v>348</v>
      </c>
      <c r="Q303" s="128">
        <v>80111600</v>
      </c>
      <c r="R303" s="167" t="s">
        <v>211</v>
      </c>
      <c r="S303" s="162" t="str">
        <f>MID(PAA[[#This Row],[Meta Proyecto de Inversión]],1,4)</f>
        <v>8173</v>
      </c>
      <c r="T303" s="162" t="str">
        <f>MID(PAA[[#This Row],[Meta Proyecto de Inversión]],6,1)</f>
        <v>2</v>
      </c>
      <c r="U303" s="163" t="str">
        <f>IFERROR(VLOOKUP(N303,TD!$B$50:$F$54,2,0)," ")</f>
        <v>O230117</v>
      </c>
      <c r="V303" s="163" t="str">
        <f>IFERROR(VLOOKUP(N303,TD!$B$50:$F$54,3,0)," ")</f>
        <v>4503</v>
      </c>
      <c r="W303" s="163">
        <f>IFERROR(VLOOKUP(N303,TD!$B$50:$F$54,4,0)," ")</f>
        <v>20240255</v>
      </c>
      <c r="X303" s="162" t="s">
        <v>164</v>
      </c>
      <c r="Y303" s="163" t="str">
        <f>IFERROR(VLOOKUP(X303,TD!$J$51:$K$64,2,0)," ")</f>
        <v>Servicio de atención a incidentes y emergencias.</v>
      </c>
      <c r="Z303" s="164" t="str">
        <f t="shared" si="16"/>
        <v>04-Servicio de atención a incidentes y emergencias.</v>
      </c>
      <c r="AA303" s="162" t="s">
        <v>221</v>
      </c>
      <c r="AB303" s="163" t="str">
        <f>IFERROR(VLOOKUP(AA303,TD!$N$51:$O$66,2,0)," ")</f>
        <v>Servicio de atención a emergencias y desastres</v>
      </c>
      <c r="AC303" s="164" t="str">
        <f t="shared" si="17"/>
        <v>004_Servicio de atención a emergencias y desastres</v>
      </c>
      <c r="AD303" s="164" t="str">
        <f t="shared" si="18"/>
        <v>04-Servicio de atención a incidentes y emergencias. 004_Servicio de atención a emergencias y desastres</v>
      </c>
      <c r="AE303" s="163" t="str">
        <f t="shared" si="19"/>
        <v>O23011745032024025504004</v>
      </c>
      <c r="AF303" s="163" t="str">
        <f>IFERROR(VLOOKUP(AD303,TD!$J$66:$K$89,2,0)," ")</f>
        <v>PM/0131/0104/45030040255</v>
      </c>
      <c r="AG303" s="118" t="s">
        <v>385</v>
      </c>
      <c r="AH303" s="162" t="s">
        <v>193</v>
      </c>
      <c r="AI303" s="165" t="str">
        <f>CONCATENATE(PAA[[#This Row],[Id Interno]],"-",PAA[[#This Row],[tipo de Contrato (TH talento humano - B/S bienes y/o servicios)]],"-",S303,"-",T303,"-",PAA[[#This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04" spans="2:35" ht="70" x14ac:dyDescent="0.35">
      <c r="B304" s="23">
        <v>20260281</v>
      </c>
      <c r="C304" s="99" t="s">
        <v>847</v>
      </c>
      <c r="D304" s="99" t="s">
        <v>105</v>
      </c>
      <c r="E304" s="99" t="s">
        <v>363</v>
      </c>
      <c r="F304" s="160" t="s">
        <v>144</v>
      </c>
      <c r="G304" s="160" t="s">
        <v>373</v>
      </c>
      <c r="H304" s="166">
        <v>9</v>
      </c>
      <c r="I304" s="166">
        <v>0</v>
      </c>
      <c r="J304" s="118">
        <v>45000000</v>
      </c>
      <c r="K304" s="126" t="s">
        <v>398</v>
      </c>
      <c r="L304" s="160" t="s">
        <v>158</v>
      </c>
      <c r="M304" s="167" t="s">
        <v>421</v>
      </c>
      <c r="N304" s="99" t="s">
        <v>198</v>
      </c>
      <c r="O304" s="150" t="s">
        <v>926</v>
      </c>
      <c r="P304" s="160" t="s">
        <v>348</v>
      </c>
      <c r="Q304" s="128">
        <v>80111600</v>
      </c>
      <c r="R304" s="167" t="s">
        <v>211</v>
      </c>
      <c r="S304" s="162" t="str">
        <f>MID(PAA[[#This Row],[Meta Proyecto de Inversión]],1,4)</f>
        <v>8173</v>
      </c>
      <c r="T304" s="162" t="str">
        <f>MID(PAA[[#This Row],[Meta Proyecto de Inversión]],6,1)</f>
        <v>2</v>
      </c>
      <c r="U304" s="163" t="str">
        <f>IFERROR(VLOOKUP(N304,TD!$B$50:$F$54,2,0)," ")</f>
        <v>O230117</v>
      </c>
      <c r="V304" s="163" t="str">
        <f>IFERROR(VLOOKUP(N304,TD!$B$50:$F$54,3,0)," ")</f>
        <v>4503</v>
      </c>
      <c r="W304" s="163">
        <f>IFERROR(VLOOKUP(N304,TD!$B$50:$F$54,4,0)," ")</f>
        <v>20240255</v>
      </c>
      <c r="X304" s="162" t="s">
        <v>164</v>
      </c>
      <c r="Y304" s="163" t="str">
        <f>IFERROR(VLOOKUP(X304,TD!$J$51:$K$64,2,0)," ")</f>
        <v>Servicio de atención a incidentes y emergencias.</v>
      </c>
      <c r="Z304" s="164" t="str">
        <f t="shared" si="16"/>
        <v>04-Servicio de atención a incidentes y emergencias.</v>
      </c>
      <c r="AA304" s="162" t="s">
        <v>221</v>
      </c>
      <c r="AB304" s="163" t="str">
        <f>IFERROR(VLOOKUP(AA304,TD!$N$51:$O$66,2,0)," ")</f>
        <v>Servicio de atención a emergencias y desastres</v>
      </c>
      <c r="AC304" s="164" t="str">
        <f t="shared" si="17"/>
        <v>004_Servicio de atención a emergencias y desastres</v>
      </c>
      <c r="AD304" s="164" t="str">
        <f t="shared" si="18"/>
        <v>04-Servicio de atención a incidentes y emergencias. 004_Servicio de atención a emergencias y desastres</v>
      </c>
      <c r="AE304" s="163" t="str">
        <f t="shared" si="19"/>
        <v>O23011745032024025504004</v>
      </c>
      <c r="AF304" s="163" t="str">
        <f>IFERROR(VLOOKUP(AD304,TD!$J$66:$K$89,2,0)," ")</f>
        <v>PM/0131/0104/45030040255</v>
      </c>
      <c r="AG304" s="118" t="s">
        <v>385</v>
      </c>
      <c r="AH304" s="162" t="s">
        <v>193</v>
      </c>
      <c r="AI304" s="165" t="str">
        <f>CONCATENATE(PAA[[#This Row],[Id Interno]],"-",PAA[[#This Row],[tipo de Contrato (TH talento humano - B/S bienes y/o servicios)]],"-",S304,"-",T304,"-",PAA[[#This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05" spans="2:35" ht="70" x14ac:dyDescent="0.35">
      <c r="B305" s="23">
        <v>20260282</v>
      </c>
      <c r="C305" s="99" t="s">
        <v>848</v>
      </c>
      <c r="D305" s="99" t="s">
        <v>105</v>
      </c>
      <c r="E305" s="99" t="s">
        <v>363</v>
      </c>
      <c r="F305" s="160" t="s">
        <v>145</v>
      </c>
      <c r="G305" s="160" t="s">
        <v>373</v>
      </c>
      <c r="H305" s="166">
        <v>9</v>
      </c>
      <c r="I305" s="166">
        <v>0</v>
      </c>
      <c r="J305" s="118">
        <v>33300000</v>
      </c>
      <c r="K305" s="126" t="s">
        <v>398</v>
      </c>
      <c r="L305" s="160" t="s">
        <v>158</v>
      </c>
      <c r="M305" s="167" t="s">
        <v>421</v>
      </c>
      <c r="N305" s="99" t="s">
        <v>198</v>
      </c>
      <c r="O305" s="150" t="s">
        <v>926</v>
      </c>
      <c r="P305" s="160" t="s">
        <v>348</v>
      </c>
      <c r="Q305" s="128">
        <v>80111600</v>
      </c>
      <c r="R305" s="167" t="s">
        <v>211</v>
      </c>
      <c r="S305" s="162" t="str">
        <f>MID(PAA[[#This Row],[Meta Proyecto de Inversión]],1,4)</f>
        <v>8173</v>
      </c>
      <c r="T305" s="162" t="str">
        <f>MID(PAA[[#This Row],[Meta Proyecto de Inversión]],6,1)</f>
        <v>2</v>
      </c>
      <c r="U305" s="163" t="str">
        <f>IFERROR(VLOOKUP(N305,TD!$B$50:$F$54,2,0)," ")</f>
        <v>O230117</v>
      </c>
      <c r="V305" s="163" t="str">
        <f>IFERROR(VLOOKUP(N305,TD!$B$50:$F$54,3,0)," ")</f>
        <v>4503</v>
      </c>
      <c r="W305" s="163">
        <f>IFERROR(VLOOKUP(N305,TD!$B$50:$F$54,4,0)," ")</f>
        <v>20240255</v>
      </c>
      <c r="X305" s="162" t="s">
        <v>164</v>
      </c>
      <c r="Y305" s="163" t="str">
        <f>IFERROR(VLOOKUP(X305,TD!$J$51:$K$64,2,0)," ")</f>
        <v>Servicio de atención a incidentes y emergencias.</v>
      </c>
      <c r="Z305" s="164" t="str">
        <f t="shared" si="16"/>
        <v>04-Servicio de atención a incidentes y emergencias.</v>
      </c>
      <c r="AA305" s="162" t="s">
        <v>221</v>
      </c>
      <c r="AB305" s="163" t="str">
        <f>IFERROR(VLOOKUP(AA305,TD!$N$51:$O$66,2,0)," ")</f>
        <v>Servicio de atención a emergencias y desastres</v>
      </c>
      <c r="AC305" s="164" t="str">
        <f t="shared" si="17"/>
        <v>004_Servicio de atención a emergencias y desastres</v>
      </c>
      <c r="AD305" s="164" t="str">
        <f t="shared" si="18"/>
        <v>04-Servicio de atención a incidentes y emergencias. 004_Servicio de atención a emergencias y desastres</v>
      </c>
      <c r="AE305" s="163" t="str">
        <f t="shared" si="19"/>
        <v>O23011745032024025504004</v>
      </c>
      <c r="AF305" s="163" t="str">
        <f>IFERROR(VLOOKUP(AD305,TD!$J$66:$K$89,2,0)," ")</f>
        <v>PM/0131/0104/45030040255</v>
      </c>
      <c r="AG305" s="118" t="s">
        <v>385</v>
      </c>
      <c r="AH305" s="162" t="s">
        <v>193</v>
      </c>
      <c r="AI305" s="165" t="str">
        <f>CONCATENATE(PAA[[#This Row],[Id Interno]],"-",PAA[[#This Row],[tipo de Contrato (TH talento humano - B/S bienes y/o servicios)]],"-",S305,"-",T305,"-",PAA[[#This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06" spans="2:35" ht="70" x14ac:dyDescent="0.35">
      <c r="B306" s="23">
        <v>20260283</v>
      </c>
      <c r="C306" s="99" t="s">
        <v>848</v>
      </c>
      <c r="D306" s="99" t="s">
        <v>105</v>
      </c>
      <c r="E306" s="99" t="s">
        <v>363</v>
      </c>
      <c r="F306" s="160" t="s">
        <v>145</v>
      </c>
      <c r="G306" s="160" t="s">
        <v>373</v>
      </c>
      <c r="H306" s="166">
        <v>9</v>
      </c>
      <c r="I306" s="166">
        <v>0</v>
      </c>
      <c r="J306" s="118">
        <v>33300000</v>
      </c>
      <c r="K306" s="126" t="s">
        <v>398</v>
      </c>
      <c r="L306" s="160" t="s">
        <v>158</v>
      </c>
      <c r="M306" s="167" t="s">
        <v>421</v>
      </c>
      <c r="N306" s="99" t="s">
        <v>198</v>
      </c>
      <c r="O306" s="150" t="s">
        <v>926</v>
      </c>
      <c r="P306" s="160" t="s">
        <v>348</v>
      </c>
      <c r="Q306" s="128">
        <v>80111600</v>
      </c>
      <c r="R306" s="167" t="s">
        <v>211</v>
      </c>
      <c r="S306" s="162" t="str">
        <f>MID(PAA[[#This Row],[Meta Proyecto de Inversión]],1,4)</f>
        <v>8173</v>
      </c>
      <c r="T306" s="162" t="str">
        <f>MID(PAA[[#This Row],[Meta Proyecto de Inversión]],6,1)</f>
        <v>2</v>
      </c>
      <c r="U306" s="163" t="str">
        <f>IFERROR(VLOOKUP(N306,TD!$B$50:$F$54,2,0)," ")</f>
        <v>O230117</v>
      </c>
      <c r="V306" s="163" t="str">
        <f>IFERROR(VLOOKUP(N306,TD!$B$50:$F$54,3,0)," ")</f>
        <v>4503</v>
      </c>
      <c r="W306" s="163">
        <f>IFERROR(VLOOKUP(N306,TD!$B$50:$F$54,4,0)," ")</f>
        <v>20240255</v>
      </c>
      <c r="X306" s="162" t="s">
        <v>164</v>
      </c>
      <c r="Y306" s="163" t="str">
        <f>IFERROR(VLOOKUP(X306,TD!$J$51:$K$64,2,0)," ")</f>
        <v>Servicio de atención a incidentes y emergencias.</v>
      </c>
      <c r="Z306" s="164" t="str">
        <f t="shared" si="16"/>
        <v>04-Servicio de atención a incidentes y emergencias.</v>
      </c>
      <c r="AA306" s="162" t="s">
        <v>221</v>
      </c>
      <c r="AB306" s="163" t="str">
        <f>IFERROR(VLOOKUP(AA306,TD!$N$51:$O$66,2,0)," ")</f>
        <v>Servicio de atención a emergencias y desastres</v>
      </c>
      <c r="AC306" s="164" t="str">
        <f t="shared" si="17"/>
        <v>004_Servicio de atención a emergencias y desastres</v>
      </c>
      <c r="AD306" s="164" t="str">
        <f t="shared" si="18"/>
        <v>04-Servicio de atención a incidentes y emergencias. 004_Servicio de atención a emergencias y desastres</v>
      </c>
      <c r="AE306" s="163" t="str">
        <f t="shared" si="19"/>
        <v>O23011745032024025504004</v>
      </c>
      <c r="AF306" s="163" t="str">
        <f>IFERROR(VLOOKUP(AD306,TD!$J$66:$K$89,2,0)," ")</f>
        <v>PM/0131/0104/45030040255</v>
      </c>
      <c r="AG306" s="118" t="s">
        <v>385</v>
      </c>
      <c r="AH306" s="162" t="s">
        <v>193</v>
      </c>
      <c r="AI306" s="165" t="str">
        <f>CONCATENATE(PAA[[#This Row],[Id Interno]],"-",PAA[[#This Row],[tipo de Contrato (TH talento humano - B/S bienes y/o servicios)]],"-",S306,"-",T306,"-",PAA[[#This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07" spans="2:35" ht="84" x14ac:dyDescent="0.35">
      <c r="B307" s="23">
        <v>20260284</v>
      </c>
      <c r="C307" s="99" t="s">
        <v>482</v>
      </c>
      <c r="D307" s="99" t="s">
        <v>105</v>
      </c>
      <c r="E307" s="99" t="s">
        <v>363</v>
      </c>
      <c r="F307" s="160" t="s">
        <v>145</v>
      </c>
      <c r="G307" s="160" t="s">
        <v>373</v>
      </c>
      <c r="H307" s="166">
        <v>3</v>
      </c>
      <c r="I307" s="166">
        <v>15</v>
      </c>
      <c r="J307" s="118">
        <v>15400000</v>
      </c>
      <c r="K307" s="126" t="s">
        <v>398</v>
      </c>
      <c r="L307" s="160" t="s">
        <v>158</v>
      </c>
      <c r="M307" s="167" t="s">
        <v>421</v>
      </c>
      <c r="N307" s="99" t="s">
        <v>198</v>
      </c>
      <c r="O307" s="150" t="s">
        <v>926</v>
      </c>
      <c r="P307" s="160" t="s">
        <v>348</v>
      </c>
      <c r="Q307" s="128">
        <v>80111600</v>
      </c>
      <c r="R307" s="167" t="s">
        <v>211</v>
      </c>
      <c r="S307" s="162" t="str">
        <f>MID(PAA[[#This Row],[Meta Proyecto de Inversión]],1,4)</f>
        <v>8173</v>
      </c>
      <c r="T307" s="162" t="str">
        <f>MID(PAA[[#This Row],[Meta Proyecto de Inversión]],6,1)</f>
        <v>2</v>
      </c>
      <c r="U307" s="163" t="str">
        <f>IFERROR(VLOOKUP(N307,TD!$B$50:$F$54,2,0)," ")</f>
        <v>O230117</v>
      </c>
      <c r="V307" s="163" t="str">
        <f>IFERROR(VLOOKUP(N307,TD!$B$50:$F$54,3,0)," ")</f>
        <v>4503</v>
      </c>
      <c r="W307" s="163">
        <f>IFERROR(VLOOKUP(N307,TD!$B$50:$F$54,4,0)," ")</f>
        <v>20240255</v>
      </c>
      <c r="X307" s="162" t="s">
        <v>164</v>
      </c>
      <c r="Y307" s="163" t="str">
        <f>IFERROR(VLOOKUP(X307,TD!$J$51:$K$64,2,0)," ")</f>
        <v>Servicio de atención a incidentes y emergencias.</v>
      </c>
      <c r="Z307" s="164" t="str">
        <f t="shared" si="16"/>
        <v>04-Servicio de atención a incidentes y emergencias.</v>
      </c>
      <c r="AA307" s="162" t="s">
        <v>221</v>
      </c>
      <c r="AB307" s="163" t="str">
        <f>IFERROR(VLOOKUP(AA307,TD!$N$51:$O$66,2,0)," ")</f>
        <v>Servicio de atención a emergencias y desastres</v>
      </c>
      <c r="AC307" s="164" t="str">
        <f t="shared" si="17"/>
        <v>004_Servicio de atención a emergencias y desastres</v>
      </c>
      <c r="AD307" s="164" t="str">
        <f t="shared" si="18"/>
        <v>04-Servicio de atención a incidentes y emergencias. 004_Servicio de atención a emergencias y desastres</v>
      </c>
      <c r="AE307" s="163" t="str">
        <f t="shared" si="19"/>
        <v>O23011745032024025504004</v>
      </c>
      <c r="AF307" s="163" t="str">
        <f>IFERROR(VLOOKUP(AD307,TD!$J$66:$K$89,2,0)," ")</f>
        <v>PM/0131/0104/45030040255</v>
      </c>
      <c r="AG307" s="118" t="s">
        <v>385</v>
      </c>
      <c r="AH307" s="162" t="s">
        <v>194</v>
      </c>
      <c r="AI307" s="165" t="str">
        <f>CONCATENATE(PAA[[#This Row],[Id Interno]],"-",PAA[[#This Row],[tipo de Contrato (TH talento humano - B/S bienes y/o servicios)]],"-",S307,"-",T307,"-",PAA[[#This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08" spans="2:35" ht="84" x14ac:dyDescent="0.35">
      <c r="B308" s="23">
        <v>20260285</v>
      </c>
      <c r="C308" s="99" t="s">
        <v>483</v>
      </c>
      <c r="D308" s="99" t="s">
        <v>105</v>
      </c>
      <c r="E308" s="99" t="s">
        <v>363</v>
      </c>
      <c r="F308" s="160" t="s">
        <v>144</v>
      </c>
      <c r="G308" s="160" t="s">
        <v>373</v>
      </c>
      <c r="H308" s="166">
        <v>5</v>
      </c>
      <c r="I308" s="166">
        <v>15</v>
      </c>
      <c r="J308" s="118">
        <v>52250000</v>
      </c>
      <c r="K308" s="126" t="s">
        <v>398</v>
      </c>
      <c r="L308" s="160" t="s">
        <v>158</v>
      </c>
      <c r="M308" s="167" t="s">
        <v>421</v>
      </c>
      <c r="N308" s="99" t="s">
        <v>198</v>
      </c>
      <c r="O308" s="150" t="s">
        <v>926</v>
      </c>
      <c r="P308" s="160" t="s">
        <v>348</v>
      </c>
      <c r="Q308" s="128">
        <v>80111600</v>
      </c>
      <c r="R308" s="167" t="s">
        <v>211</v>
      </c>
      <c r="S308" s="162" t="str">
        <f>MID(PAA[[#This Row],[Meta Proyecto de Inversión]],1,4)</f>
        <v>8173</v>
      </c>
      <c r="T308" s="162" t="str">
        <f>MID(PAA[[#This Row],[Meta Proyecto de Inversión]],6,1)</f>
        <v>2</v>
      </c>
      <c r="U308" s="163" t="str">
        <f>IFERROR(VLOOKUP(N308,TD!$B$50:$F$54,2,0)," ")</f>
        <v>O230117</v>
      </c>
      <c r="V308" s="163" t="str">
        <f>IFERROR(VLOOKUP(N308,TD!$B$50:$F$54,3,0)," ")</f>
        <v>4503</v>
      </c>
      <c r="W308" s="163">
        <f>IFERROR(VLOOKUP(N308,TD!$B$50:$F$54,4,0)," ")</f>
        <v>20240255</v>
      </c>
      <c r="X308" s="162" t="s">
        <v>164</v>
      </c>
      <c r="Y308" s="163" t="str">
        <f>IFERROR(VLOOKUP(X308,TD!$J$51:$K$64,2,0)," ")</f>
        <v>Servicio de atención a incidentes y emergencias.</v>
      </c>
      <c r="Z308" s="164" t="str">
        <f t="shared" si="16"/>
        <v>04-Servicio de atención a incidentes y emergencias.</v>
      </c>
      <c r="AA308" s="162" t="s">
        <v>221</v>
      </c>
      <c r="AB308" s="163" t="str">
        <f>IFERROR(VLOOKUP(AA308,TD!$N$51:$O$66,2,0)," ")</f>
        <v>Servicio de atención a emergencias y desastres</v>
      </c>
      <c r="AC308" s="164" t="str">
        <f t="shared" si="17"/>
        <v>004_Servicio de atención a emergencias y desastres</v>
      </c>
      <c r="AD308" s="164" t="str">
        <f t="shared" si="18"/>
        <v>04-Servicio de atención a incidentes y emergencias. 004_Servicio de atención a emergencias y desastres</v>
      </c>
      <c r="AE308" s="163" t="str">
        <f t="shared" si="19"/>
        <v>O23011745032024025504004</v>
      </c>
      <c r="AF308" s="163" t="str">
        <f>IFERROR(VLOOKUP(AD308,TD!$J$66:$K$89,2,0)," ")</f>
        <v>PM/0131/0104/45030040255</v>
      </c>
      <c r="AG308" s="118" t="s">
        <v>385</v>
      </c>
      <c r="AH308" s="162" t="s">
        <v>194</v>
      </c>
      <c r="AI308" s="165" t="str">
        <f>CONCATENATE(PAA[[#This Row],[Id Interno]],"-",PAA[[#This Row],[tipo de Contrato (TH talento humano - B/S bienes y/o servicios)]],"-",S308,"-",T308,"-",PAA[[#This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09" spans="2:35" ht="56" x14ac:dyDescent="0.35">
      <c r="B309" s="23">
        <v>20260286</v>
      </c>
      <c r="C309" s="99" t="s">
        <v>652</v>
      </c>
      <c r="D309" s="99" t="s">
        <v>105</v>
      </c>
      <c r="E309" s="99" t="s">
        <v>363</v>
      </c>
      <c r="F309" s="160" t="s">
        <v>144</v>
      </c>
      <c r="G309" s="160" t="s">
        <v>373</v>
      </c>
      <c r="H309" s="166">
        <v>10</v>
      </c>
      <c r="I309" s="166">
        <v>0</v>
      </c>
      <c r="J309" s="118">
        <v>80000000</v>
      </c>
      <c r="K309" s="126" t="s">
        <v>398</v>
      </c>
      <c r="L309" s="160" t="s">
        <v>158</v>
      </c>
      <c r="M309" s="167" t="s">
        <v>421</v>
      </c>
      <c r="N309" s="99" t="s">
        <v>198</v>
      </c>
      <c r="O309" s="150" t="s">
        <v>926</v>
      </c>
      <c r="P309" s="160" t="s">
        <v>348</v>
      </c>
      <c r="Q309" s="128">
        <v>80111600</v>
      </c>
      <c r="R309" s="167" t="s">
        <v>211</v>
      </c>
      <c r="S309" s="162" t="str">
        <f>MID(PAA[[#This Row],[Meta Proyecto de Inversión]],1,4)</f>
        <v>8173</v>
      </c>
      <c r="T309" s="162" t="str">
        <f>MID(PAA[[#This Row],[Meta Proyecto de Inversión]],6,1)</f>
        <v>2</v>
      </c>
      <c r="U309" s="163" t="str">
        <f>IFERROR(VLOOKUP(N309,TD!$B$50:$F$54,2,0)," ")</f>
        <v>O230117</v>
      </c>
      <c r="V309" s="163" t="str">
        <f>IFERROR(VLOOKUP(N309,TD!$B$50:$F$54,3,0)," ")</f>
        <v>4503</v>
      </c>
      <c r="W309" s="163">
        <f>IFERROR(VLOOKUP(N309,TD!$B$50:$F$54,4,0)," ")</f>
        <v>20240255</v>
      </c>
      <c r="X309" s="162" t="s">
        <v>164</v>
      </c>
      <c r="Y309" s="163" t="str">
        <f>IFERROR(VLOOKUP(X309,TD!$J$51:$K$64,2,0)," ")</f>
        <v>Servicio de atención a incidentes y emergencias.</v>
      </c>
      <c r="Z309" s="164" t="str">
        <f t="shared" si="16"/>
        <v>04-Servicio de atención a incidentes y emergencias.</v>
      </c>
      <c r="AA309" s="162" t="s">
        <v>221</v>
      </c>
      <c r="AB309" s="163" t="str">
        <f>IFERROR(VLOOKUP(AA309,TD!$N$51:$O$66,2,0)," ")</f>
        <v>Servicio de atención a emergencias y desastres</v>
      </c>
      <c r="AC309" s="164" t="str">
        <f t="shared" si="17"/>
        <v>004_Servicio de atención a emergencias y desastres</v>
      </c>
      <c r="AD309" s="164" t="str">
        <f t="shared" si="18"/>
        <v>04-Servicio de atención a incidentes y emergencias. 004_Servicio de atención a emergencias y desastres</v>
      </c>
      <c r="AE309" s="163" t="str">
        <f t="shared" si="19"/>
        <v>O23011745032024025504004</v>
      </c>
      <c r="AF309" s="163" t="str">
        <f>IFERROR(VLOOKUP(AD309,TD!$J$66:$K$89,2,0)," ")</f>
        <v>PM/0131/0104/45030040255</v>
      </c>
      <c r="AG309" s="118" t="s">
        <v>385</v>
      </c>
      <c r="AH309" s="162" t="s">
        <v>193</v>
      </c>
      <c r="AI309" s="165" t="str">
        <f>CONCATENATE(PAA[[#This Row],[Id Interno]],"-",PAA[[#This Row],[tipo de Contrato (TH talento humano - B/S bienes y/o servicios)]],"-",S309,"-",T309,"-",PAA[[#This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10" spans="2:35" ht="56" x14ac:dyDescent="0.35">
      <c r="B310" s="23">
        <v>20260287</v>
      </c>
      <c r="C310" s="99" t="s">
        <v>653</v>
      </c>
      <c r="D310" s="99" t="s">
        <v>105</v>
      </c>
      <c r="E310" s="99" t="s">
        <v>363</v>
      </c>
      <c r="F310" s="160" t="s">
        <v>144</v>
      </c>
      <c r="G310" s="160" t="s">
        <v>373</v>
      </c>
      <c r="H310" s="166">
        <v>10</v>
      </c>
      <c r="I310" s="166">
        <v>0</v>
      </c>
      <c r="J310" s="118">
        <v>49500000</v>
      </c>
      <c r="K310" s="126" t="s">
        <v>398</v>
      </c>
      <c r="L310" s="160" t="s">
        <v>158</v>
      </c>
      <c r="M310" s="167" t="s">
        <v>421</v>
      </c>
      <c r="N310" s="99" t="s">
        <v>198</v>
      </c>
      <c r="O310" s="150" t="s">
        <v>926</v>
      </c>
      <c r="P310" s="160" t="s">
        <v>348</v>
      </c>
      <c r="Q310" s="128">
        <v>80111600</v>
      </c>
      <c r="R310" s="167" t="s">
        <v>211</v>
      </c>
      <c r="S310" s="162" t="str">
        <f>MID(PAA[[#This Row],[Meta Proyecto de Inversión]],1,4)</f>
        <v>8173</v>
      </c>
      <c r="T310" s="162" t="str">
        <f>MID(PAA[[#This Row],[Meta Proyecto de Inversión]],6,1)</f>
        <v>2</v>
      </c>
      <c r="U310" s="163" t="str">
        <f>IFERROR(VLOOKUP(N310,TD!$B$50:$F$54,2,0)," ")</f>
        <v>O230117</v>
      </c>
      <c r="V310" s="163" t="str">
        <f>IFERROR(VLOOKUP(N310,TD!$B$50:$F$54,3,0)," ")</f>
        <v>4503</v>
      </c>
      <c r="W310" s="163">
        <f>IFERROR(VLOOKUP(N310,TD!$B$50:$F$54,4,0)," ")</f>
        <v>20240255</v>
      </c>
      <c r="X310" s="162" t="s">
        <v>164</v>
      </c>
      <c r="Y310" s="163" t="str">
        <f>IFERROR(VLOOKUP(X310,TD!$J$51:$K$64,2,0)," ")</f>
        <v>Servicio de atención a incidentes y emergencias.</v>
      </c>
      <c r="Z310" s="164" t="str">
        <f t="shared" si="16"/>
        <v>04-Servicio de atención a incidentes y emergencias.</v>
      </c>
      <c r="AA310" s="162" t="s">
        <v>221</v>
      </c>
      <c r="AB310" s="163" t="str">
        <f>IFERROR(VLOOKUP(AA310,TD!$N$51:$O$66,2,0)," ")</f>
        <v>Servicio de atención a emergencias y desastres</v>
      </c>
      <c r="AC310" s="164" t="str">
        <f t="shared" si="17"/>
        <v>004_Servicio de atención a emergencias y desastres</v>
      </c>
      <c r="AD310" s="164" t="str">
        <f t="shared" si="18"/>
        <v>04-Servicio de atención a incidentes y emergencias. 004_Servicio de atención a emergencias y desastres</v>
      </c>
      <c r="AE310" s="163" t="str">
        <f t="shared" si="19"/>
        <v>O23011745032024025504004</v>
      </c>
      <c r="AF310" s="163" t="str">
        <f>IFERROR(VLOOKUP(AD310,TD!$J$66:$K$89,2,0)," ")</f>
        <v>PM/0131/0104/45030040255</v>
      </c>
      <c r="AG310" s="118" t="s">
        <v>385</v>
      </c>
      <c r="AH310" s="162" t="s">
        <v>193</v>
      </c>
      <c r="AI310" s="165" t="str">
        <f>CONCATENATE(PAA[[#This Row],[Id Interno]],"-",PAA[[#This Row],[tipo de Contrato (TH talento humano - B/S bienes y/o servicios)]],"-",S310,"-",T310,"-",PAA[[#This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11" spans="2:35" ht="70" x14ac:dyDescent="0.35">
      <c r="B311" s="23">
        <v>20260288</v>
      </c>
      <c r="C311" s="99" t="s">
        <v>654</v>
      </c>
      <c r="D311" s="99" t="s">
        <v>105</v>
      </c>
      <c r="E311" s="99" t="s">
        <v>363</v>
      </c>
      <c r="F311" s="160" t="s">
        <v>144</v>
      </c>
      <c r="G311" s="160" t="s">
        <v>373</v>
      </c>
      <c r="H311" s="166">
        <v>7</v>
      </c>
      <c r="I311" s="166">
        <v>0</v>
      </c>
      <c r="J311" s="118">
        <v>47600000</v>
      </c>
      <c r="K311" s="126" t="s">
        <v>398</v>
      </c>
      <c r="L311" s="160" t="s">
        <v>158</v>
      </c>
      <c r="M311" s="167" t="s">
        <v>421</v>
      </c>
      <c r="N311" s="99" t="s">
        <v>198</v>
      </c>
      <c r="O311" s="150" t="s">
        <v>926</v>
      </c>
      <c r="P311" s="160" t="s">
        <v>348</v>
      </c>
      <c r="Q311" s="128">
        <v>80111600</v>
      </c>
      <c r="R311" s="167" t="s">
        <v>211</v>
      </c>
      <c r="S311" s="162" t="str">
        <f>MID(PAA[[#This Row],[Meta Proyecto de Inversión]],1,4)</f>
        <v>8173</v>
      </c>
      <c r="T311" s="162" t="str">
        <f>MID(PAA[[#This Row],[Meta Proyecto de Inversión]],6,1)</f>
        <v>2</v>
      </c>
      <c r="U311" s="163" t="str">
        <f>IFERROR(VLOOKUP(N311,TD!$B$50:$F$54,2,0)," ")</f>
        <v>O230117</v>
      </c>
      <c r="V311" s="163" t="str">
        <f>IFERROR(VLOOKUP(N311,TD!$B$50:$F$54,3,0)," ")</f>
        <v>4503</v>
      </c>
      <c r="W311" s="163">
        <f>IFERROR(VLOOKUP(N311,TD!$B$50:$F$54,4,0)," ")</f>
        <v>20240255</v>
      </c>
      <c r="X311" s="162" t="s">
        <v>164</v>
      </c>
      <c r="Y311" s="163" t="str">
        <f>IFERROR(VLOOKUP(X311,TD!$J$51:$K$64,2,0)," ")</f>
        <v>Servicio de atención a incidentes y emergencias.</v>
      </c>
      <c r="Z311" s="164" t="str">
        <f t="shared" si="16"/>
        <v>04-Servicio de atención a incidentes y emergencias.</v>
      </c>
      <c r="AA311" s="162" t="s">
        <v>221</v>
      </c>
      <c r="AB311" s="163" t="str">
        <f>IFERROR(VLOOKUP(AA311,TD!$N$51:$O$66,2,0)," ")</f>
        <v>Servicio de atención a emergencias y desastres</v>
      </c>
      <c r="AC311" s="164" t="str">
        <f t="shared" si="17"/>
        <v>004_Servicio de atención a emergencias y desastres</v>
      </c>
      <c r="AD311" s="164" t="str">
        <f t="shared" si="18"/>
        <v>04-Servicio de atención a incidentes y emergencias. 004_Servicio de atención a emergencias y desastres</v>
      </c>
      <c r="AE311" s="163" t="str">
        <f t="shared" si="19"/>
        <v>O23011745032024025504004</v>
      </c>
      <c r="AF311" s="163" t="str">
        <f>IFERROR(VLOOKUP(AD311,TD!$J$66:$K$89,2,0)," ")</f>
        <v>PM/0131/0104/45030040255</v>
      </c>
      <c r="AG311" s="118" t="s">
        <v>385</v>
      </c>
      <c r="AH311" s="162" t="s">
        <v>193</v>
      </c>
      <c r="AI311" s="165" t="str">
        <f>CONCATENATE(PAA[[#This Row],[Id Interno]],"-",PAA[[#This Row],[tipo de Contrato (TH talento humano - B/S bienes y/o servicios)]],"-",S311,"-",T311,"-",PAA[[#This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12" spans="2:35" ht="56" x14ac:dyDescent="0.35">
      <c r="B312" s="23">
        <v>20260289</v>
      </c>
      <c r="C312" s="99" t="s">
        <v>849</v>
      </c>
      <c r="D312" s="99" t="s">
        <v>105</v>
      </c>
      <c r="E312" s="99" t="s">
        <v>363</v>
      </c>
      <c r="F312" s="160" t="s">
        <v>144</v>
      </c>
      <c r="G312" s="160" t="s">
        <v>379</v>
      </c>
      <c r="H312" s="166">
        <v>6</v>
      </c>
      <c r="I312" s="166">
        <v>0</v>
      </c>
      <c r="J312" s="118">
        <v>43200000</v>
      </c>
      <c r="K312" s="126" t="s">
        <v>398</v>
      </c>
      <c r="L312" s="160" t="s">
        <v>158</v>
      </c>
      <c r="M312" s="167" t="s">
        <v>421</v>
      </c>
      <c r="N312" s="99" t="s">
        <v>198</v>
      </c>
      <c r="O312" s="150" t="s">
        <v>926</v>
      </c>
      <c r="P312" s="160" t="s">
        <v>348</v>
      </c>
      <c r="Q312" s="128">
        <v>80111600</v>
      </c>
      <c r="R312" s="167" t="s">
        <v>211</v>
      </c>
      <c r="S312" s="162" t="str">
        <f>MID(PAA[[#This Row],[Meta Proyecto de Inversión]],1,4)</f>
        <v>8173</v>
      </c>
      <c r="T312" s="162" t="str">
        <f>MID(PAA[[#This Row],[Meta Proyecto de Inversión]],6,1)</f>
        <v>2</v>
      </c>
      <c r="U312" s="163" t="str">
        <f>IFERROR(VLOOKUP(N312,TD!$B$50:$F$54,2,0)," ")</f>
        <v>O230117</v>
      </c>
      <c r="V312" s="163" t="str">
        <f>IFERROR(VLOOKUP(N312,TD!$B$50:$F$54,3,0)," ")</f>
        <v>4503</v>
      </c>
      <c r="W312" s="163">
        <f>IFERROR(VLOOKUP(N312,TD!$B$50:$F$54,4,0)," ")</f>
        <v>20240255</v>
      </c>
      <c r="X312" s="162" t="s">
        <v>164</v>
      </c>
      <c r="Y312" s="163" t="str">
        <f>IFERROR(VLOOKUP(X312,TD!$J$51:$K$64,2,0)," ")</f>
        <v>Servicio de atención a incidentes y emergencias.</v>
      </c>
      <c r="Z312" s="164" t="str">
        <f t="shared" si="16"/>
        <v>04-Servicio de atención a incidentes y emergencias.</v>
      </c>
      <c r="AA312" s="162" t="s">
        <v>221</v>
      </c>
      <c r="AB312" s="163" t="str">
        <f>IFERROR(VLOOKUP(AA312,TD!$N$51:$O$66,2,0)," ")</f>
        <v>Servicio de atención a emergencias y desastres</v>
      </c>
      <c r="AC312" s="164" t="str">
        <f t="shared" si="17"/>
        <v>004_Servicio de atención a emergencias y desastres</v>
      </c>
      <c r="AD312" s="164" t="str">
        <f t="shared" si="18"/>
        <v>04-Servicio de atención a incidentes y emergencias. 004_Servicio de atención a emergencias y desastres</v>
      </c>
      <c r="AE312" s="163" t="str">
        <f t="shared" si="19"/>
        <v>O23011745032024025504004</v>
      </c>
      <c r="AF312" s="163" t="str">
        <f>IFERROR(VLOOKUP(AD312,TD!$J$66:$K$89,2,0)," ")</f>
        <v>PM/0131/0104/45030040255</v>
      </c>
      <c r="AG312" s="118" t="s">
        <v>385</v>
      </c>
      <c r="AH312" s="162" t="s">
        <v>193</v>
      </c>
      <c r="AI312" s="165" t="str">
        <f>CONCATENATE(PAA[[#This Row],[Id Interno]],"-",PAA[[#This Row],[tipo de Contrato (TH talento humano - B/S bienes y/o servicios)]],"-",S312,"-",T312,"-",PAA[[#This Row],[Objeto de la contratación]])</f>
        <v>20260289-TH-8173-2-Prestación de servicios profesionales para apoyar el fortalecimiento de la dependencia y la articulación con entidades externas, para el desarrollo de los programas a cargo de la Subdirección Operativa-S. O.</v>
      </c>
    </row>
    <row r="313" spans="2:35" ht="70" x14ac:dyDescent="0.35">
      <c r="B313" s="23">
        <v>20260290</v>
      </c>
      <c r="C313" s="99" t="s">
        <v>850</v>
      </c>
      <c r="D313" s="99" t="s">
        <v>105</v>
      </c>
      <c r="E313" s="99" t="s">
        <v>363</v>
      </c>
      <c r="F313" s="160" t="s">
        <v>144</v>
      </c>
      <c r="G313" s="160" t="s">
        <v>373</v>
      </c>
      <c r="H313" s="166">
        <v>8</v>
      </c>
      <c r="I313" s="166">
        <v>0</v>
      </c>
      <c r="J313" s="118">
        <v>41200000</v>
      </c>
      <c r="K313" s="126" t="s">
        <v>398</v>
      </c>
      <c r="L313" s="160" t="s">
        <v>158</v>
      </c>
      <c r="M313" s="167" t="s">
        <v>421</v>
      </c>
      <c r="N313" s="99" t="s">
        <v>198</v>
      </c>
      <c r="O313" s="150" t="s">
        <v>926</v>
      </c>
      <c r="P313" s="160" t="s">
        <v>348</v>
      </c>
      <c r="Q313" s="128">
        <v>80111600</v>
      </c>
      <c r="R313" s="167" t="s">
        <v>211</v>
      </c>
      <c r="S313" s="162" t="str">
        <f>MID(PAA[[#This Row],[Meta Proyecto de Inversión]],1,4)</f>
        <v>8173</v>
      </c>
      <c r="T313" s="162" t="str">
        <f>MID(PAA[[#This Row],[Meta Proyecto de Inversión]],6,1)</f>
        <v>2</v>
      </c>
      <c r="U313" s="163" t="str">
        <f>IFERROR(VLOOKUP(N313,TD!$B$50:$F$54,2,0)," ")</f>
        <v>O230117</v>
      </c>
      <c r="V313" s="163" t="str">
        <f>IFERROR(VLOOKUP(N313,TD!$B$50:$F$54,3,0)," ")</f>
        <v>4503</v>
      </c>
      <c r="W313" s="163">
        <f>IFERROR(VLOOKUP(N313,TD!$B$50:$F$54,4,0)," ")</f>
        <v>20240255</v>
      </c>
      <c r="X313" s="162" t="s">
        <v>164</v>
      </c>
      <c r="Y313" s="163" t="str">
        <f>IFERROR(VLOOKUP(X313,TD!$J$51:$K$64,2,0)," ")</f>
        <v>Servicio de atención a incidentes y emergencias.</v>
      </c>
      <c r="Z313" s="164" t="str">
        <f t="shared" si="16"/>
        <v>04-Servicio de atención a incidentes y emergencias.</v>
      </c>
      <c r="AA313" s="162" t="s">
        <v>221</v>
      </c>
      <c r="AB313" s="163" t="str">
        <f>IFERROR(VLOOKUP(AA313,TD!$N$51:$O$66,2,0)," ")</f>
        <v>Servicio de atención a emergencias y desastres</v>
      </c>
      <c r="AC313" s="164" t="str">
        <f t="shared" si="17"/>
        <v>004_Servicio de atención a emergencias y desastres</v>
      </c>
      <c r="AD313" s="164" t="str">
        <f t="shared" si="18"/>
        <v>04-Servicio de atención a incidentes y emergencias. 004_Servicio de atención a emergencias y desastres</v>
      </c>
      <c r="AE313" s="163" t="str">
        <f t="shared" si="19"/>
        <v>O23011745032024025504004</v>
      </c>
      <c r="AF313" s="163" t="str">
        <f>IFERROR(VLOOKUP(AD313,TD!$J$66:$K$89,2,0)," ")</f>
        <v>PM/0131/0104/45030040255</v>
      </c>
      <c r="AG313" s="118" t="s">
        <v>385</v>
      </c>
      <c r="AH313" s="162" t="s">
        <v>193</v>
      </c>
      <c r="AI313" s="165" t="str">
        <f>CONCATENATE(PAA[[#This Row],[Id Interno]],"-",PAA[[#This Row],[tipo de Contrato (TH talento humano - B/S bienes y/o servicios)]],"-",S313,"-",T313,"-",PAA[[#This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14" spans="2:35" ht="70" x14ac:dyDescent="0.35">
      <c r="B314" s="23">
        <v>20260291</v>
      </c>
      <c r="C314" s="99" t="s">
        <v>655</v>
      </c>
      <c r="D314" s="99" t="s">
        <v>105</v>
      </c>
      <c r="E314" s="99" t="s">
        <v>363</v>
      </c>
      <c r="F314" s="160" t="s">
        <v>144</v>
      </c>
      <c r="G314" s="160" t="s">
        <v>373</v>
      </c>
      <c r="H314" s="166">
        <v>10</v>
      </c>
      <c r="I314" s="166">
        <v>0</v>
      </c>
      <c r="J314" s="118">
        <v>67000000</v>
      </c>
      <c r="K314" s="126" t="s">
        <v>398</v>
      </c>
      <c r="L314" s="160" t="s">
        <v>158</v>
      </c>
      <c r="M314" s="167" t="s">
        <v>421</v>
      </c>
      <c r="N314" s="99" t="s">
        <v>198</v>
      </c>
      <c r="O314" s="150" t="s">
        <v>926</v>
      </c>
      <c r="P314" s="160" t="s">
        <v>348</v>
      </c>
      <c r="Q314" s="128">
        <v>80111600</v>
      </c>
      <c r="R314" s="167" t="s">
        <v>211</v>
      </c>
      <c r="S314" s="162" t="str">
        <f>MID(PAA[[#This Row],[Meta Proyecto de Inversión]],1,4)</f>
        <v>8173</v>
      </c>
      <c r="T314" s="162" t="str">
        <f>MID(PAA[[#This Row],[Meta Proyecto de Inversión]],6,1)</f>
        <v>2</v>
      </c>
      <c r="U314" s="163" t="str">
        <f>IFERROR(VLOOKUP(N314,TD!$B$50:$F$54,2,0)," ")</f>
        <v>O230117</v>
      </c>
      <c r="V314" s="163" t="str">
        <f>IFERROR(VLOOKUP(N314,TD!$B$50:$F$54,3,0)," ")</f>
        <v>4503</v>
      </c>
      <c r="W314" s="163">
        <f>IFERROR(VLOOKUP(N314,TD!$B$50:$F$54,4,0)," ")</f>
        <v>20240255</v>
      </c>
      <c r="X314" s="162" t="s">
        <v>164</v>
      </c>
      <c r="Y314" s="163" t="str">
        <f>IFERROR(VLOOKUP(X314,TD!$J$51:$K$64,2,0)," ")</f>
        <v>Servicio de atención a incidentes y emergencias.</v>
      </c>
      <c r="Z314" s="164" t="str">
        <f t="shared" si="16"/>
        <v>04-Servicio de atención a incidentes y emergencias.</v>
      </c>
      <c r="AA314" s="162" t="s">
        <v>221</v>
      </c>
      <c r="AB314" s="163" t="str">
        <f>IFERROR(VLOOKUP(AA314,TD!$N$51:$O$66,2,0)," ")</f>
        <v>Servicio de atención a emergencias y desastres</v>
      </c>
      <c r="AC314" s="164" t="str">
        <f t="shared" si="17"/>
        <v>004_Servicio de atención a emergencias y desastres</v>
      </c>
      <c r="AD314" s="164" t="str">
        <f t="shared" si="18"/>
        <v>04-Servicio de atención a incidentes y emergencias. 004_Servicio de atención a emergencias y desastres</v>
      </c>
      <c r="AE314" s="163" t="str">
        <f t="shared" si="19"/>
        <v>O23011745032024025504004</v>
      </c>
      <c r="AF314" s="163" t="str">
        <f>IFERROR(VLOOKUP(AD314,TD!$J$66:$K$89,2,0)," ")</f>
        <v>PM/0131/0104/45030040255</v>
      </c>
      <c r="AG314" s="118" t="s">
        <v>385</v>
      </c>
      <c r="AH314" s="162" t="s">
        <v>193</v>
      </c>
      <c r="AI314" s="165" t="str">
        <f>CONCATENATE(PAA[[#This Row],[Id Interno]],"-",PAA[[#This Row],[tipo de Contrato (TH talento humano - B/S bienes y/o servicios)]],"-",S314,"-",T314,"-",PAA[[#This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15" spans="2:35" ht="56" x14ac:dyDescent="0.35">
      <c r="B315" s="23">
        <v>20260292</v>
      </c>
      <c r="C315" s="99" t="s">
        <v>851</v>
      </c>
      <c r="D315" s="99" t="s">
        <v>105</v>
      </c>
      <c r="E315" s="99" t="s">
        <v>363</v>
      </c>
      <c r="F315" s="160" t="s">
        <v>144</v>
      </c>
      <c r="G315" s="160" t="s">
        <v>373</v>
      </c>
      <c r="H315" s="166">
        <v>8</v>
      </c>
      <c r="I315" s="166">
        <v>0</v>
      </c>
      <c r="J315" s="118">
        <v>65600000</v>
      </c>
      <c r="K315" s="126" t="s">
        <v>398</v>
      </c>
      <c r="L315" s="160" t="s">
        <v>158</v>
      </c>
      <c r="M315" s="167" t="s">
        <v>421</v>
      </c>
      <c r="N315" s="99" t="s">
        <v>198</v>
      </c>
      <c r="O315" s="150" t="s">
        <v>926</v>
      </c>
      <c r="P315" s="160" t="s">
        <v>348</v>
      </c>
      <c r="Q315" s="128">
        <v>80111600</v>
      </c>
      <c r="R315" s="167" t="s">
        <v>211</v>
      </c>
      <c r="S315" s="162" t="str">
        <f>MID(PAA[[#This Row],[Meta Proyecto de Inversión]],1,4)</f>
        <v>8173</v>
      </c>
      <c r="T315" s="162" t="str">
        <f>MID(PAA[[#This Row],[Meta Proyecto de Inversión]],6,1)</f>
        <v>2</v>
      </c>
      <c r="U315" s="163" t="str">
        <f>IFERROR(VLOOKUP(N315,TD!$B$50:$F$54,2,0)," ")</f>
        <v>O230117</v>
      </c>
      <c r="V315" s="163" t="str">
        <f>IFERROR(VLOOKUP(N315,TD!$B$50:$F$54,3,0)," ")</f>
        <v>4503</v>
      </c>
      <c r="W315" s="163">
        <f>IFERROR(VLOOKUP(N315,TD!$B$50:$F$54,4,0)," ")</f>
        <v>20240255</v>
      </c>
      <c r="X315" s="162" t="s">
        <v>164</v>
      </c>
      <c r="Y315" s="163" t="str">
        <f>IFERROR(VLOOKUP(X315,TD!$J$51:$K$64,2,0)," ")</f>
        <v>Servicio de atención a incidentes y emergencias.</v>
      </c>
      <c r="Z315" s="164" t="str">
        <f t="shared" si="16"/>
        <v>04-Servicio de atención a incidentes y emergencias.</v>
      </c>
      <c r="AA315" s="162" t="s">
        <v>221</v>
      </c>
      <c r="AB315" s="163" t="str">
        <f>IFERROR(VLOOKUP(AA315,TD!$N$51:$O$66,2,0)," ")</f>
        <v>Servicio de atención a emergencias y desastres</v>
      </c>
      <c r="AC315" s="164" t="str">
        <f t="shared" si="17"/>
        <v>004_Servicio de atención a emergencias y desastres</v>
      </c>
      <c r="AD315" s="164" t="str">
        <f t="shared" si="18"/>
        <v>04-Servicio de atención a incidentes y emergencias. 004_Servicio de atención a emergencias y desastres</v>
      </c>
      <c r="AE315" s="163" t="str">
        <f t="shared" si="19"/>
        <v>O23011745032024025504004</v>
      </c>
      <c r="AF315" s="163" t="str">
        <f>IFERROR(VLOOKUP(AD315,TD!$J$66:$K$89,2,0)," ")</f>
        <v>PM/0131/0104/45030040255</v>
      </c>
      <c r="AG315" s="118" t="s">
        <v>385</v>
      </c>
      <c r="AH315" s="162" t="s">
        <v>193</v>
      </c>
      <c r="AI315" s="165" t="str">
        <f>CONCATENATE(PAA[[#This Row],[Id Interno]],"-",PAA[[#This Row],[tipo de Contrato (TH talento humano - B/S bienes y/o servicios)]],"-",S315,"-",T315,"-",PAA[[#This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16" spans="2:35" ht="84" x14ac:dyDescent="0.35">
      <c r="B316" s="23">
        <v>20260293</v>
      </c>
      <c r="C316" s="99" t="s">
        <v>852</v>
      </c>
      <c r="D316" s="99" t="s">
        <v>105</v>
      </c>
      <c r="E316" s="99" t="s">
        <v>363</v>
      </c>
      <c r="F316" s="160" t="s">
        <v>144</v>
      </c>
      <c r="G316" s="160" t="s">
        <v>373</v>
      </c>
      <c r="H316" s="166">
        <v>10</v>
      </c>
      <c r="I316" s="166">
        <v>0</v>
      </c>
      <c r="J316" s="118">
        <v>72000000</v>
      </c>
      <c r="K316" s="126" t="s">
        <v>398</v>
      </c>
      <c r="L316" s="160" t="s">
        <v>158</v>
      </c>
      <c r="M316" s="167" t="s">
        <v>421</v>
      </c>
      <c r="N316" s="99" t="s">
        <v>198</v>
      </c>
      <c r="O316" s="150" t="s">
        <v>926</v>
      </c>
      <c r="P316" s="160" t="s">
        <v>348</v>
      </c>
      <c r="Q316" s="128">
        <v>80111600</v>
      </c>
      <c r="R316" s="167" t="s">
        <v>211</v>
      </c>
      <c r="S316" s="162" t="str">
        <f>MID(PAA[[#This Row],[Meta Proyecto de Inversión]],1,4)</f>
        <v>8173</v>
      </c>
      <c r="T316" s="162" t="str">
        <f>MID(PAA[[#This Row],[Meta Proyecto de Inversión]],6,1)</f>
        <v>2</v>
      </c>
      <c r="U316" s="163" t="str">
        <f>IFERROR(VLOOKUP(N316,TD!$B$50:$F$54,2,0)," ")</f>
        <v>O230117</v>
      </c>
      <c r="V316" s="163" t="str">
        <f>IFERROR(VLOOKUP(N316,TD!$B$50:$F$54,3,0)," ")</f>
        <v>4503</v>
      </c>
      <c r="W316" s="163">
        <f>IFERROR(VLOOKUP(N316,TD!$B$50:$F$54,4,0)," ")</f>
        <v>20240255</v>
      </c>
      <c r="X316" s="162" t="s">
        <v>164</v>
      </c>
      <c r="Y316" s="163" t="str">
        <f>IFERROR(VLOOKUP(X316,TD!$J$51:$K$64,2,0)," ")</f>
        <v>Servicio de atención a incidentes y emergencias.</v>
      </c>
      <c r="Z316" s="164" t="str">
        <f t="shared" si="16"/>
        <v>04-Servicio de atención a incidentes y emergencias.</v>
      </c>
      <c r="AA316" s="162" t="s">
        <v>221</v>
      </c>
      <c r="AB316" s="163" t="str">
        <f>IFERROR(VLOOKUP(AA316,TD!$N$51:$O$66,2,0)," ")</f>
        <v>Servicio de atención a emergencias y desastres</v>
      </c>
      <c r="AC316" s="164" t="str">
        <f t="shared" si="17"/>
        <v>004_Servicio de atención a emergencias y desastres</v>
      </c>
      <c r="AD316" s="164" t="str">
        <f t="shared" si="18"/>
        <v>04-Servicio de atención a incidentes y emergencias. 004_Servicio de atención a emergencias y desastres</v>
      </c>
      <c r="AE316" s="163" t="str">
        <f t="shared" si="19"/>
        <v>O23011745032024025504004</v>
      </c>
      <c r="AF316" s="163" t="str">
        <f>IFERROR(VLOOKUP(AD316,TD!$J$66:$K$89,2,0)," ")</f>
        <v>PM/0131/0104/45030040255</v>
      </c>
      <c r="AG316" s="118" t="s">
        <v>385</v>
      </c>
      <c r="AH316" s="162" t="s">
        <v>193</v>
      </c>
      <c r="AI316" s="165" t="str">
        <f>CONCATENATE(PAA[[#This Row],[Id Interno]],"-",PAA[[#This Row],[tipo de Contrato (TH talento humano - B/S bienes y/o servicios)]],"-",S316,"-",T316,"-",PAA[[#This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7" spans="2:35" ht="84" x14ac:dyDescent="0.35">
      <c r="B317" s="23">
        <v>20260294</v>
      </c>
      <c r="C317" s="99" t="s">
        <v>853</v>
      </c>
      <c r="D317" s="99" t="s">
        <v>105</v>
      </c>
      <c r="E317" s="99" t="s">
        <v>363</v>
      </c>
      <c r="F317" s="160" t="s">
        <v>144</v>
      </c>
      <c r="G317" s="160" t="s">
        <v>373</v>
      </c>
      <c r="H317" s="166">
        <v>10</v>
      </c>
      <c r="I317" s="166">
        <v>0</v>
      </c>
      <c r="J317" s="118">
        <v>97000000</v>
      </c>
      <c r="K317" s="126" t="s">
        <v>398</v>
      </c>
      <c r="L317" s="160" t="s">
        <v>158</v>
      </c>
      <c r="M317" s="167" t="s">
        <v>421</v>
      </c>
      <c r="N317" s="99" t="s">
        <v>198</v>
      </c>
      <c r="O317" s="150" t="s">
        <v>926</v>
      </c>
      <c r="P317" s="160" t="s">
        <v>348</v>
      </c>
      <c r="Q317" s="128">
        <v>80111600</v>
      </c>
      <c r="R317" s="167" t="s">
        <v>211</v>
      </c>
      <c r="S317" s="162" t="str">
        <f>MID(PAA[[#This Row],[Meta Proyecto de Inversión]],1,4)</f>
        <v>8173</v>
      </c>
      <c r="T317" s="162" t="str">
        <f>MID(PAA[[#This Row],[Meta Proyecto de Inversión]],6,1)</f>
        <v>2</v>
      </c>
      <c r="U317" s="163" t="str">
        <f>IFERROR(VLOOKUP(N317,TD!$B$50:$F$54,2,0)," ")</f>
        <v>O230117</v>
      </c>
      <c r="V317" s="163" t="str">
        <f>IFERROR(VLOOKUP(N317,TD!$B$50:$F$54,3,0)," ")</f>
        <v>4503</v>
      </c>
      <c r="W317" s="163">
        <f>IFERROR(VLOOKUP(N317,TD!$B$50:$F$54,4,0)," ")</f>
        <v>20240255</v>
      </c>
      <c r="X317" s="162" t="s">
        <v>164</v>
      </c>
      <c r="Y317" s="163" t="str">
        <f>IFERROR(VLOOKUP(X317,TD!$J$51:$K$64,2,0)," ")</f>
        <v>Servicio de atención a incidentes y emergencias.</v>
      </c>
      <c r="Z317" s="164" t="str">
        <f t="shared" si="16"/>
        <v>04-Servicio de atención a incidentes y emergencias.</v>
      </c>
      <c r="AA317" s="162" t="s">
        <v>221</v>
      </c>
      <c r="AB317" s="163" t="str">
        <f>IFERROR(VLOOKUP(AA317,TD!$N$51:$O$66,2,0)," ")</f>
        <v>Servicio de atención a emergencias y desastres</v>
      </c>
      <c r="AC317" s="164" t="str">
        <f t="shared" si="17"/>
        <v>004_Servicio de atención a emergencias y desastres</v>
      </c>
      <c r="AD317" s="164" t="str">
        <f t="shared" si="18"/>
        <v>04-Servicio de atención a incidentes y emergencias. 004_Servicio de atención a emergencias y desastres</v>
      </c>
      <c r="AE317" s="163" t="str">
        <f t="shared" si="19"/>
        <v>O23011745032024025504004</v>
      </c>
      <c r="AF317" s="163" t="str">
        <f>IFERROR(VLOOKUP(AD317,TD!$J$66:$K$89,2,0)," ")</f>
        <v>PM/0131/0104/45030040255</v>
      </c>
      <c r="AG317" s="118" t="s">
        <v>385</v>
      </c>
      <c r="AH317" s="162" t="s">
        <v>193</v>
      </c>
      <c r="AI317" s="165" t="str">
        <f>CONCATENATE(PAA[[#This Row],[Id Interno]],"-",PAA[[#This Row],[tipo de Contrato (TH talento humano - B/S bienes y/o servicios)]],"-",S317,"-",T317,"-",PAA[[#This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18" spans="2:35" ht="84" x14ac:dyDescent="0.35">
      <c r="B318" s="23">
        <v>20260295</v>
      </c>
      <c r="C318" s="99" t="s">
        <v>852</v>
      </c>
      <c r="D318" s="99" t="s">
        <v>105</v>
      </c>
      <c r="E318" s="99" t="s">
        <v>363</v>
      </c>
      <c r="F318" s="160" t="s">
        <v>144</v>
      </c>
      <c r="G318" s="160" t="s">
        <v>373</v>
      </c>
      <c r="H318" s="166">
        <v>10</v>
      </c>
      <c r="I318" s="166">
        <v>0</v>
      </c>
      <c r="J318" s="118">
        <v>72000000</v>
      </c>
      <c r="K318" s="126" t="s">
        <v>398</v>
      </c>
      <c r="L318" s="160" t="s">
        <v>158</v>
      </c>
      <c r="M318" s="167" t="s">
        <v>421</v>
      </c>
      <c r="N318" s="99" t="s">
        <v>198</v>
      </c>
      <c r="O318" s="150" t="s">
        <v>926</v>
      </c>
      <c r="P318" s="160" t="s">
        <v>348</v>
      </c>
      <c r="Q318" s="128">
        <v>80111600</v>
      </c>
      <c r="R318" s="167" t="s">
        <v>211</v>
      </c>
      <c r="S318" s="162" t="str">
        <f>MID(PAA[[#This Row],[Meta Proyecto de Inversión]],1,4)</f>
        <v>8173</v>
      </c>
      <c r="T318" s="162" t="str">
        <f>MID(PAA[[#This Row],[Meta Proyecto de Inversión]],6,1)</f>
        <v>2</v>
      </c>
      <c r="U318" s="163" t="str">
        <f>IFERROR(VLOOKUP(N318,TD!$B$50:$F$54,2,0)," ")</f>
        <v>O230117</v>
      </c>
      <c r="V318" s="163" t="str">
        <f>IFERROR(VLOOKUP(N318,TD!$B$50:$F$54,3,0)," ")</f>
        <v>4503</v>
      </c>
      <c r="W318" s="163">
        <f>IFERROR(VLOOKUP(N318,TD!$B$50:$F$54,4,0)," ")</f>
        <v>20240255</v>
      </c>
      <c r="X318" s="162" t="s">
        <v>164</v>
      </c>
      <c r="Y318" s="163" t="str">
        <f>IFERROR(VLOOKUP(X318,TD!$J$51:$K$64,2,0)," ")</f>
        <v>Servicio de atención a incidentes y emergencias.</v>
      </c>
      <c r="Z318" s="164" t="str">
        <f t="shared" si="16"/>
        <v>04-Servicio de atención a incidentes y emergencias.</v>
      </c>
      <c r="AA318" s="162" t="s">
        <v>221</v>
      </c>
      <c r="AB318" s="163" t="str">
        <f>IFERROR(VLOOKUP(AA318,TD!$N$51:$O$66,2,0)," ")</f>
        <v>Servicio de atención a emergencias y desastres</v>
      </c>
      <c r="AC318" s="164" t="str">
        <f t="shared" si="17"/>
        <v>004_Servicio de atención a emergencias y desastres</v>
      </c>
      <c r="AD318" s="164" t="str">
        <f t="shared" si="18"/>
        <v>04-Servicio de atención a incidentes y emergencias. 004_Servicio de atención a emergencias y desastres</v>
      </c>
      <c r="AE318" s="163" t="str">
        <f t="shared" si="19"/>
        <v>O23011745032024025504004</v>
      </c>
      <c r="AF318" s="163" t="str">
        <f>IFERROR(VLOOKUP(AD318,TD!$J$66:$K$89,2,0)," ")</f>
        <v>PM/0131/0104/45030040255</v>
      </c>
      <c r="AG318" s="118" t="s">
        <v>385</v>
      </c>
      <c r="AH318" s="162" t="s">
        <v>193</v>
      </c>
      <c r="AI318" s="165" t="str">
        <f>CONCATENATE(PAA[[#This Row],[Id Interno]],"-",PAA[[#This Row],[tipo de Contrato (TH talento humano - B/S bienes y/o servicios)]],"-",S318,"-",T318,"-",PAA[[#This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9" spans="2:35" ht="112" x14ac:dyDescent="0.35">
      <c r="B319" s="23">
        <v>20260296</v>
      </c>
      <c r="C319" s="99" t="s">
        <v>484</v>
      </c>
      <c r="D319" s="99" t="s">
        <v>105</v>
      </c>
      <c r="E319" s="99" t="s">
        <v>363</v>
      </c>
      <c r="F319" s="160" t="s">
        <v>144</v>
      </c>
      <c r="G319" s="160" t="s">
        <v>373</v>
      </c>
      <c r="H319" s="166">
        <v>5</v>
      </c>
      <c r="I319" s="166">
        <v>0</v>
      </c>
      <c r="J319" s="118">
        <v>32500000</v>
      </c>
      <c r="K319" s="126" t="s">
        <v>398</v>
      </c>
      <c r="L319" s="160" t="s">
        <v>158</v>
      </c>
      <c r="M319" s="167" t="s">
        <v>421</v>
      </c>
      <c r="N319" s="99" t="s">
        <v>198</v>
      </c>
      <c r="O319" s="150" t="s">
        <v>926</v>
      </c>
      <c r="P319" s="160" t="s">
        <v>348</v>
      </c>
      <c r="Q319" s="128">
        <v>80111600</v>
      </c>
      <c r="R319" s="167" t="s">
        <v>211</v>
      </c>
      <c r="S319" s="162" t="str">
        <f>MID(PAA[[#This Row],[Meta Proyecto de Inversión]],1,4)</f>
        <v>8173</v>
      </c>
      <c r="T319" s="162" t="str">
        <f>MID(PAA[[#This Row],[Meta Proyecto de Inversión]],6,1)</f>
        <v>2</v>
      </c>
      <c r="U319" s="163" t="str">
        <f>IFERROR(VLOOKUP(N319,TD!$B$50:$F$54,2,0)," ")</f>
        <v>O230117</v>
      </c>
      <c r="V319" s="163" t="str">
        <f>IFERROR(VLOOKUP(N319,TD!$B$50:$F$54,3,0)," ")</f>
        <v>4503</v>
      </c>
      <c r="W319" s="163">
        <f>IFERROR(VLOOKUP(N319,TD!$B$50:$F$54,4,0)," ")</f>
        <v>20240255</v>
      </c>
      <c r="X319" s="162" t="s">
        <v>164</v>
      </c>
      <c r="Y319" s="163" t="str">
        <f>IFERROR(VLOOKUP(X319,TD!$J$51:$K$64,2,0)," ")</f>
        <v>Servicio de atención a incidentes y emergencias.</v>
      </c>
      <c r="Z319" s="164" t="str">
        <f t="shared" si="16"/>
        <v>04-Servicio de atención a incidentes y emergencias.</v>
      </c>
      <c r="AA319" s="162" t="s">
        <v>221</v>
      </c>
      <c r="AB319" s="163" t="str">
        <f>IFERROR(VLOOKUP(AA319,TD!$N$51:$O$66,2,0)," ")</f>
        <v>Servicio de atención a emergencias y desastres</v>
      </c>
      <c r="AC319" s="164" t="str">
        <f t="shared" si="17"/>
        <v>004_Servicio de atención a emergencias y desastres</v>
      </c>
      <c r="AD319" s="164" t="str">
        <f t="shared" si="18"/>
        <v>04-Servicio de atención a incidentes y emergencias. 004_Servicio de atención a emergencias y desastres</v>
      </c>
      <c r="AE319" s="163" t="str">
        <f t="shared" si="19"/>
        <v>O23011745032024025504004</v>
      </c>
      <c r="AF319" s="163" t="str">
        <f>IFERROR(VLOOKUP(AD319,TD!$J$66:$K$89,2,0)," ")</f>
        <v>PM/0131/0104/45030040255</v>
      </c>
      <c r="AG319" s="118" t="s">
        <v>385</v>
      </c>
      <c r="AH319" s="162" t="s">
        <v>194</v>
      </c>
      <c r="AI319" s="165" t="str">
        <f>CONCATENATE(PAA[[#This Row],[Id Interno]],"-",PAA[[#This Row],[tipo de Contrato (TH talento humano - B/S bienes y/o servicios)]],"-",S319,"-",T319,"-",PAA[[#This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20" spans="2:35" ht="112" x14ac:dyDescent="0.35">
      <c r="B320" s="23">
        <v>20260297</v>
      </c>
      <c r="C320" s="99" t="s">
        <v>924</v>
      </c>
      <c r="D320" s="99" t="s">
        <v>105</v>
      </c>
      <c r="E320" s="99" t="s">
        <v>363</v>
      </c>
      <c r="F320" s="160" t="s">
        <v>144</v>
      </c>
      <c r="G320" s="160" t="s">
        <v>373</v>
      </c>
      <c r="H320" s="166">
        <v>4</v>
      </c>
      <c r="I320" s="166">
        <v>15</v>
      </c>
      <c r="J320" s="118">
        <v>42750000</v>
      </c>
      <c r="K320" s="126" t="s">
        <v>398</v>
      </c>
      <c r="L320" s="160" t="s">
        <v>158</v>
      </c>
      <c r="M320" s="167" t="s">
        <v>421</v>
      </c>
      <c r="N320" s="99" t="s">
        <v>198</v>
      </c>
      <c r="O320" s="150" t="s">
        <v>926</v>
      </c>
      <c r="P320" s="160" t="s">
        <v>348</v>
      </c>
      <c r="Q320" s="128">
        <v>80111600</v>
      </c>
      <c r="R320" s="167" t="s">
        <v>211</v>
      </c>
      <c r="S320" s="162" t="str">
        <f>MID(PAA[[#This Row],[Meta Proyecto de Inversión]],1,4)</f>
        <v>8173</v>
      </c>
      <c r="T320" s="162" t="str">
        <f>MID(PAA[[#This Row],[Meta Proyecto de Inversión]],6,1)</f>
        <v>2</v>
      </c>
      <c r="U320" s="163" t="str">
        <f>IFERROR(VLOOKUP(N320,TD!$B$50:$F$54,2,0)," ")</f>
        <v>O230117</v>
      </c>
      <c r="V320" s="163" t="str">
        <f>IFERROR(VLOOKUP(N320,TD!$B$50:$F$54,3,0)," ")</f>
        <v>4503</v>
      </c>
      <c r="W320" s="163">
        <f>IFERROR(VLOOKUP(N320,TD!$B$50:$F$54,4,0)," ")</f>
        <v>20240255</v>
      </c>
      <c r="X320" s="162" t="s">
        <v>164</v>
      </c>
      <c r="Y320" s="163" t="str">
        <f>IFERROR(VLOOKUP(X320,TD!$J$51:$K$64,2,0)," ")</f>
        <v>Servicio de atención a incidentes y emergencias.</v>
      </c>
      <c r="Z320" s="164" t="str">
        <f t="shared" si="16"/>
        <v>04-Servicio de atención a incidentes y emergencias.</v>
      </c>
      <c r="AA320" s="162" t="s">
        <v>221</v>
      </c>
      <c r="AB320" s="163" t="str">
        <f>IFERROR(VLOOKUP(AA320,TD!$N$51:$O$66,2,0)," ")</f>
        <v>Servicio de atención a emergencias y desastres</v>
      </c>
      <c r="AC320" s="164" t="str">
        <f t="shared" si="17"/>
        <v>004_Servicio de atención a emergencias y desastres</v>
      </c>
      <c r="AD320" s="164" t="str">
        <f t="shared" si="18"/>
        <v>04-Servicio de atención a incidentes y emergencias. 004_Servicio de atención a emergencias y desastres</v>
      </c>
      <c r="AE320" s="163" t="str">
        <f t="shared" si="19"/>
        <v>O23011745032024025504004</v>
      </c>
      <c r="AF320" s="163" t="str">
        <f>IFERROR(VLOOKUP(AD320,TD!$J$66:$K$89,2,0)," ")</f>
        <v>PM/0131/0104/45030040255</v>
      </c>
      <c r="AG320" s="118" t="s">
        <v>385</v>
      </c>
      <c r="AH320" s="162" t="s">
        <v>194</v>
      </c>
      <c r="AI320" s="165" t="str">
        <f>CONCATENATE(PAA[[#This Row],[Id Interno]],"-",PAA[[#This Row],[tipo de Contrato (TH talento humano - B/S bienes y/o servicios)]],"-",S320,"-",T320,"-",PAA[[#This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21" spans="2:35" ht="98" x14ac:dyDescent="0.35">
      <c r="B321" s="23">
        <v>20260298</v>
      </c>
      <c r="C321" s="99" t="s">
        <v>485</v>
      </c>
      <c r="D321" s="99" t="s">
        <v>105</v>
      </c>
      <c r="E321" s="99" t="s">
        <v>363</v>
      </c>
      <c r="F321" s="160" t="s">
        <v>144</v>
      </c>
      <c r="G321" s="160" t="s">
        <v>373</v>
      </c>
      <c r="H321" s="166">
        <v>4</v>
      </c>
      <c r="I321" s="166">
        <v>15</v>
      </c>
      <c r="J321" s="118">
        <v>42750000</v>
      </c>
      <c r="K321" s="126" t="s">
        <v>398</v>
      </c>
      <c r="L321" s="160" t="s">
        <v>158</v>
      </c>
      <c r="M321" s="167" t="s">
        <v>421</v>
      </c>
      <c r="N321" s="99" t="s">
        <v>198</v>
      </c>
      <c r="O321" s="150" t="s">
        <v>926</v>
      </c>
      <c r="P321" s="160" t="s">
        <v>348</v>
      </c>
      <c r="Q321" s="128">
        <v>80111600</v>
      </c>
      <c r="R321" s="167" t="s">
        <v>211</v>
      </c>
      <c r="S321" s="162" t="str">
        <f>MID(PAA[[#This Row],[Meta Proyecto de Inversión]],1,4)</f>
        <v>8173</v>
      </c>
      <c r="T321" s="162" t="str">
        <f>MID(PAA[[#This Row],[Meta Proyecto de Inversión]],6,1)</f>
        <v>2</v>
      </c>
      <c r="U321" s="163" t="str">
        <f>IFERROR(VLOOKUP(N321,TD!$B$50:$F$54,2,0)," ")</f>
        <v>O230117</v>
      </c>
      <c r="V321" s="163" t="str">
        <f>IFERROR(VLOOKUP(N321,TD!$B$50:$F$54,3,0)," ")</f>
        <v>4503</v>
      </c>
      <c r="W321" s="163">
        <f>IFERROR(VLOOKUP(N321,TD!$B$50:$F$54,4,0)," ")</f>
        <v>20240255</v>
      </c>
      <c r="X321" s="162" t="s">
        <v>164</v>
      </c>
      <c r="Y321" s="163" t="str">
        <f>IFERROR(VLOOKUP(X321,TD!$J$51:$K$64,2,0)," ")</f>
        <v>Servicio de atención a incidentes y emergencias.</v>
      </c>
      <c r="Z321" s="164" t="str">
        <f t="shared" si="16"/>
        <v>04-Servicio de atención a incidentes y emergencias.</v>
      </c>
      <c r="AA321" s="162" t="s">
        <v>221</v>
      </c>
      <c r="AB321" s="163" t="str">
        <f>IFERROR(VLOOKUP(AA321,TD!$N$51:$O$66,2,0)," ")</f>
        <v>Servicio de atención a emergencias y desastres</v>
      </c>
      <c r="AC321" s="164" t="str">
        <f t="shared" si="17"/>
        <v>004_Servicio de atención a emergencias y desastres</v>
      </c>
      <c r="AD321" s="164" t="str">
        <f t="shared" si="18"/>
        <v>04-Servicio de atención a incidentes y emergencias. 004_Servicio de atención a emergencias y desastres</v>
      </c>
      <c r="AE321" s="163" t="str">
        <f t="shared" si="19"/>
        <v>O23011745032024025504004</v>
      </c>
      <c r="AF321" s="163" t="str">
        <f>IFERROR(VLOOKUP(AD321,TD!$J$66:$K$89,2,0)," ")</f>
        <v>PM/0131/0104/45030040255</v>
      </c>
      <c r="AG321" s="118" t="s">
        <v>385</v>
      </c>
      <c r="AH321" s="162" t="s">
        <v>194</v>
      </c>
      <c r="AI321" s="165" t="str">
        <f>CONCATENATE(PAA[[#This Row],[Id Interno]],"-",PAA[[#This Row],[tipo de Contrato (TH talento humano - B/S bienes y/o servicios)]],"-",S321,"-",T321,"-",PAA[[#This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22" spans="2:35" ht="66" customHeight="1" x14ac:dyDescent="0.35">
      <c r="B322" s="23">
        <v>20260299</v>
      </c>
      <c r="C322" s="99" t="s">
        <v>486</v>
      </c>
      <c r="D322" s="99" t="s">
        <v>105</v>
      </c>
      <c r="E322" s="99" t="s">
        <v>363</v>
      </c>
      <c r="F322" s="160" t="s">
        <v>144</v>
      </c>
      <c r="G322" s="160" t="s">
        <v>373</v>
      </c>
      <c r="H322" s="166">
        <v>3</v>
      </c>
      <c r="I322" s="166">
        <v>0</v>
      </c>
      <c r="J322" s="118">
        <v>28500000</v>
      </c>
      <c r="K322" s="126" t="s">
        <v>398</v>
      </c>
      <c r="L322" s="160" t="s">
        <v>158</v>
      </c>
      <c r="M322" s="167" t="s">
        <v>421</v>
      </c>
      <c r="N322" s="99" t="s">
        <v>198</v>
      </c>
      <c r="O322" s="150" t="s">
        <v>926</v>
      </c>
      <c r="P322" s="160" t="s">
        <v>348</v>
      </c>
      <c r="Q322" s="128">
        <v>80111600</v>
      </c>
      <c r="R322" s="167" t="s">
        <v>211</v>
      </c>
      <c r="S322" s="162" t="str">
        <f>MID(PAA[[#This Row],[Meta Proyecto de Inversión]],1,4)</f>
        <v>8173</v>
      </c>
      <c r="T322" s="162" t="str">
        <f>MID(PAA[[#This Row],[Meta Proyecto de Inversión]],6,1)</f>
        <v>2</v>
      </c>
      <c r="U322" s="163" t="str">
        <f>IFERROR(VLOOKUP(N322,TD!$B$50:$F$54,2,0)," ")</f>
        <v>O230117</v>
      </c>
      <c r="V322" s="163" t="str">
        <f>IFERROR(VLOOKUP(N322,TD!$B$50:$F$54,3,0)," ")</f>
        <v>4503</v>
      </c>
      <c r="W322" s="163">
        <f>IFERROR(VLOOKUP(N322,TD!$B$50:$F$54,4,0)," ")</f>
        <v>20240255</v>
      </c>
      <c r="X322" s="162" t="s">
        <v>164</v>
      </c>
      <c r="Y322" s="163" t="str">
        <f>IFERROR(VLOOKUP(X322,TD!$J$51:$K$64,2,0)," ")</f>
        <v>Servicio de atención a incidentes y emergencias.</v>
      </c>
      <c r="Z322" s="164" t="str">
        <f t="shared" si="16"/>
        <v>04-Servicio de atención a incidentes y emergencias.</v>
      </c>
      <c r="AA322" s="162" t="s">
        <v>221</v>
      </c>
      <c r="AB322" s="163" t="str">
        <f>IFERROR(VLOOKUP(AA322,TD!$N$51:$O$66,2,0)," ")</f>
        <v>Servicio de atención a emergencias y desastres</v>
      </c>
      <c r="AC322" s="164" t="str">
        <f t="shared" si="17"/>
        <v>004_Servicio de atención a emergencias y desastres</v>
      </c>
      <c r="AD322" s="164" t="str">
        <f t="shared" si="18"/>
        <v>04-Servicio de atención a incidentes y emergencias. 004_Servicio de atención a emergencias y desastres</v>
      </c>
      <c r="AE322" s="163" t="str">
        <f t="shared" si="19"/>
        <v>O23011745032024025504004</v>
      </c>
      <c r="AF322" s="163" t="str">
        <f>IFERROR(VLOOKUP(AD322,TD!$J$66:$K$89,2,0)," ")</f>
        <v>PM/0131/0104/45030040255</v>
      </c>
      <c r="AG322" s="118" t="s">
        <v>385</v>
      </c>
      <c r="AH322" s="162" t="s">
        <v>194</v>
      </c>
      <c r="AI322" s="165" t="str">
        <f>CONCATENATE(PAA[[#This Row],[Id Interno]],"-",PAA[[#This Row],[tipo de Contrato (TH talento humano - B/S bienes y/o servicios)]],"-",S322,"-",T322,"-",PAA[[#This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23" spans="2:35" ht="56" x14ac:dyDescent="0.35">
      <c r="B323" s="23">
        <v>20260300</v>
      </c>
      <c r="C323" s="99" t="s">
        <v>854</v>
      </c>
      <c r="D323" s="99" t="s">
        <v>105</v>
      </c>
      <c r="E323" s="99" t="s">
        <v>363</v>
      </c>
      <c r="F323" s="160" t="s">
        <v>144</v>
      </c>
      <c r="G323" s="160" t="s">
        <v>373</v>
      </c>
      <c r="H323" s="166">
        <v>8</v>
      </c>
      <c r="I323" s="166">
        <v>0</v>
      </c>
      <c r="J323" s="118">
        <v>72000000</v>
      </c>
      <c r="K323" s="126" t="s">
        <v>398</v>
      </c>
      <c r="L323" s="160" t="s">
        <v>158</v>
      </c>
      <c r="M323" s="167" t="s">
        <v>421</v>
      </c>
      <c r="N323" s="99" t="s">
        <v>198</v>
      </c>
      <c r="O323" s="150" t="s">
        <v>926</v>
      </c>
      <c r="P323" s="160" t="s">
        <v>348</v>
      </c>
      <c r="Q323" s="128">
        <v>80111600</v>
      </c>
      <c r="R323" s="167" t="s">
        <v>211</v>
      </c>
      <c r="S323" s="162" t="str">
        <f>MID(PAA[[#This Row],[Meta Proyecto de Inversión]],1,4)</f>
        <v>8173</v>
      </c>
      <c r="T323" s="162" t="str">
        <f>MID(PAA[[#This Row],[Meta Proyecto de Inversión]],6,1)</f>
        <v>2</v>
      </c>
      <c r="U323" s="163" t="str">
        <f>IFERROR(VLOOKUP(N323,TD!$B$50:$F$54,2,0)," ")</f>
        <v>O230117</v>
      </c>
      <c r="V323" s="163" t="str">
        <f>IFERROR(VLOOKUP(N323,TD!$B$50:$F$54,3,0)," ")</f>
        <v>4503</v>
      </c>
      <c r="W323" s="163">
        <f>IFERROR(VLOOKUP(N323,TD!$B$50:$F$54,4,0)," ")</f>
        <v>20240255</v>
      </c>
      <c r="X323" s="162" t="s">
        <v>164</v>
      </c>
      <c r="Y323" s="163" t="str">
        <f>IFERROR(VLOOKUP(X323,TD!$J$51:$K$64,2,0)," ")</f>
        <v>Servicio de atención a incidentes y emergencias.</v>
      </c>
      <c r="Z323" s="164" t="str">
        <f t="shared" si="16"/>
        <v>04-Servicio de atención a incidentes y emergencias.</v>
      </c>
      <c r="AA323" s="162" t="s">
        <v>221</v>
      </c>
      <c r="AB323" s="163" t="str">
        <f>IFERROR(VLOOKUP(AA323,TD!$N$51:$O$66,2,0)," ")</f>
        <v>Servicio de atención a emergencias y desastres</v>
      </c>
      <c r="AC323" s="164" t="str">
        <f t="shared" si="17"/>
        <v>004_Servicio de atención a emergencias y desastres</v>
      </c>
      <c r="AD323" s="164" t="str">
        <f t="shared" si="18"/>
        <v>04-Servicio de atención a incidentes y emergencias. 004_Servicio de atención a emergencias y desastres</v>
      </c>
      <c r="AE323" s="163" t="str">
        <f t="shared" si="19"/>
        <v>O23011745032024025504004</v>
      </c>
      <c r="AF323" s="163" t="str">
        <f>IFERROR(VLOOKUP(AD323,TD!$J$66:$K$89,2,0)," ")</f>
        <v>PM/0131/0104/45030040255</v>
      </c>
      <c r="AG323" s="118" t="s">
        <v>385</v>
      </c>
      <c r="AH323" s="162" t="s">
        <v>193</v>
      </c>
      <c r="AI323" s="165" t="str">
        <f>CONCATENATE(PAA[[#This Row],[Id Interno]],"-",PAA[[#This Row],[tipo de Contrato (TH talento humano - B/S bienes y/o servicios)]],"-",S323,"-",T323,"-",PAA[[#This Row],[Objeto de la contratación]])</f>
        <v>20260300-TH-8173-2-Prestación de servicios profesionales para apoyar jurídicamente los proyectos, procesos y procedimientos, para e desarrollo de los programas de la subdirección operativa-S.O</v>
      </c>
    </row>
    <row r="324" spans="2:35" ht="56" x14ac:dyDescent="0.35">
      <c r="B324" s="23">
        <v>20260301</v>
      </c>
      <c r="C324" s="99" t="s">
        <v>855</v>
      </c>
      <c r="D324" s="99" t="s">
        <v>105</v>
      </c>
      <c r="E324" s="99" t="s">
        <v>363</v>
      </c>
      <c r="F324" s="160" t="s">
        <v>144</v>
      </c>
      <c r="G324" s="160" t="s">
        <v>373</v>
      </c>
      <c r="H324" s="166">
        <v>10</v>
      </c>
      <c r="I324" s="166">
        <v>0</v>
      </c>
      <c r="J324" s="118">
        <v>97000000</v>
      </c>
      <c r="K324" s="126" t="s">
        <v>398</v>
      </c>
      <c r="L324" s="160" t="s">
        <v>158</v>
      </c>
      <c r="M324" s="167" t="s">
        <v>421</v>
      </c>
      <c r="N324" s="99" t="s">
        <v>198</v>
      </c>
      <c r="O324" s="150" t="s">
        <v>926</v>
      </c>
      <c r="P324" s="160" t="s">
        <v>348</v>
      </c>
      <c r="Q324" s="128">
        <v>80111600</v>
      </c>
      <c r="R324" s="167" t="s">
        <v>211</v>
      </c>
      <c r="S324" s="162" t="str">
        <f>MID(PAA[[#This Row],[Meta Proyecto de Inversión]],1,4)</f>
        <v>8173</v>
      </c>
      <c r="T324" s="162" t="str">
        <f>MID(PAA[[#This Row],[Meta Proyecto de Inversión]],6,1)</f>
        <v>2</v>
      </c>
      <c r="U324" s="163" t="str">
        <f>IFERROR(VLOOKUP(N324,TD!$B$50:$F$54,2,0)," ")</f>
        <v>O230117</v>
      </c>
      <c r="V324" s="163" t="str">
        <f>IFERROR(VLOOKUP(N324,TD!$B$50:$F$54,3,0)," ")</f>
        <v>4503</v>
      </c>
      <c r="W324" s="163">
        <f>IFERROR(VLOOKUP(N324,TD!$B$50:$F$54,4,0)," ")</f>
        <v>20240255</v>
      </c>
      <c r="X324" s="162" t="s">
        <v>164</v>
      </c>
      <c r="Y324" s="163" t="str">
        <f>IFERROR(VLOOKUP(X324,TD!$J$51:$K$64,2,0)," ")</f>
        <v>Servicio de atención a incidentes y emergencias.</v>
      </c>
      <c r="Z324" s="164" t="str">
        <f t="shared" si="16"/>
        <v>04-Servicio de atención a incidentes y emergencias.</v>
      </c>
      <c r="AA324" s="162" t="s">
        <v>221</v>
      </c>
      <c r="AB324" s="163" t="str">
        <f>IFERROR(VLOOKUP(AA324,TD!$N$51:$O$66,2,0)," ")</f>
        <v>Servicio de atención a emergencias y desastres</v>
      </c>
      <c r="AC324" s="164" t="str">
        <f t="shared" si="17"/>
        <v>004_Servicio de atención a emergencias y desastres</v>
      </c>
      <c r="AD324" s="164" t="str">
        <f t="shared" si="18"/>
        <v>04-Servicio de atención a incidentes y emergencias. 004_Servicio de atención a emergencias y desastres</v>
      </c>
      <c r="AE324" s="163" t="str">
        <f t="shared" si="19"/>
        <v>O23011745032024025504004</v>
      </c>
      <c r="AF324" s="163" t="str">
        <f>IFERROR(VLOOKUP(AD324,TD!$J$66:$K$89,2,0)," ")</f>
        <v>PM/0131/0104/45030040255</v>
      </c>
      <c r="AG324" s="118" t="s">
        <v>385</v>
      </c>
      <c r="AH324" s="162" t="s">
        <v>193</v>
      </c>
      <c r="AI324" s="165" t="str">
        <f>CONCATENATE(PAA[[#This Row],[Id Interno]],"-",PAA[[#This Row],[tipo de Contrato (TH talento humano - B/S bienes y/o servicios)]],"-",S324,"-",T324,"-",PAA[[#This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25" spans="2:35" ht="70" x14ac:dyDescent="0.35">
      <c r="B325" s="23">
        <v>20260302</v>
      </c>
      <c r="C325" s="99" t="s">
        <v>856</v>
      </c>
      <c r="D325" s="99" t="s">
        <v>105</v>
      </c>
      <c r="E325" s="99" t="s">
        <v>363</v>
      </c>
      <c r="F325" s="160" t="s">
        <v>144</v>
      </c>
      <c r="G325" s="160" t="s">
        <v>373</v>
      </c>
      <c r="H325" s="166">
        <v>8</v>
      </c>
      <c r="I325" s="166">
        <v>0</v>
      </c>
      <c r="J325" s="118">
        <v>37600000</v>
      </c>
      <c r="K325" s="126" t="s">
        <v>398</v>
      </c>
      <c r="L325" s="160" t="s">
        <v>158</v>
      </c>
      <c r="M325" s="167" t="s">
        <v>421</v>
      </c>
      <c r="N325" s="99" t="s">
        <v>198</v>
      </c>
      <c r="O325" s="150" t="s">
        <v>926</v>
      </c>
      <c r="P325" s="160" t="s">
        <v>348</v>
      </c>
      <c r="Q325" s="128">
        <v>80111600</v>
      </c>
      <c r="R325" s="167" t="s">
        <v>211</v>
      </c>
      <c r="S325" s="162" t="str">
        <f>MID(PAA[[#This Row],[Meta Proyecto de Inversión]],1,4)</f>
        <v>8173</v>
      </c>
      <c r="T325" s="162" t="str">
        <f>MID(PAA[[#This Row],[Meta Proyecto de Inversión]],6,1)</f>
        <v>2</v>
      </c>
      <c r="U325" s="163" t="str">
        <f>IFERROR(VLOOKUP(N325,TD!$B$50:$F$54,2,0)," ")</f>
        <v>O230117</v>
      </c>
      <c r="V325" s="163" t="str">
        <f>IFERROR(VLOOKUP(N325,TD!$B$50:$F$54,3,0)," ")</f>
        <v>4503</v>
      </c>
      <c r="W325" s="163">
        <f>IFERROR(VLOOKUP(N325,TD!$B$50:$F$54,4,0)," ")</f>
        <v>20240255</v>
      </c>
      <c r="X325" s="162" t="s">
        <v>164</v>
      </c>
      <c r="Y325" s="163" t="str">
        <f>IFERROR(VLOOKUP(X325,TD!$J$51:$K$64,2,0)," ")</f>
        <v>Servicio de atención a incidentes y emergencias.</v>
      </c>
      <c r="Z325" s="164" t="str">
        <f t="shared" si="16"/>
        <v>04-Servicio de atención a incidentes y emergencias.</v>
      </c>
      <c r="AA325" s="162" t="s">
        <v>221</v>
      </c>
      <c r="AB325" s="163" t="str">
        <f>IFERROR(VLOOKUP(AA325,TD!$N$51:$O$66,2,0)," ")</f>
        <v>Servicio de atención a emergencias y desastres</v>
      </c>
      <c r="AC325" s="164" t="str">
        <f t="shared" si="17"/>
        <v>004_Servicio de atención a emergencias y desastres</v>
      </c>
      <c r="AD325" s="164" t="str">
        <f t="shared" si="18"/>
        <v>04-Servicio de atención a incidentes y emergencias. 004_Servicio de atención a emergencias y desastres</v>
      </c>
      <c r="AE325" s="163" t="str">
        <f t="shared" si="19"/>
        <v>O23011745032024025504004</v>
      </c>
      <c r="AF325" s="163" t="str">
        <f>IFERROR(VLOOKUP(AD325,TD!$J$66:$K$89,2,0)," ")</f>
        <v>PM/0131/0104/45030040255</v>
      </c>
      <c r="AG325" s="118" t="s">
        <v>385</v>
      </c>
      <c r="AH325" s="162" t="s">
        <v>193</v>
      </c>
      <c r="AI325" s="165" t="str">
        <f>CONCATENATE(PAA[[#This Row],[Id Interno]],"-",PAA[[#This Row],[tipo de Contrato (TH talento humano - B/S bienes y/o servicios)]],"-",S325,"-",T325,"-",PAA[[#This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26" spans="2:35" ht="70" x14ac:dyDescent="0.35">
      <c r="B326" s="23">
        <v>20260303</v>
      </c>
      <c r="C326" s="99" t="s">
        <v>857</v>
      </c>
      <c r="D326" s="99" t="s">
        <v>105</v>
      </c>
      <c r="E326" s="99" t="s">
        <v>363</v>
      </c>
      <c r="F326" s="160" t="s">
        <v>144</v>
      </c>
      <c r="G326" s="160" t="s">
        <v>373</v>
      </c>
      <c r="H326" s="166">
        <v>10</v>
      </c>
      <c r="I326" s="166">
        <v>0</v>
      </c>
      <c r="J326" s="118">
        <v>97000000</v>
      </c>
      <c r="K326" s="126" t="s">
        <v>398</v>
      </c>
      <c r="L326" s="160" t="s">
        <v>158</v>
      </c>
      <c r="M326" s="167" t="s">
        <v>421</v>
      </c>
      <c r="N326" s="99" t="s">
        <v>198</v>
      </c>
      <c r="O326" s="150" t="s">
        <v>926</v>
      </c>
      <c r="P326" s="160" t="s">
        <v>348</v>
      </c>
      <c r="Q326" s="128">
        <v>80111600</v>
      </c>
      <c r="R326" s="167" t="s">
        <v>211</v>
      </c>
      <c r="S326" s="162" t="str">
        <f>MID(PAA[[#This Row],[Meta Proyecto de Inversión]],1,4)</f>
        <v>8173</v>
      </c>
      <c r="T326" s="162" t="str">
        <f>MID(PAA[[#This Row],[Meta Proyecto de Inversión]],6,1)</f>
        <v>2</v>
      </c>
      <c r="U326" s="163" t="str">
        <f>IFERROR(VLOOKUP(N326,TD!$B$50:$F$54,2,0)," ")</f>
        <v>O230117</v>
      </c>
      <c r="V326" s="163" t="str">
        <f>IFERROR(VLOOKUP(N326,TD!$B$50:$F$54,3,0)," ")</f>
        <v>4503</v>
      </c>
      <c r="W326" s="163">
        <f>IFERROR(VLOOKUP(N326,TD!$B$50:$F$54,4,0)," ")</f>
        <v>20240255</v>
      </c>
      <c r="X326" s="162" t="s">
        <v>164</v>
      </c>
      <c r="Y326" s="163" t="str">
        <f>IFERROR(VLOOKUP(X326,TD!$J$51:$K$64,2,0)," ")</f>
        <v>Servicio de atención a incidentes y emergencias.</v>
      </c>
      <c r="Z326" s="164" t="str">
        <f t="shared" si="16"/>
        <v>04-Servicio de atención a incidentes y emergencias.</v>
      </c>
      <c r="AA326" s="162" t="s">
        <v>221</v>
      </c>
      <c r="AB326" s="163" t="str">
        <f>IFERROR(VLOOKUP(AA326,TD!$N$51:$O$66,2,0)," ")</f>
        <v>Servicio de atención a emergencias y desastres</v>
      </c>
      <c r="AC326" s="164" t="str">
        <f t="shared" si="17"/>
        <v>004_Servicio de atención a emergencias y desastres</v>
      </c>
      <c r="AD326" s="164" t="str">
        <f t="shared" si="18"/>
        <v>04-Servicio de atención a incidentes y emergencias. 004_Servicio de atención a emergencias y desastres</v>
      </c>
      <c r="AE326" s="163" t="str">
        <f t="shared" si="19"/>
        <v>O23011745032024025504004</v>
      </c>
      <c r="AF326" s="163" t="str">
        <f>IFERROR(VLOOKUP(AD326,TD!$J$66:$K$89,2,0)," ")</f>
        <v>PM/0131/0104/45030040255</v>
      </c>
      <c r="AG326" s="118" t="s">
        <v>385</v>
      </c>
      <c r="AH326" s="162" t="s">
        <v>193</v>
      </c>
      <c r="AI326" s="165" t="str">
        <f>CONCATENATE(PAA[[#This Row],[Id Interno]],"-",PAA[[#This Row],[tipo de Contrato (TH talento humano - B/S bienes y/o servicios)]],"-",S326,"-",T326,"-",PAA[[#This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27" spans="2:35" ht="70" x14ac:dyDescent="0.35">
      <c r="B327" s="23">
        <v>20260304</v>
      </c>
      <c r="C327" s="99" t="s">
        <v>858</v>
      </c>
      <c r="D327" s="99" t="s">
        <v>105</v>
      </c>
      <c r="E327" s="99" t="s">
        <v>363</v>
      </c>
      <c r="F327" s="160" t="s">
        <v>144</v>
      </c>
      <c r="G327" s="160" t="s">
        <v>373</v>
      </c>
      <c r="H327" s="166">
        <v>8</v>
      </c>
      <c r="I327" s="166">
        <v>0</v>
      </c>
      <c r="J327" s="118">
        <v>44800000</v>
      </c>
      <c r="K327" s="126" t="s">
        <v>398</v>
      </c>
      <c r="L327" s="160" t="s">
        <v>158</v>
      </c>
      <c r="M327" s="167" t="s">
        <v>421</v>
      </c>
      <c r="N327" s="99" t="s">
        <v>198</v>
      </c>
      <c r="O327" s="150" t="s">
        <v>926</v>
      </c>
      <c r="P327" s="160" t="s">
        <v>348</v>
      </c>
      <c r="Q327" s="128">
        <v>80111600</v>
      </c>
      <c r="R327" s="167" t="s">
        <v>211</v>
      </c>
      <c r="S327" s="162" t="str">
        <f>MID(PAA[[#This Row],[Meta Proyecto de Inversión]],1,4)</f>
        <v>8173</v>
      </c>
      <c r="T327" s="162" t="str">
        <f>MID(PAA[[#This Row],[Meta Proyecto de Inversión]],6,1)</f>
        <v>2</v>
      </c>
      <c r="U327" s="163" t="str">
        <f>IFERROR(VLOOKUP(N327,TD!$B$50:$F$54,2,0)," ")</f>
        <v>O230117</v>
      </c>
      <c r="V327" s="163" t="str">
        <f>IFERROR(VLOOKUP(N327,TD!$B$50:$F$54,3,0)," ")</f>
        <v>4503</v>
      </c>
      <c r="W327" s="163">
        <f>IFERROR(VLOOKUP(N327,TD!$B$50:$F$54,4,0)," ")</f>
        <v>20240255</v>
      </c>
      <c r="X327" s="162" t="s">
        <v>164</v>
      </c>
      <c r="Y327" s="163" t="str">
        <f>IFERROR(VLOOKUP(X327,TD!$J$51:$K$64,2,0)," ")</f>
        <v>Servicio de atención a incidentes y emergencias.</v>
      </c>
      <c r="Z327" s="164" t="str">
        <f t="shared" si="16"/>
        <v>04-Servicio de atención a incidentes y emergencias.</v>
      </c>
      <c r="AA327" s="162" t="s">
        <v>221</v>
      </c>
      <c r="AB327" s="163" t="str">
        <f>IFERROR(VLOOKUP(AA327,TD!$N$51:$O$66,2,0)," ")</f>
        <v>Servicio de atención a emergencias y desastres</v>
      </c>
      <c r="AC327" s="164" t="str">
        <f t="shared" si="17"/>
        <v>004_Servicio de atención a emergencias y desastres</v>
      </c>
      <c r="AD327" s="164" t="str">
        <f t="shared" si="18"/>
        <v>04-Servicio de atención a incidentes y emergencias. 004_Servicio de atención a emergencias y desastres</v>
      </c>
      <c r="AE327" s="163" t="str">
        <f t="shared" si="19"/>
        <v>O23011745032024025504004</v>
      </c>
      <c r="AF327" s="163" t="str">
        <f>IFERROR(VLOOKUP(AD327,TD!$J$66:$K$89,2,0)," ")</f>
        <v>PM/0131/0104/45030040255</v>
      </c>
      <c r="AG327" s="118" t="s">
        <v>385</v>
      </c>
      <c r="AH327" s="162" t="s">
        <v>193</v>
      </c>
      <c r="AI327" s="165" t="str">
        <f>CONCATENATE(PAA[[#This Row],[Id Interno]],"-",PAA[[#This Row],[tipo de Contrato (TH talento humano - B/S bienes y/o servicios)]],"-",S327,"-",T327,"-",PAA[[#This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28" spans="2:35" ht="70" x14ac:dyDescent="0.35">
      <c r="B328" s="23">
        <v>20260305</v>
      </c>
      <c r="C328" s="99" t="s">
        <v>859</v>
      </c>
      <c r="D328" s="99" t="s">
        <v>105</v>
      </c>
      <c r="E328" s="99" t="s">
        <v>363</v>
      </c>
      <c r="F328" s="160" t="s">
        <v>144</v>
      </c>
      <c r="G328" s="160" t="s">
        <v>373</v>
      </c>
      <c r="H328" s="166">
        <v>9</v>
      </c>
      <c r="I328" s="166">
        <v>0</v>
      </c>
      <c r="J328" s="118">
        <v>29700000</v>
      </c>
      <c r="K328" s="126" t="s">
        <v>398</v>
      </c>
      <c r="L328" s="160" t="s">
        <v>158</v>
      </c>
      <c r="M328" s="167" t="s">
        <v>421</v>
      </c>
      <c r="N328" s="99" t="s">
        <v>198</v>
      </c>
      <c r="O328" s="150" t="s">
        <v>926</v>
      </c>
      <c r="P328" s="160" t="s">
        <v>348</v>
      </c>
      <c r="Q328" s="128">
        <v>80111600</v>
      </c>
      <c r="R328" s="167" t="s">
        <v>211</v>
      </c>
      <c r="S328" s="162" t="str">
        <f>MID(PAA[[#This Row],[Meta Proyecto de Inversión]],1,4)</f>
        <v>8173</v>
      </c>
      <c r="T328" s="162" t="str">
        <f>MID(PAA[[#This Row],[Meta Proyecto de Inversión]],6,1)</f>
        <v>2</v>
      </c>
      <c r="U328" s="163" t="str">
        <f>IFERROR(VLOOKUP(N328,TD!$B$50:$F$54,2,0)," ")</f>
        <v>O230117</v>
      </c>
      <c r="V328" s="163" t="str">
        <f>IFERROR(VLOOKUP(N328,TD!$B$50:$F$54,3,0)," ")</f>
        <v>4503</v>
      </c>
      <c r="W328" s="163">
        <f>IFERROR(VLOOKUP(N328,TD!$B$50:$F$54,4,0)," ")</f>
        <v>20240255</v>
      </c>
      <c r="X328" s="162" t="s">
        <v>164</v>
      </c>
      <c r="Y328" s="163" t="str">
        <f>IFERROR(VLOOKUP(X328,TD!$J$51:$K$64,2,0)," ")</f>
        <v>Servicio de atención a incidentes y emergencias.</v>
      </c>
      <c r="Z328" s="164" t="str">
        <f t="shared" si="16"/>
        <v>04-Servicio de atención a incidentes y emergencias.</v>
      </c>
      <c r="AA328" s="162" t="s">
        <v>221</v>
      </c>
      <c r="AB328" s="163" t="str">
        <f>IFERROR(VLOOKUP(AA328,TD!$N$51:$O$66,2,0)," ")</f>
        <v>Servicio de atención a emergencias y desastres</v>
      </c>
      <c r="AC328" s="164" t="str">
        <f t="shared" si="17"/>
        <v>004_Servicio de atención a emergencias y desastres</v>
      </c>
      <c r="AD328" s="164" t="str">
        <f t="shared" si="18"/>
        <v>04-Servicio de atención a incidentes y emergencias. 004_Servicio de atención a emergencias y desastres</v>
      </c>
      <c r="AE328" s="163" t="str">
        <f t="shared" si="19"/>
        <v>O23011745032024025504004</v>
      </c>
      <c r="AF328" s="163" t="str">
        <f>IFERROR(VLOOKUP(AD328,TD!$J$66:$K$89,2,0)," ")</f>
        <v>PM/0131/0104/45030040255</v>
      </c>
      <c r="AG328" s="118" t="s">
        <v>385</v>
      </c>
      <c r="AH328" s="162" t="s">
        <v>193</v>
      </c>
      <c r="AI328" s="165" t="str">
        <f>CONCATENATE(PAA[[#This Row],[Id Interno]],"-",PAA[[#This Row],[tipo de Contrato (TH talento humano - B/S bienes y/o servicios)]],"-",S328,"-",T328,"-",PAA[[#This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29" spans="2:35" ht="56" x14ac:dyDescent="0.35">
      <c r="B329" s="23">
        <v>20260306</v>
      </c>
      <c r="C329" s="99" t="s">
        <v>860</v>
      </c>
      <c r="D329" s="99" t="s">
        <v>105</v>
      </c>
      <c r="E329" s="99" t="s">
        <v>363</v>
      </c>
      <c r="F329" s="160" t="s">
        <v>144</v>
      </c>
      <c r="G329" s="160" t="s">
        <v>373</v>
      </c>
      <c r="H329" s="166">
        <v>10</v>
      </c>
      <c r="I329" s="166">
        <v>0</v>
      </c>
      <c r="J329" s="118">
        <v>67000000</v>
      </c>
      <c r="K329" s="126" t="s">
        <v>398</v>
      </c>
      <c r="L329" s="160" t="s">
        <v>158</v>
      </c>
      <c r="M329" s="167" t="s">
        <v>421</v>
      </c>
      <c r="N329" s="99" t="s">
        <v>198</v>
      </c>
      <c r="O329" s="150" t="s">
        <v>926</v>
      </c>
      <c r="P329" s="160" t="s">
        <v>348</v>
      </c>
      <c r="Q329" s="128">
        <v>80111600</v>
      </c>
      <c r="R329" s="167" t="s">
        <v>211</v>
      </c>
      <c r="S329" s="162" t="str">
        <f>MID(PAA[[#This Row],[Meta Proyecto de Inversión]],1,4)</f>
        <v>8173</v>
      </c>
      <c r="T329" s="162" t="str">
        <f>MID(PAA[[#This Row],[Meta Proyecto de Inversión]],6,1)</f>
        <v>2</v>
      </c>
      <c r="U329" s="163" t="str">
        <f>IFERROR(VLOOKUP(N329,TD!$B$50:$F$54,2,0)," ")</f>
        <v>O230117</v>
      </c>
      <c r="V329" s="163" t="str">
        <f>IFERROR(VLOOKUP(N329,TD!$B$50:$F$54,3,0)," ")</f>
        <v>4503</v>
      </c>
      <c r="W329" s="163">
        <f>IFERROR(VLOOKUP(N329,TD!$B$50:$F$54,4,0)," ")</f>
        <v>20240255</v>
      </c>
      <c r="X329" s="162" t="s">
        <v>164</v>
      </c>
      <c r="Y329" s="163" t="str">
        <f>IFERROR(VLOOKUP(X329,TD!$J$51:$K$64,2,0)," ")</f>
        <v>Servicio de atención a incidentes y emergencias.</v>
      </c>
      <c r="Z329" s="164" t="str">
        <f t="shared" si="16"/>
        <v>04-Servicio de atención a incidentes y emergencias.</v>
      </c>
      <c r="AA329" s="162" t="s">
        <v>221</v>
      </c>
      <c r="AB329" s="163" t="str">
        <f>IFERROR(VLOOKUP(AA329,TD!$N$51:$O$66,2,0)," ")</f>
        <v>Servicio de atención a emergencias y desastres</v>
      </c>
      <c r="AC329" s="164" t="str">
        <f t="shared" si="17"/>
        <v>004_Servicio de atención a emergencias y desastres</v>
      </c>
      <c r="AD329" s="164" t="str">
        <f t="shared" si="18"/>
        <v>04-Servicio de atención a incidentes y emergencias. 004_Servicio de atención a emergencias y desastres</v>
      </c>
      <c r="AE329" s="163" t="str">
        <f t="shared" si="19"/>
        <v>O23011745032024025504004</v>
      </c>
      <c r="AF329" s="163" t="str">
        <f>IFERROR(VLOOKUP(AD329,TD!$J$66:$K$89,2,0)," ")</f>
        <v>PM/0131/0104/45030040255</v>
      </c>
      <c r="AG329" s="118" t="s">
        <v>385</v>
      </c>
      <c r="AH329" s="162" t="s">
        <v>193</v>
      </c>
      <c r="AI329" s="165" t="str">
        <f>CONCATENATE(PAA[[#This Row],[Id Interno]],"-",PAA[[#This Row],[tipo de Contrato (TH talento humano - B/S bienes y/o servicios)]],"-",S329,"-",T329,"-",PAA[[#This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30" spans="2:35" ht="70" x14ac:dyDescent="0.35">
      <c r="B330" s="23">
        <v>20260307</v>
      </c>
      <c r="C330" s="99" t="s">
        <v>861</v>
      </c>
      <c r="D330" s="99" t="s">
        <v>105</v>
      </c>
      <c r="E330" s="99" t="s">
        <v>363</v>
      </c>
      <c r="F330" s="160" t="s">
        <v>144</v>
      </c>
      <c r="G330" s="160" t="s">
        <v>373</v>
      </c>
      <c r="H330" s="166">
        <v>10</v>
      </c>
      <c r="I330" s="166">
        <v>0</v>
      </c>
      <c r="J330" s="118">
        <v>67000000</v>
      </c>
      <c r="K330" s="126" t="s">
        <v>398</v>
      </c>
      <c r="L330" s="160" t="s">
        <v>158</v>
      </c>
      <c r="M330" s="167" t="s">
        <v>421</v>
      </c>
      <c r="N330" s="99" t="s">
        <v>198</v>
      </c>
      <c r="O330" s="150" t="s">
        <v>926</v>
      </c>
      <c r="P330" s="160" t="s">
        <v>348</v>
      </c>
      <c r="Q330" s="128">
        <v>80111600</v>
      </c>
      <c r="R330" s="167" t="s">
        <v>211</v>
      </c>
      <c r="S330" s="162" t="str">
        <f>MID(PAA[[#This Row],[Meta Proyecto de Inversión]],1,4)</f>
        <v>8173</v>
      </c>
      <c r="T330" s="162" t="str">
        <f>MID(PAA[[#This Row],[Meta Proyecto de Inversión]],6,1)</f>
        <v>2</v>
      </c>
      <c r="U330" s="163" t="str">
        <f>IFERROR(VLOOKUP(N330,TD!$B$50:$F$54,2,0)," ")</f>
        <v>O230117</v>
      </c>
      <c r="V330" s="163" t="str">
        <f>IFERROR(VLOOKUP(N330,TD!$B$50:$F$54,3,0)," ")</f>
        <v>4503</v>
      </c>
      <c r="W330" s="163">
        <f>IFERROR(VLOOKUP(N330,TD!$B$50:$F$54,4,0)," ")</f>
        <v>20240255</v>
      </c>
      <c r="X330" s="162" t="s">
        <v>164</v>
      </c>
      <c r="Y330" s="163" t="str">
        <f>IFERROR(VLOOKUP(X330,TD!$J$51:$K$64,2,0)," ")</f>
        <v>Servicio de atención a incidentes y emergencias.</v>
      </c>
      <c r="Z330" s="164" t="str">
        <f t="shared" si="16"/>
        <v>04-Servicio de atención a incidentes y emergencias.</v>
      </c>
      <c r="AA330" s="162" t="s">
        <v>221</v>
      </c>
      <c r="AB330" s="163" t="str">
        <f>IFERROR(VLOOKUP(AA330,TD!$N$51:$O$66,2,0)," ")</f>
        <v>Servicio de atención a emergencias y desastres</v>
      </c>
      <c r="AC330" s="164" t="str">
        <f t="shared" si="17"/>
        <v>004_Servicio de atención a emergencias y desastres</v>
      </c>
      <c r="AD330" s="164" t="str">
        <f t="shared" si="18"/>
        <v>04-Servicio de atención a incidentes y emergencias. 004_Servicio de atención a emergencias y desastres</v>
      </c>
      <c r="AE330" s="163" t="str">
        <f t="shared" si="19"/>
        <v>O23011745032024025504004</v>
      </c>
      <c r="AF330" s="163" t="str">
        <f>IFERROR(VLOOKUP(AD330,TD!$J$66:$K$89,2,0)," ")</f>
        <v>PM/0131/0104/45030040255</v>
      </c>
      <c r="AG330" s="118" t="s">
        <v>385</v>
      </c>
      <c r="AH330" s="162" t="s">
        <v>193</v>
      </c>
      <c r="AI330" s="165" t="str">
        <f>CONCATENATE(PAA[[#This Row],[Id Interno]],"-",PAA[[#This Row],[tipo de Contrato (TH talento humano - B/S bienes y/o servicios)]],"-",S330,"-",T330,"-",PAA[[#This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31" spans="2:35" ht="112" x14ac:dyDescent="0.35">
      <c r="B331" s="23">
        <v>20260308</v>
      </c>
      <c r="C331" s="99" t="s">
        <v>487</v>
      </c>
      <c r="D331" s="99" t="s">
        <v>105</v>
      </c>
      <c r="E331" s="99" t="s">
        <v>363</v>
      </c>
      <c r="F331" s="160" t="s">
        <v>144</v>
      </c>
      <c r="G331" s="160" t="s">
        <v>373</v>
      </c>
      <c r="H331" s="166">
        <v>4</v>
      </c>
      <c r="I331" s="166">
        <v>15</v>
      </c>
      <c r="J331" s="118">
        <v>29250000</v>
      </c>
      <c r="K331" s="126" t="s">
        <v>398</v>
      </c>
      <c r="L331" s="160" t="s">
        <v>158</v>
      </c>
      <c r="M331" s="167" t="s">
        <v>421</v>
      </c>
      <c r="N331" s="99" t="s">
        <v>198</v>
      </c>
      <c r="O331" s="150" t="s">
        <v>926</v>
      </c>
      <c r="P331" s="160" t="s">
        <v>348</v>
      </c>
      <c r="Q331" s="128">
        <v>80111600</v>
      </c>
      <c r="R331" s="167" t="s">
        <v>211</v>
      </c>
      <c r="S331" s="162" t="str">
        <f>MID(PAA[[#This Row],[Meta Proyecto de Inversión]],1,4)</f>
        <v>8173</v>
      </c>
      <c r="T331" s="162" t="str">
        <f>MID(PAA[[#This Row],[Meta Proyecto de Inversión]],6,1)</f>
        <v>2</v>
      </c>
      <c r="U331" s="163" t="str">
        <f>IFERROR(VLOOKUP(N331,TD!$B$50:$F$54,2,0)," ")</f>
        <v>O230117</v>
      </c>
      <c r="V331" s="163" t="str">
        <f>IFERROR(VLOOKUP(N331,TD!$B$50:$F$54,3,0)," ")</f>
        <v>4503</v>
      </c>
      <c r="W331" s="163">
        <f>IFERROR(VLOOKUP(N331,TD!$B$50:$F$54,4,0)," ")</f>
        <v>20240255</v>
      </c>
      <c r="X331" s="162" t="s">
        <v>164</v>
      </c>
      <c r="Y331" s="163" t="str">
        <f>IFERROR(VLOOKUP(X331,TD!$J$51:$K$64,2,0)," ")</f>
        <v>Servicio de atención a incidentes y emergencias.</v>
      </c>
      <c r="Z331" s="164" t="str">
        <f t="shared" si="16"/>
        <v>04-Servicio de atención a incidentes y emergencias.</v>
      </c>
      <c r="AA331" s="162" t="s">
        <v>221</v>
      </c>
      <c r="AB331" s="163" t="str">
        <f>IFERROR(VLOOKUP(AA331,TD!$N$51:$O$66,2,0)," ")</f>
        <v>Servicio de atención a emergencias y desastres</v>
      </c>
      <c r="AC331" s="164" t="str">
        <f t="shared" si="17"/>
        <v>004_Servicio de atención a emergencias y desastres</v>
      </c>
      <c r="AD331" s="164" t="str">
        <f t="shared" si="18"/>
        <v>04-Servicio de atención a incidentes y emergencias. 004_Servicio de atención a emergencias y desastres</v>
      </c>
      <c r="AE331" s="163" t="str">
        <f t="shared" si="19"/>
        <v>O23011745032024025504004</v>
      </c>
      <c r="AF331" s="163" t="str">
        <f>IFERROR(VLOOKUP(AD331,TD!$J$66:$K$89,2,0)," ")</f>
        <v>PM/0131/0104/45030040255</v>
      </c>
      <c r="AG331" s="118" t="s">
        <v>385</v>
      </c>
      <c r="AH331" s="162" t="s">
        <v>194</v>
      </c>
      <c r="AI331" s="165" t="str">
        <f>CONCATENATE(PAA[[#This Row],[Id Interno]],"-",PAA[[#This Row],[tipo de Contrato (TH talento humano - B/S bienes y/o servicios)]],"-",S331,"-",T331,"-",PAA[[#This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32" spans="2:35" ht="112" x14ac:dyDescent="0.35">
      <c r="B332" s="23">
        <v>20260309</v>
      </c>
      <c r="C332" s="99" t="s">
        <v>488</v>
      </c>
      <c r="D332" s="99" t="s">
        <v>105</v>
      </c>
      <c r="E332" s="99" t="s">
        <v>363</v>
      </c>
      <c r="F332" s="160" t="s">
        <v>144</v>
      </c>
      <c r="G332" s="160" t="s">
        <v>373</v>
      </c>
      <c r="H332" s="166">
        <v>4</v>
      </c>
      <c r="I332" s="166">
        <v>15</v>
      </c>
      <c r="J332" s="118">
        <v>31500000</v>
      </c>
      <c r="K332" s="126" t="s">
        <v>398</v>
      </c>
      <c r="L332" s="160" t="s">
        <v>158</v>
      </c>
      <c r="M332" s="167" t="s">
        <v>421</v>
      </c>
      <c r="N332" s="99" t="s">
        <v>198</v>
      </c>
      <c r="O332" s="150" t="s">
        <v>926</v>
      </c>
      <c r="P332" s="160" t="s">
        <v>348</v>
      </c>
      <c r="Q332" s="128">
        <v>80111600</v>
      </c>
      <c r="R332" s="167" t="s">
        <v>211</v>
      </c>
      <c r="S332" s="162" t="str">
        <f>MID(PAA[[#This Row],[Meta Proyecto de Inversión]],1,4)</f>
        <v>8173</v>
      </c>
      <c r="T332" s="162" t="str">
        <f>MID(PAA[[#This Row],[Meta Proyecto de Inversión]],6,1)</f>
        <v>2</v>
      </c>
      <c r="U332" s="163" t="str">
        <f>IFERROR(VLOOKUP(N332,TD!$B$50:$F$54,2,0)," ")</f>
        <v>O230117</v>
      </c>
      <c r="V332" s="163" t="str">
        <f>IFERROR(VLOOKUP(N332,TD!$B$50:$F$54,3,0)," ")</f>
        <v>4503</v>
      </c>
      <c r="W332" s="163">
        <f>IFERROR(VLOOKUP(N332,TD!$B$50:$F$54,4,0)," ")</f>
        <v>20240255</v>
      </c>
      <c r="X332" s="162" t="s">
        <v>164</v>
      </c>
      <c r="Y332" s="163" t="str">
        <f>IFERROR(VLOOKUP(X332,TD!$J$51:$K$64,2,0)," ")</f>
        <v>Servicio de atención a incidentes y emergencias.</v>
      </c>
      <c r="Z332" s="164" t="str">
        <f t="shared" ref="Z332:Z395" si="20">CONCATENATE(X332,"-",Y332)</f>
        <v>04-Servicio de atención a incidentes y emergencias.</v>
      </c>
      <c r="AA332" s="162" t="s">
        <v>221</v>
      </c>
      <c r="AB332" s="163" t="str">
        <f>IFERROR(VLOOKUP(AA332,TD!$N$51:$O$66,2,0)," ")</f>
        <v>Servicio de atención a emergencias y desastres</v>
      </c>
      <c r="AC332" s="164" t="str">
        <f t="shared" ref="AC332:AC395" si="21">CONCATENATE(AA332,"_",AB332)</f>
        <v>004_Servicio de atención a emergencias y desastres</v>
      </c>
      <c r="AD332" s="164" t="str">
        <f t="shared" ref="AD332:AD395" si="22">CONCATENATE(Z332," ",AC332)</f>
        <v>04-Servicio de atención a incidentes y emergencias. 004_Servicio de atención a emergencias y desastres</v>
      </c>
      <c r="AE332" s="163" t="str">
        <f t="shared" ref="AE332:AE395" si="23">CONCATENATE(U332,V332,W332,X332,AA332)</f>
        <v>O23011745032024025504004</v>
      </c>
      <c r="AF332" s="163" t="str">
        <f>IFERROR(VLOOKUP(AD332,TD!$J$66:$K$89,2,0)," ")</f>
        <v>PM/0131/0104/45030040255</v>
      </c>
      <c r="AG332" s="118" t="s">
        <v>385</v>
      </c>
      <c r="AH332" s="162" t="s">
        <v>194</v>
      </c>
      <c r="AI332" s="165" t="str">
        <f>CONCATENATE(PAA[[#This Row],[Id Interno]],"-",PAA[[#This Row],[tipo de Contrato (TH talento humano - B/S bienes y/o servicios)]],"-",S332,"-",T332,"-",PAA[[#This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33" spans="2:35" ht="70" x14ac:dyDescent="0.35">
      <c r="B333" s="23">
        <v>20260310</v>
      </c>
      <c r="C333" s="99" t="s">
        <v>862</v>
      </c>
      <c r="D333" s="99" t="s">
        <v>105</v>
      </c>
      <c r="E333" s="99" t="s">
        <v>363</v>
      </c>
      <c r="F333" s="160" t="s">
        <v>144</v>
      </c>
      <c r="G333" s="160" t="s">
        <v>373</v>
      </c>
      <c r="H333" s="166">
        <v>8</v>
      </c>
      <c r="I333" s="166">
        <v>0</v>
      </c>
      <c r="J333" s="118">
        <v>57600000</v>
      </c>
      <c r="K333" s="126" t="s">
        <v>398</v>
      </c>
      <c r="L333" s="160" t="s">
        <v>158</v>
      </c>
      <c r="M333" s="167" t="s">
        <v>421</v>
      </c>
      <c r="N333" s="99" t="s">
        <v>198</v>
      </c>
      <c r="O333" s="150" t="s">
        <v>926</v>
      </c>
      <c r="P333" s="160" t="s">
        <v>348</v>
      </c>
      <c r="Q333" s="128">
        <v>80111600</v>
      </c>
      <c r="R333" s="167" t="s">
        <v>211</v>
      </c>
      <c r="S333" s="162" t="str">
        <f>MID(PAA[[#This Row],[Meta Proyecto de Inversión]],1,4)</f>
        <v>8173</v>
      </c>
      <c r="T333" s="162" t="str">
        <f>MID(PAA[[#This Row],[Meta Proyecto de Inversión]],6,1)</f>
        <v>2</v>
      </c>
      <c r="U333" s="163" t="str">
        <f>IFERROR(VLOOKUP(N333,TD!$B$50:$F$54,2,0)," ")</f>
        <v>O230117</v>
      </c>
      <c r="V333" s="163" t="str">
        <f>IFERROR(VLOOKUP(N333,TD!$B$50:$F$54,3,0)," ")</f>
        <v>4503</v>
      </c>
      <c r="W333" s="163">
        <f>IFERROR(VLOOKUP(N333,TD!$B$50:$F$54,4,0)," ")</f>
        <v>20240255</v>
      </c>
      <c r="X333" s="162" t="s">
        <v>164</v>
      </c>
      <c r="Y333" s="163" t="str">
        <f>IFERROR(VLOOKUP(X333,TD!$J$51:$K$64,2,0)," ")</f>
        <v>Servicio de atención a incidentes y emergencias.</v>
      </c>
      <c r="Z333" s="164" t="str">
        <f t="shared" si="20"/>
        <v>04-Servicio de atención a incidentes y emergencias.</v>
      </c>
      <c r="AA333" s="162" t="s">
        <v>221</v>
      </c>
      <c r="AB333" s="163" t="str">
        <f>IFERROR(VLOOKUP(AA333,TD!$N$51:$O$66,2,0)," ")</f>
        <v>Servicio de atención a emergencias y desastres</v>
      </c>
      <c r="AC333" s="164" t="str">
        <f t="shared" si="21"/>
        <v>004_Servicio de atención a emergencias y desastres</v>
      </c>
      <c r="AD333" s="164" t="str">
        <f t="shared" si="22"/>
        <v>04-Servicio de atención a incidentes y emergencias. 004_Servicio de atención a emergencias y desastres</v>
      </c>
      <c r="AE333" s="163" t="str">
        <f t="shared" si="23"/>
        <v>O23011745032024025504004</v>
      </c>
      <c r="AF333" s="163" t="str">
        <f>IFERROR(VLOOKUP(AD333,TD!$J$66:$K$89,2,0)," ")</f>
        <v>PM/0131/0104/45030040255</v>
      </c>
      <c r="AG333" s="118" t="s">
        <v>385</v>
      </c>
      <c r="AH333" s="162" t="s">
        <v>193</v>
      </c>
      <c r="AI333" s="165" t="str">
        <f>CONCATENATE(PAA[[#This Row],[Id Interno]],"-",PAA[[#This Row],[tipo de Contrato (TH talento humano - B/S bienes y/o servicios)]],"-",S333,"-",T333,"-",PAA[[#This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34" spans="2:35" ht="84" x14ac:dyDescent="0.35">
      <c r="B334" s="23">
        <v>20260311</v>
      </c>
      <c r="C334" s="99" t="s">
        <v>489</v>
      </c>
      <c r="D334" s="99" t="s">
        <v>105</v>
      </c>
      <c r="E334" s="99" t="s">
        <v>363</v>
      </c>
      <c r="F334" s="160" t="s">
        <v>144</v>
      </c>
      <c r="G334" s="160" t="s">
        <v>373</v>
      </c>
      <c r="H334" s="166">
        <v>4</v>
      </c>
      <c r="I334" s="166">
        <v>15</v>
      </c>
      <c r="J334" s="118">
        <v>31500000</v>
      </c>
      <c r="K334" s="126" t="s">
        <v>398</v>
      </c>
      <c r="L334" s="160" t="s">
        <v>158</v>
      </c>
      <c r="M334" s="167" t="s">
        <v>421</v>
      </c>
      <c r="N334" s="99" t="s">
        <v>198</v>
      </c>
      <c r="O334" s="150" t="s">
        <v>926</v>
      </c>
      <c r="P334" s="160" t="s">
        <v>348</v>
      </c>
      <c r="Q334" s="128">
        <v>80111600</v>
      </c>
      <c r="R334" s="167" t="s">
        <v>211</v>
      </c>
      <c r="S334" s="162" t="str">
        <f>MID(PAA[[#This Row],[Meta Proyecto de Inversión]],1,4)</f>
        <v>8173</v>
      </c>
      <c r="T334" s="162" t="str">
        <f>MID(PAA[[#This Row],[Meta Proyecto de Inversión]],6,1)</f>
        <v>2</v>
      </c>
      <c r="U334" s="163" t="str">
        <f>IFERROR(VLOOKUP(N334,TD!$B$50:$F$54,2,0)," ")</f>
        <v>O230117</v>
      </c>
      <c r="V334" s="163" t="str">
        <f>IFERROR(VLOOKUP(N334,TD!$B$50:$F$54,3,0)," ")</f>
        <v>4503</v>
      </c>
      <c r="W334" s="163">
        <f>IFERROR(VLOOKUP(N334,TD!$B$50:$F$54,4,0)," ")</f>
        <v>20240255</v>
      </c>
      <c r="X334" s="162" t="s">
        <v>164</v>
      </c>
      <c r="Y334" s="163" t="str">
        <f>IFERROR(VLOOKUP(X334,TD!$J$51:$K$64,2,0)," ")</f>
        <v>Servicio de atención a incidentes y emergencias.</v>
      </c>
      <c r="Z334" s="164" t="str">
        <f t="shared" si="20"/>
        <v>04-Servicio de atención a incidentes y emergencias.</v>
      </c>
      <c r="AA334" s="162" t="s">
        <v>221</v>
      </c>
      <c r="AB334" s="163" t="str">
        <f>IFERROR(VLOOKUP(AA334,TD!$N$51:$O$66,2,0)," ")</f>
        <v>Servicio de atención a emergencias y desastres</v>
      </c>
      <c r="AC334" s="164" t="str">
        <f t="shared" si="21"/>
        <v>004_Servicio de atención a emergencias y desastres</v>
      </c>
      <c r="AD334" s="164" t="str">
        <f t="shared" si="22"/>
        <v>04-Servicio de atención a incidentes y emergencias. 004_Servicio de atención a emergencias y desastres</v>
      </c>
      <c r="AE334" s="163" t="str">
        <f t="shared" si="23"/>
        <v>O23011745032024025504004</v>
      </c>
      <c r="AF334" s="163" t="str">
        <f>IFERROR(VLOOKUP(AD334,TD!$J$66:$K$89,2,0)," ")</f>
        <v>PM/0131/0104/45030040255</v>
      </c>
      <c r="AG334" s="118" t="s">
        <v>385</v>
      </c>
      <c r="AH334" s="162" t="s">
        <v>194</v>
      </c>
      <c r="AI334" s="165" t="str">
        <f>CONCATENATE(PAA[[#This Row],[Id Interno]],"-",PAA[[#This Row],[tipo de Contrato (TH talento humano - B/S bienes y/o servicios)]],"-",S334,"-",T334,"-",PAA[[#This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35" spans="2:35" ht="84" x14ac:dyDescent="0.35">
      <c r="B335" s="23">
        <v>20260312</v>
      </c>
      <c r="C335" s="99" t="s">
        <v>490</v>
      </c>
      <c r="D335" s="99" t="s">
        <v>105</v>
      </c>
      <c r="E335" s="99" t="s">
        <v>363</v>
      </c>
      <c r="F335" s="160" t="s">
        <v>144</v>
      </c>
      <c r="G335" s="160" t="s">
        <v>373</v>
      </c>
      <c r="H335" s="166">
        <v>5</v>
      </c>
      <c r="I335" s="166">
        <v>0</v>
      </c>
      <c r="J335" s="118">
        <v>40000000</v>
      </c>
      <c r="K335" s="126" t="s">
        <v>398</v>
      </c>
      <c r="L335" s="160" t="s">
        <v>158</v>
      </c>
      <c r="M335" s="167" t="s">
        <v>421</v>
      </c>
      <c r="N335" s="99" t="s">
        <v>198</v>
      </c>
      <c r="O335" s="150" t="s">
        <v>926</v>
      </c>
      <c r="P335" s="160" t="s">
        <v>348</v>
      </c>
      <c r="Q335" s="128">
        <v>80111600</v>
      </c>
      <c r="R335" s="167" t="s">
        <v>211</v>
      </c>
      <c r="S335" s="162" t="str">
        <f>MID(PAA[[#This Row],[Meta Proyecto de Inversión]],1,4)</f>
        <v>8173</v>
      </c>
      <c r="T335" s="162" t="str">
        <f>MID(PAA[[#This Row],[Meta Proyecto de Inversión]],6,1)</f>
        <v>2</v>
      </c>
      <c r="U335" s="163" t="str">
        <f>IFERROR(VLOOKUP(N335,TD!$B$50:$F$54,2,0)," ")</f>
        <v>O230117</v>
      </c>
      <c r="V335" s="163" t="str">
        <f>IFERROR(VLOOKUP(N335,TD!$B$50:$F$54,3,0)," ")</f>
        <v>4503</v>
      </c>
      <c r="W335" s="163">
        <f>IFERROR(VLOOKUP(N335,TD!$B$50:$F$54,4,0)," ")</f>
        <v>20240255</v>
      </c>
      <c r="X335" s="162" t="s">
        <v>164</v>
      </c>
      <c r="Y335" s="163" t="str">
        <f>IFERROR(VLOOKUP(X335,TD!$J$51:$K$64,2,0)," ")</f>
        <v>Servicio de atención a incidentes y emergencias.</v>
      </c>
      <c r="Z335" s="164" t="str">
        <f t="shared" si="20"/>
        <v>04-Servicio de atención a incidentes y emergencias.</v>
      </c>
      <c r="AA335" s="162" t="s">
        <v>221</v>
      </c>
      <c r="AB335" s="163" t="str">
        <f>IFERROR(VLOOKUP(AA335,TD!$N$51:$O$66,2,0)," ")</f>
        <v>Servicio de atención a emergencias y desastres</v>
      </c>
      <c r="AC335" s="164" t="str">
        <f t="shared" si="21"/>
        <v>004_Servicio de atención a emergencias y desastres</v>
      </c>
      <c r="AD335" s="164" t="str">
        <f t="shared" si="22"/>
        <v>04-Servicio de atención a incidentes y emergencias. 004_Servicio de atención a emergencias y desastres</v>
      </c>
      <c r="AE335" s="163" t="str">
        <f t="shared" si="23"/>
        <v>O23011745032024025504004</v>
      </c>
      <c r="AF335" s="163" t="str">
        <f>IFERROR(VLOOKUP(AD335,TD!$J$66:$K$89,2,0)," ")</f>
        <v>PM/0131/0104/45030040255</v>
      </c>
      <c r="AG335" s="118" t="s">
        <v>385</v>
      </c>
      <c r="AH335" s="162" t="s">
        <v>194</v>
      </c>
      <c r="AI335" s="165" t="str">
        <f>CONCATENATE(PAA[[#This Row],[Id Interno]],"-",PAA[[#This Row],[tipo de Contrato (TH talento humano - B/S bienes y/o servicios)]],"-",S335,"-",T335,"-",PAA[[#This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36" spans="2:35" ht="70" x14ac:dyDescent="0.35">
      <c r="B336" s="23">
        <v>20260313</v>
      </c>
      <c r="C336" s="99" t="s">
        <v>863</v>
      </c>
      <c r="D336" s="99" t="s">
        <v>105</v>
      </c>
      <c r="E336" s="99" t="s">
        <v>363</v>
      </c>
      <c r="F336" s="160" t="s">
        <v>144</v>
      </c>
      <c r="G336" s="160" t="s">
        <v>373</v>
      </c>
      <c r="H336" s="166">
        <v>9</v>
      </c>
      <c r="I336" s="166">
        <v>0</v>
      </c>
      <c r="J336" s="118">
        <v>67500000</v>
      </c>
      <c r="K336" s="126" t="s">
        <v>398</v>
      </c>
      <c r="L336" s="160" t="s">
        <v>158</v>
      </c>
      <c r="M336" s="167" t="s">
        <v>421</v>
      </c>
      <c r="N336" s="99" t="s">
        <v>198</v>
      </c>
      <c r="O336" s="150" t="s">
        <v>926</v>
      </c>
      <c r="P336" s="160" t="s">
        <v>348</v>
      </c>
      <c r="Q336" s="128">
        <v>80111600</v>
      </c>
      <c r="R336" s="167" t="s">
        <v>211</v>
      </c>
      <c r="S336" s="162" t="str">
        <f>MID(PAA[[#This Row],[Meta Proyecto de Inversión]],1,4)</f>
        <v>8173</v>
      </c>
      <c r="T336" s="162" t="str">
        <f>MID(PAA[[#This Row],[Meta Proyecto de Inversión]],6,1)</f>
        <v>2</v>
      </c>
      <c r="U336" s="163" t="str">
        <f>IFERROR(VLOOKUP(N336,TD!$B$50:$F$54,2,0)," ")</f>
        <v>O230117</v>
      </c>
      <c r="V336" s="163" t="str">
        <f>IFERROR(VLOOKUP(N336,TD!$B$50:$F$54,3,0)," ")</f>
        <v>4503</v>
      </c>
      <c r="W336" s="163">
        <f>IFERROR(VLOOKUP(N336,TD!$B$50:$F$54,4,0)," ")</f>
        <v>20240255</v>
      </c>
      <c r="X336" s="162" t="s">
        <v>164</v>
      </c>
      <c r="Y336" s="163" t="str">
        <f>IFERROR(VLOOKUP(X336,TD!$J$51:$K$64,2,0)," ")</f>
        <v>Servicio de atención a incidentes y emergencias.</v>
      </c>
      <c r="Z336" s="164" t="str">
        <f t="shared" si="20"/>
        <v>04-Servicio de atención a incidentes y emergencias.</v>
      </c>
      <c r="AA336" s="162" t="s">
        <v>221</v>
      </c>
      <c r="AB336" s="163" t="str">
        <f>IFERROR(VLOOKUP(AA336,TD!$N$51:$O$66,2,0)," ")</f>
        <v>Servicio de atención a emergencias y desastres</v>
      </c>
      <c r="AC336" s="164" t="str">
        <f t="shared" si="21"/>
        <v>004_Servicio de atención a emergencias y desastres</v>
      </c>
      <c r="AD336" s="164" t="str">
        <f t="shared" si="22"/>
        <v>04-Servicio de atención a incidentes y emergencias. 004_Servicio de atención a emergencias y desastres</v>
      </c>
      <c r="AE336" s="163" t="str">
        <f t="shared" si="23"/>
        <v>O23011745032024025504004</v>
      </c>
      <c r="AF336" s="163" t="str">
        <f>IFERROR(VLOOKUP(AD336,TD!$J$66:$K$89,2,0)," ")</f>
        <v>PM/0131/0104/45030040255</v>
      </c>
      <c r="AG336" s="118" t="s">
        <v>385</v>
      </c>
      <c r="AH336" s="162" t="s">
        <v>193</v>
      </c>
      <c r="AI336" s="165" t="str">
        <f>CONCATENATE(PAA[[#This Row],[Id Interno]],"-",PAA[[#This Row],[tipo de Contrato (TH talento humano - B/S bienes y/o servicios)]],"-",S336,"-",T336,"-",PAA[[#This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37" spans="2:35" ht="84" x14ac:dyDescent="0.35">
      <c r="B337" s="23">
        <v>20260314</v>
      </c>
      <c r="C337" s="99" t="s">
        <v>491</v>
      </c>
      <c r="D337" s="99" t="s">
        <v>105</v>
      </c>
      <c r="E337" s="99" t="s">
        <v>363</v>
      </c>
      <c r="F337" s="160" t="s">
        <v>144</v>
      </c>
      <c r="G337" s="160" t="s">
        <v>373</v>
      </c>
      <c r="H337" s="166">
        <v>5</v>
      </c>
      <c r="I337" s="166">
        <v>0</v>
      </c>
      <c r="J337" s="118">
        <v>47500000</v>
      </c>
      <c r="K337" s="126" t="s">
        <v>398</v>
      </c>
      <c r="L337" s="160" t="s">
        <v>158</v>
      </c>
      <c r="M337" s="167" t="s">
        <v>421</v>
      </c>
      <c r="N337" s="99" t="s">
        <v>198</v>
      </c>
      <c r="O337" s="150" t="s">
        <v>926</v>
      </c>
      <c r="P337" s="160" t="s">
        <v>348</v>
      </c>
      <c r="Q337" s="128">
        <v>80111600</v>
      </c>
      <c r="R337" s="167" t="s">
        <v>211</v>
      </c>
      <c r="S337" s="162" t="str">
        <f>MID(PAA[[#This Row],[Meta Proyecto de Inversión]],1,4)</f>
        <v>8173</v>
      </c>
      <c r="T337" s="162" t="str">
        <f>MID(PAA[[#This Row],[Meta Proyecto de Inversión]],6,1)</f>
        <v>2</v>
      </c>
      <c r="U337" s="163" t="str">
        <f>IFERROR(VLOOKUP(N337,TD!$B$50:$F$54,2,0)," ")</f>
        <v>O230117</v>
      </c>
      <c r="V337" s="163" t="str">
        <f>IFERROR(VLOOKUP(N337,TD!$B$50:$F$54,3,0)," ")</f>
        <v>4503</v>
      </c>
      <c r="W337" s="163">
        <f>IFERROR(VLOOKUP(N337,TD!$B$50:$F$54,4,0)," ")</f>
        <v>20240255</v>
      </c>
      <c r="X337" s="162" t="s">
        <v>164</v>
      </c>
      <c r="Y337" s="163" t="str">
        <f>IFERROR(VLOOKUP(X337,TD!$J$51:$K$64,2,0)," ")</f>
        <v>Servicio de atención a incidentes y emergencias.</v>
      </c>
      <c r="Z337" s="164" t="str">
        <f t="shared" si="20"/>
        <v>04-Servicio de atención a incidentes y emergencias.</v>
      </c>
      <c r="AA337" s="162" t="s">
        <v>221</v>
      </c>
      <c r="AB337" s="163" t="str">
        <f>IFERROR(VLOOKUP(AA337,TD!$N$51:$O$66,2,0)," ")</f>
        <v>Servicio de atención a emergencias y desastres</v>
      </c>
      <c r="AC337" s="164" t="str">
        <f t="shared" si="21"/>
        <v>004_Servicio de atención a emergencias y desastres</v>
      </c>
      <c r="AD337" s="164" t="str">
        <f t="shared" si="22"/>
        <v>04-Servicio de atención a incidentes y emergencias. 004_Servicio de atención a emergencias y desastres</v>
      </c>
      <c r="AE337" s="163" t="str">
        <f t="shared" si="23"/>
        <v>O23011745032024025504004</v>
      </c>
      <c r="AF337" s="163" t="str">
        <f>IFERROR(VLOOKUP(AD337,TD!$J$66:$K$89,2,0)," ")</f>
        <v>PM/0131/0104/45030040255</v>
      </c>
      <c r="AG337" s="118" t="s">
        <v>385</v>
      </c>
      <c r="AH337" s="162" t="s">
        <v>194</v>
      </c>
      <c r="AI337" s="165" t="str">
        <f>CONCATENATE(PAA[[#This Row],[Id Interno]],"-",PAA[[#This Row],[tipo de Contrato (TH talento humano - B/S bienes y/o servicios)]],"-",S337,"-",T337,"-",PAA[[#This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38" spans="2:35" ht="70" x14ac:dyDescent="0.35">
      <c r="B338" s="23">
        <v>20260315</v>
      </c>
      <c r="C338" s="99" t="s">
        <v>492</v>
      </c>
      <c r="D338" s="99" t="s">
        <v>105</v>
      </c>
      <c r="E338" s="99" t="s">
        <v>363</v>
      </c>
      <c r="F338" s="160" t="s">
        <v>144</v>
      </c>
      <c r="G338" s="160" t="s">
        <v>373</v>
      </c>
      <c r="H338" s="166">
        <v>5</v>
      </c>
      <c r="I338" s="166">
        <v>0</v>
      </c>
      <c r="J338" s="118">
        <v>35000000</v>
      </c>
      <c r="K338" s="126" t="s">
        <v>398</v>
      </c>
      <c r="L338" s="160" t="s">
        <v>158</v>
      </c>
      <c r="M338" s="167" t="s">
        <v>421</v>
      </c>
      <c r="N338" s="99" t="s">
        <v>198</v>
      </c>
      <c r="O338" s="150" t="s">
        <v>926</v>
      </c>
      <c r="P338" s="160" t="s">
        <v>348</v>
      </c>
      <c r="Q338" s="128">
        <v>80111600</v>
      </c>
      <c r="R338" s="167" t="s">
        <v>211</v>
      </c>
      <c r="S338" s="162" t="str">
        <f>MID(PAA[[#This Row],[Meta Proyecto de Inversión]],1,4)</f>
        <v>8173</v>
      </c>
      <c r="T338" s="162" t="str">
        <f>MID(PAA[[#This Row],[Meta Proyecto de Inversión]],6,1)</f>
        <v>2</v>
      </c>
      <c r="U338" s="163" t="str">
        <f>IFERROR(VLOOKUP(N338,TD!$B$50:$F$54,2,0)," ")</f>
        <v>O230117</v>
      </c>
      <c r="V338" s="163" t="str">
        <f>IFERROR(VLOOKUP(N338,TD!$B$50:$F$54,3,0)," ")</f>
        <v>4503</v>
      </c>
      <c r="W338" s="163">
        <f>IFERROR(VLOOKUP(N338,TD!$B$50:$F$54,4,0)," ")</f>
        <v>20240255</v>
      </c>
      <c r="X338" s="162" t="s">
        <v>164</v>
      </c>
      <c r="Y338" s="163" t="str">
        <f>IFERROR(VLOOKUP(X338,TD!$J$51:$K$64,2,0)," ")</f>
        <v>Servicio de atención a incidentes y emergencias.</v>
      </c>
      <c r="Z338" s="164" t="str">
        <f t="shared" si="20"/>
        <v>04-Servicio de atención a incidentes y emergencias.</v>
      </c>
      <c r="AA338" s="162" t="s">
        <v>221</v>
      </c>
      <c r="AB338" s="163" t="str">
        <f>IFERROR(VLOOKUP(AA338,TD!$N$51:$O$66,2,0)," ")</f>
        <v>Servicio de atención a emergencias y desastres</v>
      </c>
      <c r="AC338" s="164" t="str">
        <f t="shared" si="21"/>
        <v>004_Servicio de atención a emergencias y desastres</v>
      </c>
      <c r="AD338" s="164" t="str">
        <f t="shared" si="22"/>
        <v>04-Servicio de atención a incidentes y emergencias. 004_Servicio de atención a emergencias y desastres</v>
      </c>
      <c r="AE338" s="163" t="str">
        <f t="shared" si="23"/>
        <v>O23011745032024025504004</v>
      </c>
      <c r="AF338" s="163" t="str">
        <f>IFERROR(VLOOKUP(AD338,TD!$J$66:$K$89,2,0)," ")</f>
        <v>PM/0131/0104/45030040255</v>
      </c>
      <c r="AG338" s="118" t="s">
        <v>385</v>
      </c>
      <c r="AH338" s="162" t="s">
        <v>194</v>
      </c>
      <c r="AI338" s="165" t="str">
        <f>CONCATENATE(PAA[[#This Row],[Id Interno]],"-",PAA[[#This Row],[tipo de Contrato (TH talento humano - B/S bienes y/o servicios)]],"-",S338,"-",T338,"-",PAA[[#This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39" spans="2:35" ht="84" x14ac:dyDescent="0.35">
      <c r="B339" s="23">
        <v>20260316</v>
      </c>
      <c r="C339" s="99" t="s">
        <v>864</v>
      </c>
      <c r="D339" s="99" t="s">
        <v>105</v>
      </c>
      <c r="E339" s="99" t="s">
        <v>363</v>
      </c>
      <c r="F339" s="160" t="s">
        <v>144</v>
      </c>
      <c r="G339" s="160" t="s">
        <v>373</v>
      </c>
      <c r="H339" s="166">
        <v>9</v>
      </c>
      <c r="I339" s="166">
        <v>0</v>
      </c>
      <c r="J339" s="118">
        <v>80715000</v>
      </c>
      <c r="K339" s="126" t="s">
        <v>398</v>
      </c>
      <c r="L339" s="160" t="s">
        <v>158</v>
      </c>
      <c r="M339" s="167" t="s">
        <v>421</v>
      </c>
      <c r="N339" s="99" t="s">
        <v>198</v>
      </c>
      <c r="O339" s="150" t="s">
        <v>926</v>
      </c>
      <c r="P339" s="160" t="s">
        <v>348</v>
      </c>
      <c r="Q339" s="128">
        <v>80111600</v>
      </c>
      <c r="R339" s="167" t="s">
        <v>211</v>
      </c>
      <c r="S339" s="162" t="str">
        <f>MID(PAA[[#This Row],[Meta Proyecto de Inversión]],1,4)</f>
        <v>8173</v>
      </c>
      <c r="T339" s="162" t="str">
        <f>MID(PAA[[#This Row],[Meta Proyecto de Inversión]],6,1)</f>
        <v>2</v>
      </c>
      <c r="U339" s="163" t="str">
        <f>IFERROR(VLOOKUP(N339,TD!$B$50:$F$54,2,0)," ")</f>
        <v>O230117</v>
      </c>
      <c r="V339" s="163" t="str">
        <f>IFERROR(VLOOKUP(N339,TD!$B$50:$F$54,3,0)," ")</f>
        <v>4503</v>
      </c>
      <c r="W339" s="163">
        <f>IFERROR(VLOOKUP(N339,TD!$B$50:$F$54,4,0)," ")</f>
        <v>20240255</v>
      </c>
      <c r="X339" s="162" t="s">
        <v>164</v>
      </c>
      <c r="Y339" s="163" t="str">
        <f>IFERROR(VLOOKUP(X339,TD!$J$51:$K$64,2,0)," ")</f>
        <v>Servicio de atención a incidentes y emergencias.</v>
      </c>
      <c r="Z339" s="164" t="str">
        <f t="shared" si="20"/>
        <v>04-Servicio de atención a incidentes y emergencias.</v>
      </c>
      <c r="AA339" s="162" t="s">
        <v>221</v>
      </c>
      <c r="AB339" s="163" t="str">
        <f>IFERROR(VLOOKUP(AA339,TD!$N$51:$O$66,2,0)," ")</f>
        <v>Servicio de atención a emergencias y desastres</v>
      </c>
      <c r="AC339" s="164" t="str">
        <f t="shared" si="21"/>
        <v>004_Servicio de atención a emergencias y desastres</v>
      </c>
      <c r="AD339" s="164" t="str">
        <f t="shared" si="22"/>
        <v>04-Servicio de atención a incidentes y emergencias. 004_Servicio de atención a emergencias y desastres</v>
      </c>
      <c r="AE339" s="163" t="str">
        <f t="shared" si="23"/>
        <v>O23011745032024025504004</v>
      </c>
      <c r="AF339" s="163" t="str">
        <f>IFERROR(VLOOKUP(AD339,TD!$J$66:$K$89,2,0)," ")</f>
        <v>PM/0131/0104/45030040255</v>
      </c>
      <c r="AG339" s="118" t="s">
        <v>385</v>
      </c>
      <c r="AH339" s="162" t="s">
        <v>193</v>
      </c>
      <c r="AI339" s="165" t="str">
        <f>CONCATENATE(PAA[[#This Row],[Id Interno]],"-",PAA[[#This Row],[tipo de Contrato (TH talento humano - B/S bienes y/o servicios)]],"-",S339,"-",T339,"-",PAA[[#This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40" spans="2:35" ht="70" x14ac:dyDescent="0.35">
      <c r="B340" s="23">
        <v>20260317</v>
      </c>
      <c r="C340" s="99" t="s">
        <v>493</v>
      </c>
      <c r="D340" s="99" t="s">
        <v>119</v>
      </c>
      <c r="E340" s="99" t="s">
        <v>402</v>
      </c>
      <c r="F340" s="160" t="s">
        <v>128</v>
      </c>
      <c r="G340" s="160" t="s">
        <v>373</v>
      </c>
      <c r="H340" s="166">
        <v>12</v>
      </c>
      <c r="I340" s="166">
        <v>0</v>
      </c>
      <c r="J340" s="118">
        <v>6914369000</v>
      </c>
      <c r="K340" s="126" t="s">
        <v>398</v>
      </c>
      <c r="L340" s="160" t="s">
        <v>158</v>
      </c>
      <c r="M340" s="167" t="s">
        <v>421</v>
      </c>
      <c r="N340" s="99" t="s">
        <v>198</v>
      </c>
      <c r="O340" s="150" t="s">
        <v>926</v>
      </c>
      <c r="P340" s="160" t="s">
        <v>566</v>
      </c>
      <c r="Q340" s="128">
        <v>80111600</v>
      </c>
      <c r="R340" s="167" t="s">
        <v>212</v>
      </c>
      <c r="S340" s="162" t="str">
        <f>MID(PAA[[#This Row],[Meta Proyecto de Inversión]],1,4)</f>
        <v>8173</v>
      </c>
      <c r="T340" s="162" t="str">
        <f>MID(PAA[[#This Row],[Meta Proyecto de Inversión]],6,1)</f>
        <v>3</v>
      </c>
      <c r="U340" s="163" t="str">
        <f>IFERROR(VLOOKUP(N340,TD!$B$50:$F$54,2,0)," ")</f>
        <v>O230117</v>
      </c>
      <c r="V340" s="163" t="str">
        <f>IFERROR(VLOOKUP(N340,TD!$B$50:$F$54,3,0)," ")</f>
        <v>4503</v>
      </c>
      <c r="W340" s="163">
        <f>IFERROR(VLOOKUP(N340,TD!$B$50:$F$54,4,0)," ")</f>
        <v>20240255</v>
      </c>
      <c r="X340" s="162" t="s">
        <v>164</v>
      </c>
      <c r="Y340" s="163" t="str">
        <f>IFERROR(VLOOKUP(X340,TD!$J$51:$K$64,2,0)," ")</f>
        <v>Servicio de atención a incidentes y emergencias.</v>
      </c>
      <c r="Z340" s="164" t="str">
        <f t="shared" si="20"/>
        <v>04-Servicio de atención a incidentes y emergencias.</v>
      </c>
      <c r="AA340" s="162" t="s">
        <v>221</v>
      </c>
      <c r="AB340" s="163" t="str">
        <f>IFERROR(VLOOKUP(AA340,TD!$N$51:$O$66,2,0)," ")</f>
        <v>Servicio de atención a emergencias y desastres</v>
      </c>
      <c r="AC340" s="164" t="str">
        <f t="shared" si="21"/>
        <v>004_Servicio de atención a emergencias y desastres</v>
      </c>
      <c r="AD340" s="164" t="str">
        <f t="shared" si="22"/>
        <v>04-Servicio de atención a incidentes y emergencias. 004_Servicio de atención a emergencias y desastres</v>
      </c>
      <c r="AE340" s="163" t="str">
        <f t="shared" si="23"/>
        <v>O23011745032024025504004</v>
      </c>
      <c r="AF340" s="163" t="str">
        <f>IFERROR(VLOOKUP(AD340,TD!$J$66:$K$89,2,0)," ")</f>
        <v>PM/0131/0104/45030040255</v>
      </c>
      <c r="AG340" s="118" t="s">
        <v>80</v>
      </c>
      <c r="AH340" s="162" t="s">
        <v>194</v>
      </c>
      <c r="AI340" s="165" t="str">
        <f>CONCATENATE(PAA[[#This Row],[Id Interno]],"-",PAA[[#This Row],[tipo de Contrato (TH talento humano - B/S bienes y/o servicios)]],"-",S340,"-",T340,"-",PAA[[#This Row],[Objeto de la contratación]])</f>
        <v>20260317-BS-8173-3-Pago pasivo exigible Subdirección Operativa</v>
      </c>
    </row>
    <row r="341" spans="2:35" ht="56" x14ac:dyDescent="0.35">
      <c r="B341" s="23">
        <v>20260318</v>
      </c>
      <c r="C341" s="99" t="s">
        <v>983</v>
      </c>
      <c r="D341" s="99" t="s">
        <v>105</v>
      </c>
      <c r="E341" s="99" t="s">
        <v>363</v>
      </c>
      <c r="F341" s="160" t="s">
        <v>144</v>
      </c>
      <c r="G341" s="160" t="s">
        <v>379</v>
      </c>
      <c r="H341" s="166">
        <v>12</v>
      </c>
      <c r="I341" s="166">
        <v>0</v>
      </c>
      <c r="J341" s="118">
        <v>599899660</v>
      </c>
      <c r="K341" s="126" t="s">
        <v>398</v>
      </c>
      <c r="L341" s="160" t="s">
        <v>158</v>
      </c>
      <c r="M341" s="167" t="s">
        <v>421</v>
      </c>
      <c r="N341" s="99" t="s">
        <v>198</v>
      </c>
      <c r="O341" s="150" t="s">
        <v>926</v>
      </c>
      <c r="P341" s="160" t="s">
        <v>348</v>
      </c>
      <c r="Q341" s="128">
        <v>80111600</v>
      </c>
      <c r="R341" s="167" t="s">
        <v>211</v>
      </c>
      <c r="S341" s="162" t="str">
        <f>MID(PAA[[#This Row],[Meta Proyecto de Inversión]],1,4)</f>
        <v>8173</v>
      </c>
      <c r="T341" s="162" t="str">
        <f>MID(PAA[[#This Row],[Meta Proyecto de Inversión]],6,1)</f>
        <v>2</v>
      </c>
      <c r="U341" s="163" t="str">
        <f>IFERROR(VLOOKUP(N341,TD!$B$50:$F$54,2,0)," ")</f>
        <v>O230117</v>
      </c>
      <c r="V341" s="163" t="str">
        <f>IFERROR(VLOOKUP(N341,TD!$B$50:$F$54,3,0)," ")</f>
        <v>4503</v>
      </c>
      <c r="W341" s="163">
        <f>IFERROR(VLOOKUP(N341,TD!$B$50:$F$54,4,0)," ")</f>
        <v>20240255</v>
      </c>
      <c r="X341" s="162" t="s">
        <v>178</v>
      </c>
      <c r="Y341" s="163" t="str">
        <f>IFERROR(VLOOKUP(X341,TD!$J$51:$K$64,2,0)," ")</f>
        <v>Servicio de dotación y equipamento para el personal operativo</v>
      </c>
      <c r="Z341" s="164" t="str">
        <f t="shared" si="20"/>
        <v>10-Servicio de dotación y equipamento para el personal operativo</v>
      </c>
      <c r="AA341" s="162" t="s">
        <v>221</v>
      </c>
      <c r="AB341" s="163" t="str">
        <f>IFERROR(VLOOKUP(AA341,TD!$N$51:$O$66,2,0)," ")</f>
        <v>Servicio de atención a emergencias y desastres</v>
      </c>
      <c r="AC341" s="164" t="str">
        <f t="shared" si="21"/>
        <v>004_Servicio de atención a emergencias y desastres</v>
      </c>
      <c r="AD341" s="164" t="str">
        <f t="shared" si="22"/>
        <v>10-Servicio de dotación y equipamento para el personal operativo 004_Servicio de atención a emergencias y desastres</v>
      </c>
      <c r="AE341" s="163" t="str">
        <f t="shared" si="23"/>
        <v>O23011745032024025510004</v>
      </c>
      <c r="AF341" s="163" t="str">
        <f>IFERROR(VLOOKUP(AD341,TD!$J$66:$K$89,2,0)," ")</f>
        <v>PM/0131/0110/45030040255</v>
      </c>
      <c r="AG341" s="118" t="s">
        <v>902</v>
      </c>
      <c r="AH341" s="162" t="s">
        <v>193</v>
      </c>
      <c r="AI341" s="165" t="str">
        <f>CONCATENATE(PAA[[#This Row],[Id Interno]],"-",PAA[[#This Row],[tipo de Contrato (TH talento humano - B/S bienes y/o servicios)]],"-",S341,"-",T341,"-",PAA[[#This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42" spans="2:35" ht="70" x14ac:dyDescent="0.35">
      <c r="B342" s="23">
        <v>20260320</v>
      </c>
      <c r="C342" s="99" t="s">
        <v>865</v>
      </c>
      <c r="D342" s="99" t="s">
        <v>105</v>
      </c>
      <c r="E342" s="99" t="s">
        <v>363</v>
      </c>
      <c r="F342" s="160" t="s">
        <v>145</v>
      </c>
      <c r="G342" s="160" t="s">
        <v>379</v>
      </c>
      <c r="H342" s="166">
        <v>5</v>
      </c>
      <c r="I342" s="166">
        <v>15</v>
      </c>
      <c r="J342" s="118">
        <v>24915000</v>
      </c>
      <c r="K342" s="126" t="s">
        <v>398</v>
      </c>
      <c r="L342" s="160" t="s">
        <v>158</v>
      </c>
      <c r="M342" s="167" t="s">
        <v>421</v>
      </c>
      <c r="N342" s="99" t="s">
        <v>198</v>
      </c>
      <c r="O342" s="150" t="s">
        <v>926</v>
      </c>
      <c r="P342" s="160" t="s">
        <v>348</v>
      </c>
      <c r="Q342" s="128">
        <v>80111600</v>
      </c>
      <c r="R342" s="167" t="s">
        <v>211</v>
      </c>
      <c r="S342" s="162" t="str">
        <f>MID(PAA[[#This Row],[Meta Proyecto de Inversión]],1,4)</f>
        <v>8173</v>
      </c>
      <c r="T342" s="162" t="str">
        <f>MID(PAA[[#This Row],[Meta Proyecto de Inversión]],6,1)</f>
        <v>2</v>
      </c>
      <c r="U342" s="163" t="str">
        <f>IFERROR(VLOOKUP(N342,TD!$B$50:$F$54,2,0)," ")</f>
        <v>O230117</v>
      </c>
      <c r="V342" s="163" t="str">
        <f>IFERROR(VLOOKUP(N342,TD!$B$50:$F$54,3,0)," ")</f>
        <v>4503</v>
      </c>
      <c r="W342" s="163">
        <f>IFERROR(VLOOKUP(N342,TD!$B$50:$F$54,4,0)," ")</f>
        <v>20240255</v>
      </c>
      <c r="X342" s="162" t="s">
        <v>164</v>
      </c>
      <c r="Y342" s="163" t="str">
        <f>IFERROR(VLOOKUP(X342,TD!$J$51:$K$64,2,0)," ")</f>
        <v>Servicio de atención a incidentes y emergencias.</v>
      </c>
      <c r="Z342" s="164" t="str">
        <f t="shared" si="20"/>
        <v>04-Servicio de atención a incidentes y emergencias.</v>
      </c>
      <c r="AA342" s="162" t="s">
        <v>221</v>
      </c>
      <c r="AB342" s="163" t="str">
        <f>IFERROR(VLOOKUP(AA342,TD!$N$51:$O$66,2,0)," ")</f>
        <v>Servicio de atención a emergencias y desastres</v>
      </c>
      <c r="AC342" s="164" t="str">
        <f t="shared" si="21"/>
        <v>004_Servicio de atención a emergencias y desastres</v>
      </c>
      <c r="AD342" s="164" t="str">
        <f t="shared" si="22"/>
        <v>04-Servicio de atención a incidentes y emergencias. 004_Servicio de atención a emergencias y desastres</v>
      </c>
      <c r="AE342" s="163" t="str">
        <f t="shared" si="23"/>
        <v>O23011745032024025504004</v>
      </c>
      <c r="AF342" s="163" t="str">
        <f>IFERROR(VLOOKUP(AD342,TD!$J$66:$K$89,2,0)," ")</f>
        <v>PM/0131/0104/45030040255</v>
      </c>
      <c r="AG342" s="118" t="s">
        <v>385</v>
      </c>
      <c r="AH342" s="162" t="s">
        <v>193</v>
      </c>
      <c r="AI342" s="165" t="str">
        <f>CONCATENATE(PAA[[#This Row],[Id Interno]],"-",PAA[[#This Row],[tipo de Contrato (TH talento humano - B/S bienes y/o servicios)]],"-",S342,"-",T342,"-",PAA[[#This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43" spans="2:35" ht="70" x14ac:dyDescent="0.35">
      <c r="B343" s="23">
        <v>20260321</v>
      </c>
      <c r="C343" s="99" t="s">
        <v>866</v>
      </c>
      <c r="D343" s="99" t="s">
        <v>105</v>
      </c>
      <c r="E343" s="99" t="s">
        <v>363</v>
      </c>
      <c r="F343" s="160" t="s">
        <v>144</v>
      </c>
      <c r="G343" s="160" t="s">
        <v>379</v>
      </c>
      <c r="H343" s="166">
        <v>5</v>
      </c>
      <c r="I343" s="166">
        <v>0</v>
      </c>
      <c r="J343" s="118">
        <v>48500000</v>
      </c>
      <c r="K343" s="126" t="s">
        <v>398</v>
      </c>
      <c r="L343" s="160" t="s">
        <v>158</v>
      </c>
      <c r="M343" s="167" t="s">
        <v>421</v>
      </c>
      <c r="N343" s="99" t="s">
        <v>198</v>
      </c>
      <c r="O343" s="150" t="s">
        <v>926</v>
      </c>
      <c r="P343" s="160" t="s">
        <v>348</v>
      </c>
      <c r="Q343" s="128">
        <v>80111600</v>
      </c>
      <c r="R343" s="167" t="s">
        <v>211</v>
      </c>
      <c r="S343" s="162" t="str">
        <f>MID(PAA[[#This Row],[Meta Proyecto de Inversión]],1,4)</f>
        <v>8173</v>
      </c>
      <c r="T343" s="162" t="str">
        <f>MID(PAA[[#This Row],[Meta Proyecto de Inversión]],6,1)</f>
        <v>2</v>
      </c>
      <c r="U343" s="163" t="str">
        <f>IFERROR(VLOOKUP(N343,TD!$B$50:$F$54,2,0)," ")</f>
        <v>O230117</v>
      </c>
      <c r="V343" s="163" t="str">
        <f>IFERROR(VLOOKUP(N343,TD!$B$50:$F$54,3,0)," ")</f>
        <v>4503</v>
      </c>
      <c r="W343" s="163">
        <f>IFERROR(VLOOKUP(N343,TD!$B$50:$F$54,4,0)," ")</f>
        <v>20240255</v>
      </c>
      <c r="X343" s="162" t="s">
        <v>164</v>
      </c>
      <c r="Y343" s="163" t="str">
        <f>IFERROR(VLOOKUP(X343,TD!$J$51:$K$64,2,0)," ")</f>
        <v>Servicio de atención a incidentes y emergencias.</v>
      </c>
      <c r="Z343" s="164" t="str">
        <f t="shared" si="20"/>
        <v>04-Servicio de atención a incidentes y emergencias.</v>
      </c>
      <c r="AA343" s="162" t="s">
        <v>221</v>
      </c>
      <c r="AB343" s="163" t="str">
        <f>IFERROR(VLOOKUP(AA343,TD!$N$51:$O$66,2,0)," ")</f>
        <v>Servicio de atención a emergencias y desastres</v>
      </c>
      <c r="AC343" s="164" t="str">
        <f t="shared" si="21"/>
        <v>004_Servicio de atención a emergencias y desastres</v>
      </c>
      <c r="AD343" s="164" t="str">
        <f t="shared" si="22"/>
        <v>04-Servicio de atención a incidentes y emergencias. 004_Servicio de atención a emergencias y desastres</v>
      </c>
      <c r="AE343" s="163" t="str">
        <f t="shared" si="23"/>
        <v>O23011745032024025504004</v>
      </c>
      <c r="AF343" s="163" t="str">
        <f>IFERROR(VLOOKUP(AD343,TD!$J$66:$K$89,2,0)," ")</f>
        <v>PM/0131/0104/45030040255</v>
      </c>
      <c r="AG343" s="118" t="s">
        <v>385</v>
      </c>
      <c r="AH343" s="162" t="s">
        <v>193</v>
      </c>
      <c r="AI343" s="165" t="str">
        <f>CONCATENATE(PAA[[#This Row],[Id Interno]],"-",PAA[[#This Row],[tipo de Contrato (TH talento humano - B/S bienes y/o servicios)]],"-",S343,"-",T343,"-",PAA[[#This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44" spans="2:35" ht="70" x14ac:dyDescent="0.35">
      <c r="B344" s="23">
        <v>20260322</v>
      </c>
      <c r="C344" s="99" t="s">
        <v>867</v>
      </c>
      <c r="D344" s="99" t="s">
        <v>105</v>
      </c>
      <c r="E344" s="99" t="s">
        <v>363</v>
      </c>
      <c r="F344" s="160" t="s">
        <v>144</v>
      </c>
      <c r="G344" s="160" t="s">
        <v>379</v>
      </c>
      <c r="H344" s="166">
        <v>4</v>
      </c>
      <c r="I344" s="166">
        <v>0</v>
      </c>
      <c r="J344" s="118">
        <v>26400000</v>
      </c>
      <c r="K344" s="126" t="s">
        <v>398</v>
      </c>
      <c r="L344" s="160" t="s">
        <v>158</v>
      </c>
      <c r="M344" s="167" t="s">
        <v>421</v>
      </c>
      <c r="N344" s="99" t="s">
        <v>198</v>
      </c>
      <c r="O344" s="150" t="s">
        <v>926</v>
      </c>
      <c r="P344" s="160" t="s">
        <v>348</v>
      </c>
      <c r="Q344" s="128">
        <v>80111600</v>
      </c>
      <c r="R344" s="167" t="s">
        <v>211</v>
      </c>
      <c r="S344" s="162" t="str">
        <f>MID(PAA[[#This Row],[Meta Proyecto de Inversión]],1,4)</f>
        <v>8173</v>
      </c>
      <c r="T344" s="162" t="str">
        <f>MID(PAA[[#This Row],[Meta Proyecto de Inversión]],6,1)</f>
        <v>2</v>
      </c>
      <c r="U344" s="163" t="str">
        <f>IFERROR(VLOOKUP(N344,TD!$B$50:$F$54,2,0)," ")</f>
        <v>O230117</v>
      </c>
      <c r="V344" s="163" t="str">
        <f>IFERROR(VLOOKUP(N344,TD!$B$50:$F$54,3,0)," ")</f>
        <v>4503</v>
      </c>
      <c r="W344" s="163">
        <f>IFERROR(VLOOKUP(N344,TD!$B$50:$F$54,4,0)," ")</f>
        <v>20240255</v>
      </c>
      <c r="X344" s="162" t="s">
        <v>164</v>
      </c>
      <c r="Y344" s="163" t="str">
        <f>IFERROR(VLOOKUP(X344,TD!$J$51:$K$64,2,0)," ")</f>
        <v>Servicio de atención a incidentes y emergencias.</v>
      </c>
      <c r="Z344" s="164" t="str">
        <f t="shared" si="20"/>
        <v>04-Servicio de atención a incidentes y emergencias.</v>
      </c>
      <c r="AA344" s="162" t="s">
        <v>221</v>
      </c>
      <c r="AB344" s="163" t="str">
        <f>IFERROR(VLOOKUP(AA344,TD!$N$51:$O$66,2,0)," ")</f>
        <v>Servicio de atención a emergencias y desastres</v>
      </c>
      <c r="AC344" s="164" t="str">
        <f t="shared" si="21"/>
        <v>004_Servicio de atención a emergencias y desastres</v>
      </c>
      <c r="AD344" s="164" t="str">
        <f t="shared" si="22"/>
        <v>04-Servicio de atención a incidentes y emergencias. 004_Servicio de atención a emergencias y desastres</v>
      </c>
      <c r="AE344" s="163" t="str">
        <f t="shared" si="23"/>
        <v>O23011745032024025504004</v>
      </c>
      <c r="AF344" s="163" t="str">
        <f>IFERROR(VLOOKUP(AD344,TD!$J$66:$K$89,2,0)," ")</f>
        <v>PM/0131/0104/45030040255</v>
      </c>
      <c r="AG344" s="118" t="s">
        <v>385</v>
      </c>
      <c r="AH344" s="162" t="s">
        <v>193</v>
      </c>
      <c r="AI344" s="165" t="str">
        <f>CONCATENATE(PAA[[#This Row],[Id Interno]],"-",PAA[[#This Row],[tipo de Contrato (TH talento humano - B/S bienes y/o servicios)]],"-",S344,"-",T344,"-",PAA[[#This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45" spans="2:35" ht="98" x14ac:dyDescent="0.35">
      <c r="B345" s="23">
        <v>20260323</v>
      </c>
      <c r="C345" s="99" t="s">
        <v>868</v>
      </c>
      <c r="D345" s="99" t="s">
        <v>105</v>
      </c>
      <c r="E345" s="99" t="s">
        <v>363</v>
      </c>
      <c r="F345" s="160" t="s">
        <v>144</v>
      </c>
      <c r="G345" s="160" t="s">
        <v>379</v>
      </c>
      <c r="H345" s="166">
        <v>5</v>
      </c>
      <c r="I345" s="166">
        <v>0</v>
      </c>
      <c r="J345" s="118">
        <v>48500000</v>
      </c>
      <c r="K345" s="126" t="s">
        <v>398</v>
      </c>
      <c r="L345" s="160" t="s">
        <v>158</v>
      </c>
      <c r="M345" s="167" t="s">
        <v>421</v>
      </c>
      <c r="N345" s="99" t="s">
        <v>198</v>
      </c>
      <c r="O345" s="150" t="s">
        <v>926</v>
      </c>
      <c r="P345" s="160" t="s">
        <v>348</v>
      </c>
      <c r="Q345" s="128">
        <v>80111600</v>
      </c>
      <c r="R345" s="167" t="s">
        <v>211</v>
      </c>
      <c r="S345" s="162" t="str">
        <f>MID(PAA[[#This Row],[Meta Proyecto de Inversión]],1,4)</f>
        <v>8173</v>
      </c>
      <c r="T345" s="162" t="str">
        <f>MID(PAA[[#This Row],[Meta Proyecto de Inversión]],6,1)</f>
        <v>2</v>
      </c>
      <c r="U345" s="163" t="str">
        <f>IFERROR(VLOOKUP(N345,TD!$B$50:$F$54,2,0)," ")</f>
        <v>O230117</v>
      </c>
      <c r="V345" s="163" t="str">
        <f>IFERROR(VLOOKUP(N345,TD!$B$50:$F$54,3,0)," ")</f>
        <v>4503</v>
      </c>
      <c r="W345" s="163">
        <f>IFERROR(VLOOKUP(N345,TD!$B$50:$F$54,4,0)," ")</f>
        <v>20240255</v>
      </c>
      <c r="X345" s="162" t="s">
        <v>164</v>
      </c>
      <c r="Y345" s="163" t="str">
        <f>IFERROR(VLOOKUP(X345,TD!$J$51:$K$64,2,0)," ")</f>
        <v>Servicio de atención a incidentes y emergencias.</v>
      </c>
      <c r="Z345" s="164" t="str">
        <f t="shared" si="20"/>
        <v>04-Servicio de atención a incidentes y emergencias.</v>
      </c>
      <c r="AA345" s="162" t="s">
        <v>221</v>
      </c>
      <c r="AB345" s="163" t="str">
        <f>IFERROR(VLOOKUP(AA345,TD!$N$51:$O$66,2,0)," ")</f>
        <v>Servicio de atención a emergencias y desastres</v>
      </c>
      <c r="AC345" s="164" t="str">
        <f t="shared" si="21"/>
        <v>004_Servicio de atención a emergencias y desastres</v>
      </c>
      <c r="AD345" s="164" t="str">
        <f t="shared" si="22"/>
        <v>04-Servicio de atención a incidentes y emergencias. 004_Servicio de atención a emergencias y desastres</v>
      </c>
      <c r="AE345" s="163" t="str">
        <f t="shared" si="23"/>
        <v>O23011745032024025504004</v>
      </c>
      <c r="AF345" s="163" t="str">
        <f>IFERROR(VLOOKUP(AD345,TD!$J$66:$K$89,2,0)," ")</f>
        <v>PM/0131/0104/45030040255</v>
      </c>
      <c r="AG345" s="118" t="s">
        <v>385</v>
      </c>
      <c r="AH345" s="162" t="s">
        <v>193</v>
      </c>
      <c r="AI345" s="165" t="str">
        <f>CONCATENATE(PAA[[#This Row],[Id Interno]],"-",PAA[[#This Row],[tipo de Contrato (TH talento humano - B/S bienes y/o servicios)]],"-",S345,"-",T345,"-",PAA[[#This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46" spans="2:35" ht="56" x14ac:dyDescent="0.35">
      <c r="B346" s="23">
        <v>20260324</v>
      </c>
      <c r="C346" s="99" t="s">
        <v>869</v>
      </c>
      <c r="D346" s="99" t="s">
        <v>105</v>
      </c>
      <c r="E346" s="99" t="s">
        <v>363</v>
      </c>
      <c r="F346" s="160" t="s">
        <v>144</v>
      </c>
      <c r="G346" s="160" t="s">
        <v>379</v>
      </c>
      <c r="H346" s="166">
        <v>5</v>
      </c>
      <c r="I346" s="166">
        <v>0</v>
      </c>
      <c r="J346" s="118">
        <v>48500000</v>
      </c>
      <c r="K346" s="126" t="s">
        <v>398</v>
      </c>
      <c r="L346" s="160" t="s">
        <v>158</v>
      </c>
      <c r="M346" s="167" t="s">
        <v>421</v>
      </c>
      <c r="N346" s="99" t="s">
        <v>198</v>
      </c>
      <c r="O346" s="150" t="s">
        <v>926</v>
      </c>
      <c r="P346" s="160" t="s">
        <v>348</v>
      </c>
      <c r="Q346" s="128">
        <v>80111600</v>
      </c>
      <c r="R346" s="167" t="s">
        <v>211</v>
      </c>
      <c r="S346" s="162" t="str">
        <f>MID(PAA[[#This Row],[Meta Proyecto de Inversión]],1,4)</f>
        <v>8173</v>
      </c>
      <c r="T346" s="162" t="str">
        <f>MID(PAA[[#This Row],[Meta Proyecto de Inversión]],6,1)</f>
        <v>2</v>
      </c>
      <c r="U346" s="163" t="str">
        <f>IFERROR(VLOOKUP(N346,TD!$B$50:$F$54,2,0)," ")</f>
        <v>O230117</v>
      </c>
      <c r="V346" s="163" t="str">
        <f>IFERROR(VLOOKUP(N346,TD!$B$50:$F$54,3,0)," ")</f>
        <v>4503</v>
      </c>
      <c r="W346" s="163">
        <f>IFERROR(VLOOKUP(N346,TD!$B$50:$F$54,4,0)," ")</f>
        <v>20240255</v>
      </c>
      <c r="X346" s="162" t="s">
        <v>164</v>
      </c>
      <c r="Y346" s="163" t="str">
        <f>IFERROR(VLOOKUP(X346,TD!$J$51:$K$64,2,0)," ")</f>
        <v>Servicio de atención a incidentes y emergencias.</v>
      </c>
      <c r="Z346" s="164" t="str">
        <f t="shared" si="20"/>
        <v>04-Servicio de atención a incidentes y emergencias.</v>
      </c>
      <c r="AA346" s="162" t="s">
        <v>221</v>
      </c>
      <c r="AB346" s="163" t="str">
        <f>IFERROR(VLOOKUP(AA346,TD!$N$51:$O$66,2,0)," ")</f>
        <v>Servicio de atención a emergencias y desastres</v>
      </c>
      <c r="AC346" s="164" t="str">
        <f t="shared" si="21"/>
        <v>004_Servicio de atención a emergencias y desastres</v>
      </c>
      <c r="AD346" s="164" t="str">
        <f t="shared" si="22"/>
        <v>04-Servicio de atención a incidentes y emergencias. 004_Servicio de atención a emergencias y desastres</v>
      </c>
      <c r="AE346" s="163" t="str">
        <f t="shared" si="23"/>
        <v>O23011745032024025504004</v>
      </c>
      <c r="AF346" s="163" t="str">
        <f>IFERROR(VLOOKUP(AD346,TD!$J$66:$K$89,2,0)," ")</f>
        <v>PM/0131/0104/45030040255</v>
      </c>
      <c r="AG346" s="118" t="s">
        <v>385</v>
      </c>
      <c r="AH346" s="162" t="s">
        <v>193</v>
      </c>
      <c r="AI346" s="165" t="str">
        <f>CONCATENATE(PAA[[#This Row],[Id Interno]],"-",PAA[[#This Row],[tipo de Contrato (TH talento humano - B/S bienes y/o servicios)]],"-",S346,"-",T346,"-",PAA[[#This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47" spans="2:35" ht="70" x14ac:dyDescent="0.35">
      <c r="B347" s="23">
        <v>20260325</v>
      </c>
      <c r="C347" s="99" t="s">
        <v>870</v>
      </c>
      <c r="D347" s="99" t="s">
        <v>105</v>
      </c>
      <c r="E347" s="99" t="s">
        <v>363</v>
      </c>
      <c r="F347" s="160" t="s">
        <v>144</v>
      </c>
      <c r="G347" s="160" t="s">
        <v>379</v>
      </c>
      <c r="H347" s="166">
        <v>5</v>
      </c>
      <c r="I347" s="166">
        <v>0</v>
      </c>
      <c r="J347" s="118">
        <v>48500000</v>
      </c>
      <c r="K347" s="126" t="s">
        <v>398</v>
      </c>
      <c r="L347" s="160" t="s">
        <v>158</v>
      </c>
      <c r="M347" s="167" t="s">
        <v>421</v>
      </c>
      <c r="N347" s="99" t="s">
        <v>198</v>
      </c>
      <c r="O347" s="150" t="s">
        <v>926</v>
      </c>
      <c r="P347" s="160" t="s">
        <v>348</v>
      </c>
      <c r="Q347" s="128">
        <v>80111600</v>
      </c>
      <c r="R347" s="167" t="s">
        <v>211</v>
      </c>
      <c r="S347" s="162" t="str">
        <f>MID(PAA[[#This Row],[Meta Proyecto de Inversión]],1,4)</f>
        <v>8173</v>
      </c>
      <c r="T347" s="162" t="str">
        <f>MID(PAA[[#This Row],[Meta Proyecto de Inversión]],6,1)</f>
        <v>2</v>
      </c>
      <c r="U347" s="163" t="str">
        <f>IFERROR(VLOOKUP(N347,TD!$B$50:$F$54,2,0)," ")</f>
        <v>O230117</v>
      </c>
      <c r="V347" s="163" t="str">
        <f>IFERROR(VLOOKUP(N347,TD!$B$50:$F$54,3,0)," ")</f>
        <v>4503</v>
      </c>
      <c r="W347" s="163">
        <f>IFERROR(VLOOKUP(N347,TD!$B$50:$F$54,4,0)," ")</f>
        <v>20240255</v>
      </c>
      <c r="X347" s="162" t="s">
        <v>164</v>
      </c>
      <c r="Y347" s="163" t="str">
        <f>IFERROR(VLOOKUP(X347,TD!$J$51:$K$64,2,0)," ")</f>
        <v>Servicio de atención a incidentes y emergencias.</v>
      </c>
      <c r="Z347" s="164" t="str">
        <f t="shared" si="20"/>
        <v>04-Servicio de atención a incidentes y emergencias.</v>
      </c>
      <c r="AA347" s="162" t="s">
        <v>221</v>
      </c>
      <c r="AB347" s="163" t="str">
        <f>IFERROR(VLOOKUP(AA347,TD!$N$51:$O$66,2,0)," ")</f>
        <v>Servicio de atención a emergencias y desastres</v>
      </c>
      <c r="AC347" s="164" t="str">
        <f t="shared" si="21"/>
        <v>004_Servicio de atención a emergencias y desastres</v>
      </c>
      <c r="AD347" s="164" t="str">
        <f t="shared" si="22"/>
        <v>04-Servicio de atención a incidentes y emergencias. 004_Servicio de atención a emergencias y desastres</v>
      </c>
      <c r="AE347" s="163" t="str">
        <f t="shared" si="23"/>
        <v>O23011745032024025504004</v>
      </c>
      <c r="AF347" s="163" t="str">
        <f>IFERROR(VLOOKUP(AD347,TD!$J$66:$K$89,2,0)," ")</f>
        <v>PM/0131/0104/45030040255</v>
      </c>
      <c r="AG347" s="118" t="s">
        <v>385</v>
      </c>
      <c r="AH347" s="162" t="s">
        <v>193</v>
      </c>
      <c r="AI347" s="165" t="str">
        <f>CONCATENATE(PAA[[#This Row],[Id Interno]],"-",PAA[[#This Row],[tipo de Contrato (TH talento humano - B/S bienes y/o servicios)]],"-",S347,"-",T347,"-",PAA[[#This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48" spans="2:35" ht="98" x14ac:dyDescent="0.35">
      <c r="B348" s="23">
        <v>20260326</v>
      </c>
      <c r="C348" s="99" t="s">
        <v>871</v>
      </c>
      <c r="D348" s="99" t="s">
        <v>105</v>
      </c>
      <c r="E348" s="99" t="s">
        <v>363</v>
      </c>
      <c r="F348" s="160" t="s">
        <v>144</v>
      </c>
      <c r="G348" s="160" t="s">
        <v>379</v>
      </c>
      <c r="H348" s="166">
        <v>5</v>
      </c>
      <c r="I348" s="166">
        <v>0</v>
      </c>
      <c r="J348" s="118">
        <v>33500000</v>
      </c>
      <c r="K348" s="126" t="s">
        <v>398</v>
      </c>
      <c r="L348" s="160" t="s">
        <v>158</v>
      </c>
      <c r="M348" s="167" t="s">
        <v>421</v>
      </c>
      <c r="N348" s="99" t="s">
        <v>198</v>
      </c>
      <c r="O348" s="150" t="s">
        <v>926</v>
      </c>
      <c r="P348" s="160" t="s">
        <v>348</v>
      </c>
      <c r="Q348" s="128">
        <v>80111600</v>
      </c>
      <c r="R348" s="167" t="s">
        <v>211</v>
      </c>
      <c r="S348" s="162" t="str">
        <f>MID(PAA[[#This Row],[Meta Proyecto de Inversión]],1,4)</f>
        <v>8173</v>
      </c>
      <c r="T348" s="162" t="str">
        <f>MID(PAA[[#This Row],[Meta Proyecto de Inversión]],6,1)</f>
        <v>2</v>
      </c>
      <c r="U348" s="163" t="str">
        <f>IFERROR(VLOOKUP(N348,TD!$B$50:$F$54,2,0)," ")</f>
        <v>O230117</v>
      </c>
      <c r="V348" s="163" t="str">
        <f>IFERROR(VLOOKUP(N348,TD!$B$50:$F$54,3,0)," ")</f>
        <v>4503</v>
      </c>
      <c r="W348" s="163">
        <f>IFERROR(VLOOKUP(N348,TD!$B$50:$F$54,4,0)," ")</f>
        <v>20240255</v>
      </c>
      <c r="X348" s="162" t="s">
        <v>164</v>
      </c>
      <c r="Y348" s="163" t="str">
        <f>IFERROR(VLOOKUP(X348,TD!$J$51:$K$64,2,0)," ")</f>
        <v>Servicio de atención a incidentes y emergencias.</v>
      </c>
      <c r="Z348" s="164" t="str">
        <f t="shared" si="20"/>
        <v>04-Servicio de atención a incidentes y emergencias.</v>
      </c>
      <c r="AA348" s="162" t="s">
        <v>221</v>
      </c>
      <c r="AB348" s="163" t="str">
        <f>IFERROR(VLOOKUP(AA348,TD!$N$51:$O$66,2,0)," ")</f>
        <v>Servicio de atención a emergencias y desastres</v>
      </c>
      <c r="AC348" s="164" t="str">
        <f t="shared" si="21"/>
        <v>004_Servicio de atención a emergencias y desastres</v>
      </c>
      <c r="AD348" s="164" t="str">
        <f t="shared" si="22"/>
        <v>04-Servicio de atención a incidentes y emergencias. 004_Servicio de atención a emergencias y desastres</v>
      </c>
      <c r="AE348" s="163" t="str">
        <f t="shared" si="23"/>
        <v>O23011745032024025504004</v>
      </c>
      <c r="AF348" s="163" t="str">
        <f>IFERROR(VLOOKUP(AD348,TD!$J$66:$K$89,2,0)," ")</f>
        <v>PM/0131/0104/45030040255</v>
      </c>
      <c r="AG348" s="118" t="s">
        <v>385</v>
      </c>
      <c r="AH348" s="162" t="s">
        <v>193</v>
      </c>
      <c r="AI348" s="165" t="str">
        <f>CONCATENATE(PAA[[#This Row],[Id Interno]],"-",PAA[[#This Row],[tipo de Contrato (TH talento humano - B/S bienes y/o servicios)]],"-",S348,"-",T348,"-",PAA[[#This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49" spans="2:35" ht="98" x14ac:dyDescent="0.35">
      <c r="B349" s="23">
        <v>20260327</v>
      </c>
      <c r="C349" s="99" t="s">
        <v>872</v>
      </c>
      <c r="D349" s="99" t="s">
        <v>105</v>
      </c>
      <c r="E349" s="99" t="s">
        <v>363</v>
      </c>
      <c r="F349" s="160" t="s">
        <v>144</v>
      </c>
      <c r="G349" s="160" t="s">
        <v>379</v>
      </c>
      <c r="H349" s="166">
        <v>5</v>
      </c>
      <c r="I349" s="166">
        <v>0</v>
      </c>
      <c r="J349" s="118">
        <v>36000000</v>
      </c>
      <c r="K349" s="126" t="s">
        <v>398</v>
      </c>
      <c r="L349" s="160" t="s">
        <v>158</v>
      </c>
      <c r="M349" s="167" t="s">
        <v>421</v>
      </c>
      <c r="N349" s="99" t="s">
        <v>198</v>
      </c>
      <c r="O349" s="150" t="s">
        <v>926</v>
      </c>
      <c r="P349" s="160" t="s">
        <v>348</v>
      </c>
      <c r="Q349" s="128">
        <v>80111600</v>
      </c>
      <c r="R349" s="167" t="s">
        <v>211</v>
      </c>
      <c r="S349" s="162" t="str">
        <f>MID(PAA[[#This Row],[Meta Proyecto de Inversión]],1,4)</f>
        <v>8173</v>
      </c>
      <c r="T349" s="162" t="str">
        <f>MID(PAA[[#This Row],[Meta Proyecto de Inversión]],6,1)</f>
        <v>2</v>
      </c>
      <c r="U349" s="163" t="str">
        <f>IFERROR(VLOOKUP(N349,TD!$B$50:$F$54,2,0)," ")</f>
        <v>O230117</v>
      </c>
      <c r="V349" s="163" t="str">
        <f>IFERROR(VLOOKUP(N349,TD!$B$50:$F$54,3,0)," ")</f>
        <v>4503</v>
      </c>
      <c r="W349" s="163">
        <f>IFERROR(VLOOKUP(N349,TD!$B$50:$F$54,4,0)," ")</f>
        <v>20240255</v>
      </c>
      <c r="X349" s="162" t="s">
        <v>164</v>
      </c>
      <c r="Y349" s="163" t="str">
        <f>IFERROR(VLOOKUP(X349,TD!$J$51:$K$64,2,0)," ")</f>
        <v>Servicio de atención a incidentes y emergencias.</v>
      </c>
      <c r="Z349" s="164" t="str">
        <f t="shared" si="20"/>
        <v>04-Servicio de atención a incidentes y emergencias.</v>
      </c>
      <c r="AA349" s="162" t="s">
        <v>221</v>
      </c>
      <c r="AB349" s="163" t="str">
        <f>IFERROR(VLOOKUP(AA349,TD!$N$51:$O$66,2,0)," ")</f>
        <v>Servicio de atención a emergencias y desastres</v>
      </c>
      <c r="AC349" s="164" t="str">
        <f t="shared" si="21"/>
        <v>004_Servicio de atención a emergencias y desastres</v>
      </c>
      <c r="AD349" s="164" t="str">
        <f t="shared" si="22"/>
        <v>04-Servicio de atención a incidentes y emergencias. 004_Servicio de atención a emergencias y desastres</v>
      </c>
      <c r="AE349" s="163" t="str">
        <f t="shared" si="23"/>
        <v>O23011745032024025504004</v>
      </c>
      <c r="AF349" s="163" t="str">
        <f>IFERROR(VLOOKUP(AD349,TD!$J$66:$K$89,2,0)," ")</f>
        <v>PM/0131/0104/45030040255</v>
      </c>
      <c r="AG349" s="118" t="s">
        <v>385</v>
      </c>
      <c r="AH349" s="162" t="s">
        <v>193</v>
      </c>
      <c r="AI349" s="165" t="str">
        <f>CONCATENATE(PAA[[#This Row],[Id Interno]],"-",PAA[[#This Row],[tipo de Contrato (TH talento humano - B/S bienes y/o servicios)]],"-",S349,"-",T349,"-",PAA[[#This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50" spans="2:35" ht="56" x14ac:dyDescent="0.35">
      <c r="B350" s="23">
        <v>20260328</v>
      </c>
      <c r="C350" s="99" t="s">
        <v>873</v>
      </c>
      <c r="D350" s="99" t="s">
        <v>105</v>
      </c>
      <c r="E350" s="99" t="s">
        <v>363</v>
      </c>
      <c r="F350" s="160" t="s">
        <v>144</v>
      </c>
      <c r="G350" s="160" t="s">
        <v>379</v>
      </c>
      <c r="H350" s="166">
        <v>5</v>
      </c>
      <c r="I350" s="166">
        <v>0</v>
      </c>
      <c r="J350" s="118">
        <v>42500000</v>
      </c>
      <c r="K350" s="126" t="s">
        <v>398</v>
      </c>
      <c r="L350" s="160" t="s">
        <v>158</v>
      </c>
      <c r="M350" s="167" t="s">
        <v>421</v>
      </c>
      <c r="N350" s="99" t="s">
        <v>198</v>
      </c>
      <c r="O350" s="150" t="s">
        <v>926</v>
      </c>
      <c r="P350" s="160" t="s">
        <v>348</v>
      </c>
      <c r="Q350" s="128">
        <v>80111600</v>
      </c>
      <c r="R350" s="167" t="s">
        <v>211</v>
      </c>
      <c r="S350" s="162" t="str">
        <f>MID(PAA[[#This Row],[Meta Proyecto de Inversión]],1,4)</f>
        <v>8173</v>
      </c>
      <c r="T350" s="162" t="str">
        <f>MID(PAA[[#This Row],[Meta Proyecto de Inversión]],6,1)</f>
        <v>2</v>
      </c>
      <c r="U350" s="163" t="str">
        <f>IFERROR(VLOOKUP(N350,TD!$B$50:$F$54,2,0)," ")</f>
        <v>O230117</v>
      </c>
      <c r="V350" s="163" t="str">
        <f>IFERROR(VLOOKUP(N350,TD!$B$50:$F$54,3,0)," ")</f>
        <v>4503</v>
      </c>
      <c r="W350" s="163">
        <f>IFERROR(VLOOKUP(N350,TD!$B$50:$F$54,4,0)," ")</f>
        <v>20240255</v>
      </c>
      <c r="X350" s="162" t="s">
        <v>164</v>
      </c>
      <c r="Y350" s="163" t="str">
        <f>IFERROR(VLOOKUP(X350,TD!$J$51:$K$64,2,0)," ")</f>
        <v>Servicio de atención a incidentes y emergencias.</v>
      </c>
      <c r="Z350" s="164" t="str">
        <f t="shared" si="20"/>
        <v>04-Servicio de atención a incidentes y emergencias.</v>
      </c>
      <c r="AA350" s="162" t="s">
        <v>221</v>
      </c>
      <c r="AB350" s="163" t="str">
        <f>IFERROR(VLOOKUP(AA350,TD!$N$51:$O$66,2,0)," ")</f>
        <v>Servicio de atención a emergencias y desastres</v>
      </c>
      <c r="AC350" s="164" t="str">
        <f t="shared" si="21"/>
        <v>004_Servicio de atención a emergencias y desastres</v>
      </c>
      <c r="AD350" s="164" t="str">
        <f t="shared" si="22"/>
        <v>04-Servicio de atención a incidentes y emergencias. 004_Servicio de atención a emergencias y desastres</v>
      </c>
      <c r="AE350" s="163" t="str">
        <f t="shared" si="23"/>
        <v>O23011745032024025504004</v>
      </c>
      <c r="AF350" s="163" t="str">
        <f>IFERROR(VLOOKUP(AD350,TD!$J$66:$K$89,2,0)," ")</f>
        <v>PM/0131/0104/45030040255</v>
      </c>
      <c r="AG350" s="118" t="s">
        <v>385</v>
      </c>
      <c r="AH350" s="162" t="s">
        <v>193</v>
      </c>
      <c r="AI350" s="165" t="str">
        <f>CONCATENATE(PAA[[#This Row],[Id Interno]],"-",PAA[[#This Row],[tipo de Contrato (TH talento humano - B/S bienes y/o servicios)]],"-",S350,"-",T350,"-",PAA[[#This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51" spans="2:35" ht="84" x14ac:dyDescent="0.35">
      <c r="B351" s="23">
        <v>20260329</v>
      </c>
      <c r="C351" s="99" t="s">
        <v>874</v>
      </c>
      <c r="D351" s="99" t="s">
        <v>105</v>
      </c>
      <c r="E351" s="99" t="s">
        <v>363</v>
      </c>
      <c r="F351" s="160" t="s">
        <v>144</v>
      </c>
      <c r="G351" s="160" t="s">
        <v>379</v>
      </c>
      <c r="H351" s="166">
        <v>5</v>
      </c>
      <c r="I351" s="166">
        <v>0</v>
      </c>
      <c r="J351" s="118">
        <v>48500000</v>
      </c>
      <c r="K351" s="126" t="s">
        <v>398</v>
      </c>
      <c r="L351" s="160" t="s">
        <v>158</v>
      </c>
      <c r="M351" s="167" t="s">
        <v>421</v>
      </c>
      <c r="N351" s="99" t="s">
        <v>198</v>
      </c>
      <c r="O351" s="150" t="s">
        <v>926</v>
      </c>
      <c r="P351" s="160" t="s">
        <v>348</v>
      </c>
      <c r="Q351" s="128">
        <v>80111600</v>
      </c>
      <c r="R351" s="167" t="s">
        <v>211</v>
      </c>
      <c r="S351" s="162" t="str">
        <f>MID(PAA[[#This Row],[Meta Proyecto de Inversión]],1,4)</f>
        <v>8173</v>
      </c>
      <c r="T351" s="162" t="str">
        <f>MID(PAA[[#This Row],[Meta Proyecto de Inversión]],6,1)</f>
        <v>2</v>
      </c>
      <c r="U351" s="163" t="str">
        <f>IFERROR(VLOOKUP(N351,TD!$B$50:$F$54,2,0)," ")</f>
        <v>O230117</v>
      </c>
      <c r="V351" s="163" t="str">
        <f>IFERROR(VLOOKUP(N351,TD!$B$50:$F$54,3,0)," ")</f>
        <v>4503</v>
      </c>
      <c r="W351" s="163">
        <f>IFERROR(VLOOKUP(N351,TD!$B$50:$F$54,4,0)," ")</f>
        <v>20240255</v>
      </c>
      <c r="X351" s="162" t="s">
        <v>164</v>
      </c>
      <c r="Y351" s="163" t="str">
        <f>IFERROR(VLOOKUP(X351,TD!$J$51:$K$64,2,0)," ")</f>
        <v>Servicio de atención a incidentes y emergencias.</v>
      </c>
      <c r="Z351" s="164" t="str">
        <f t="shared" si="20"/>
        <v>04-Servicio de atención a incidentes y emergencias.</v>
      </c>
      <c r="AA351" s="162" t="s">
        <v>221</v>
      </c>
      <c r="AB351" s="163" t="str">
        <f>IFERROR(VLOOKUP(AA351,TD!$N$51:$O$66,2,0)," ")</f>
        <v>Servicio de atención a emergencias y desastres</v>
      </c>
      <c r="AC351" s="164" t="str">
        <f t="shared" si="21"/>
        <v>004_Servicio de atención a emergencias y desastres</v>
      </c>
      <c r="AD351" s="164" t="str">
        <f t="shared" si="22"/>
        <v>04-Servicio de atención a incidentes y emergencias. 004_Servicio de atención a emergencias y desastres</v>
      </c>
      <c r="AE351" s="163" t="str">
        <f t="shared" si="23"/>
        <v>O23011745032024025504004</v>
      </c>
      <c r="AF351" s="163" t="str">
        <f>IFERROR(VLOOKUP(AD351,TD!$J$66:$K$89,2,0)," ")</f>
        <v>PM/0131/0104/45030040255</v>
      </c>
      <c r="AG351" s="118" t="s">
        <v>385</v>
      </c>
      <c r="AH351" s="162" t="s">
        <v>193</v>
      </c>
      <c r="AI351" s="165" t="str">
        <f>CONCATENATE(PAA[[#This Row],[Id Interno]],"-",PAA[[#This Row],[tipo de Contrato (TH talento humano - B/S bienes y/o servicios)]],"-",S351,"-",T351,"-",PAA[[#This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52" spans="2:35" ht="56" x14ac:dyDescent="0.35">
      <c r="B352" s="23">
        <v>20260330</v>
      </c>
      <c r="C352" s="99" t="s">
        <v>875</v>
      </c>
      <c r="D352" s="99" t="s">
        <v>105</v>
      </c>
      <c r="E352" s="99" t="s">
        <v>363</v>
      </c>
      <c r="F352" s="160" t="s">
        <v>145</v>
      </c>
      <c r="G352" s="160" t="s">
        <v>379</v>
      </c>
      <c r="H352" s="166">
        <v>6</v>
      </c>
      <c r="I352" s="166">
        <v>0</v>
      </c>
      <c r="J352" s="118">
        <v>18900000</v>
      </c>
      <c r="K352" s="126" t="s">
        <v>398</v>
      </c>
      <c r="L352" s="160" t="s">
        <v>158</v>
      </c>
      <c r="M352" s="167" t="s">
        <v>421</v>
      </c>
      <c r="N352" s="99" t="s">
        <v>198</v>
      </c>
      <c r="O352" s="150" t="s">
        <v>926</v>
      </c>
      <c r="P352" s="160" t="s">
        <v>348</v>
      </c>
      <c r="Q352" s="128">
        <v>80111600</v>
      </c>
      <c r="R352" s="167" t="s">
        <v>211</v>
      </c>
      <c r="S352" s="162" t="str">
        <f>MID(PAA[[#This Row],[Meta Proyecto de Inversión]],1,4)</f>
        <v>8173</v>
      </c>
      <c r="T352" s="162" t="str">
        <f>MID(PAA[[#This Row],[Meta Proyecto de Inversión]],6,1)</f>
        <v>2</v>
      </c>
      <c r="U352" s="163" t="str">
        <f>IFERROR(VLOOKUP(N352,TD!$B$50:$F$54,2,0)," ")</f>
        <v>O230117</v>
      </c>
      <c r="V352" s="163" t="str">
        <f>IFERROR(VLOOKUP(N352,TD!$B$50:$F$54,3,0)," ")</f>
        <v>4503</v>
      </c>
      <c r="W352" s="163">
        <f>IFERROR(VLOOKUP(N352,TD!$B$50:$F$54,4,0)," ")</f>
        <v>20240255</v>
      </c>
      <c r="X352" s="162" t="s">
        <v>164</v>
      </c>
      <c r="Y352" s="163" t="str">
        <f>IFERROR(VLOOKUP(X352,TD!$J$51:$K$64,2,0)," ")</f>
        <v>Servicio de atención a incidentes y emergencias.</v>
      </c>
      <c r="Z352" s="164" t="str">
        <f t="shared" si="20"/>
        <v>04-Servicio de atención a incidentes y emergencias.</v>
      </c>
      <c r="AA352" s="162" t="s">
        <v>221</v>
      </c>
      <c r="AB352" s="163" t="str">
        <f>IFERROR(VLOOKUP(AA352,TD!$N$51:$O$66,2,0)," ")</f>
        <v>Servicio de atención a emergencias y desastres</v>
      </c>
      <c r="AC352" s="164" t="str">
        <f t="shared" si="21"/>
        <v>004_Servicio de atención a emergencias y desastres</v>
      </c>
      <c r="AD352" s="164" t="str">
        <f t="shared" si="22"/>
        <v>04-Servicio de atención a incidentes y emergencias. 004_Servicio de atención a emergencias y desastres</v>
      </c>
      <c r="AE352" s="163" t="str">
        <f t="shared" si="23"/>
        <v>O23011745032024025504004</v>
      </c>
      <c r="AF352" s="163" t="str">
        <f>IFERROR(VLOOKUP(AD352,TD!$J$66:$K$89,2,0)," ")</f>
        <v>PM/0131/0104/45030040255</v>
      </c>
      <c r="AG352" s="118" t="s">
        <v>385</v>
      </c>
      <c r="AH352" s="162" t="s">
        <v>193</v>
      </c>
      <c r="AI352" s="165" t="str">
        <f>CONCATENATE(PAA[[#This Row],[Id Interno]],"-",PAA[[#This Row],[tipo de Contrato (TH talento humano - B/S bienes y/o servicios)]],"-",S352,"-",T352,"-",PAA[[#This Row],[Objeto de la contratación]])</f>
        <v>20260330-TH-8173-2-Prestación de servicios de apoyo a la gestión en las actividades documentales, administrativas y manejo de las herramientas de gestión, para el acompañamiento de los programas de la Subdirección Operativa S.O.</v>
      </c>
    </row>
    <row r="353" spans="2:35" ht="28" x14ac:dyDescent="0.35">
      <c r="B353" s="23">
        <v>20260331</v>
      </c>
      <c r="C353" s="99" t="s">
        <v>656</v>
      </c>
      <c r="D353" s="99" t="s">
        <v>88</v>
      </c>
      <c r="E353" s="99" t="s">
        <v>402</v>
      </c>
      <c r="F353" s="160" t="s">
        <v>101</v>
      </c>
      <c r="G353" s="160" t="s">
        <v>379</v>
      </c>
      <c r="H353" s="166">
        <v>6</v>
      </c>
      <c r="I353" s="166">
        <v>0</v>
      </c>
      <c r="J353" s="118">
        <v>245725876</v>
      </c>
      <c r="K353" s="126" t="s">
        <v>398</v>
      </c>
      <c r="L353" s="160" t="s">
        <v>158</v>
      </c>
      <c r="M353" s="167" t="s">
        <v>421</v>
      </c>
      <c r="N353" s="99" t="s">
        <v>330</v>
      </c>
      <c r="O353" s="150" t="s">
        <v>925</v>
      </c>
      <c r="P353" s="160" t="s">
        <v>161</v>
      </c>
      <c r="Q353" s="128">
        <v>53102710</v>
      </c>
      <c r="R353" s="167" t="s">
        <v>331</v>
      </c>
      <c r="S353" s="162" t="str">
        <f>MID(PAA[[#This Row],[Meta Proyecto de Inversión]],1,4)</f>
        <v>No a</v>
      </c>
      <c r="T353" s="162" t="str">
        <f>MID(PAA[[#This Row],[Meta Proyecto de Inversión]],6,1)</f>
        <v>l</v>
      </c>
      <c r="U353" s="163" t="str">
        <f>IFERROR(VLOOKUP(N353,TD!$B$50:$F$54,2,0)," ")</f>
        <v>NA</v>
      </c>
      <c r="V353" s="163" t="str">
        <f>IFERROR(VLOOKUP(N353,TD!$B$50:$F$54,3,0)," ")</f>
        <v>NA</v>
      </c>
      <c r="W353" s="163" t="str">
        <f>IFERROR(VLOOKUP(N353,TD!$B$50:$F$54,4,0)," ")</f>
        <v>NA</v>
      </c>
      <c r="X353" s="162" t="s">
        <v>335</v>
      </c>
      <c r="Y353" s="163" t="str">
        <f>IFERROR(VLOOKUP(X353,TD!$J$51:$K$64,2,0)," ")</f>
        <v>N/A</v>
      </c>
      <c r="Z353" s="164" t="str">
        <f t="shared" si="20"/>
        <v>N/A-N/A</v>
      </c>
      <c r="AA353" s="162" t="s">
        <v>335</v>
      </c>
      <c r="AB353" s="163" t="str">
        <f>IFERROR(VLOOKUP(AA353,TD!$N$51:$O$66,2,0)," ")</f>
        <v>N/A</v>
      </c>
      <c r="AC353" s="164" t="str">
        <f t="shared" si="21"/>
        <v>N/A_N/A</v>
      </c>
      <c r="AD353" s="164" t="str">
        <f t="shared" si="22"/>
        <v>N/A-N/A N/A_N/A</v>
      </c>
      <c r="AE353" s="163" t="str">
        <f t="shared" si="23"/>
        <v>NANANAN/AN/A</v>
      </c>
      <c r="AF353" s="163" t="str">
        <f>IFERROR(VLOOKUP(AD353,TD!$J$66:$K$89,2,0)," ")</f>
        <v>N/A</v>
      </c>
      <c r="AG353" s="118" t="s">
        <v>349</v>
      </c>
      <c r="AH353" s="162" t="s">
        <v>193</v>
      </c>
      <c r="AI353" s="165" t="str">
        <f>CONCATENATE(PAA[[#This Row],[Id Interno]],"-",PAA[[#This Row],[tipo de Contrato (TH talento humano - B/S bienes y/o servicios)]],"-",S353,"-",T353,"-",PAA[[#This Row],[Objeto de la contratación]])</f>
        <v>20260331-BS-No a-l-Adquisición de uniformes para el personal operativo de la UAECOB</v>
      </c>
    </row>
    <row r="354" spans="2:35" ht="70" x14ac:dyDescent="0.35">
      <c r="B354" s="23">
        <v>20260332</v>
      </c>
      <c r="C354" s="99" t="s">
        <v>876</v>
      </c>
      <c r="D354" s="99" t="s">
        <v>105</v>
      </c>
      <c r="E354" s="99" t="s">
        <v>363</v>
      </c>
      <c r="F354" s="160" t="s">
        <v>144</v>
      </c>
      <c r="G354" s="160" t="s">
        <v>379</v>
      </c>
      <c r="H354" s="166">
        <v>3</v>
      </c>
      <c r="I354" s="166">
        <v>0</v>
      </c>
      <c r="J354" s="118">
        <v>21600000</v>
      </c>
      <c r="K354" s="126" t="s">
        <v>398</v>
      </c>
      <c r="L354" s="160" t="s">
        <v>158</v>
      </c>
      <c r="M354" s="167" t="s">
        <v>421</v>
      </c>
      <c r="N354" s="99" t="s">
        <v>198</v>
      </c>
      <c r="O354" s="150" t="s">
        <v>926</v>
      </c>
      <c r="P354" s="160" t="s">
        <v>348</v>
      </c>
      <c r="Q354" s="128">
        <v>80111600</v>
      </c>
      <c r="R354" s="167" t="s">
        <v>211</v>
      </c>
      <c r="S354" s="162" t="str">
        <f>MID(PAA[[#This Row],[Meta Proyecto de Inversión]],1,4)</f>
        <v>8173</v>
      </c>
      <c r="T354" s="162" t="str">
        <f>MID(PAA[[#This Row],[Meta Proyecto de Inversión]],6,1)</f>
        <v>2</v>
      </c>
      <c r="U354" s="163" t="str">
        <f>IFERROR(VLOOKUP(N354,TD!$B$50:$F$54,2,0)," ")</f>
        <v>O230117</v>
      </c>
      <c r="V354" s="163" t="str">
        <f>IFERROR(VLOOKUP(N354,TD!$B$50:$F$54,3,0)," ")</f>
        <v>4503</v>
      </c>
      <c r="W354" s="163">
        <f>IFERROR(VLOOKUP(N354,TD!$B$50:$F$54,4,0)," ")</f>
        <v>20240255</v>
      </c>
      <c r="X354" s="162" t="s">
        <v>164</v>
      </c>
      <c r="Y354" s="163" t="str">
        <f>IFERROR(VLOOKUP(X354,TD!$J$51:$K$64,2,0)," ")</f>
        <v>Servicio de atención a incidentes y emergencias.</v>
      </c>
      <c r="Z354" s="164" t="str">
        <f t="shared" si="20"/>
        <v>04-Servicio de atención a incidentes y emergencias.</v>
      </c>
      <c r="AA354" s="162" t="s">
        <v>221</v>
      </c>
      <c r="AB354" s="163" t="str">
        <f>IFERROR(VLOOKUP(AA354,TD!$N$51:$O$66,2,0)," ")</f>
        <v>Servicio de atención a emergencias y desastres</v>
      </c>
      <c r="AC354" s="164" t="str">
        <f t="shared" si="21"/>
        <v>004_Servicio de atención a emergencias y desastres</v>
      </c>
      <c r="AD354" s="164" t="str">
        <f t="shared" si="22"/>
        <v>04-Servicio de atención a incidentes y emergencias. 004_Servicio de atención a emergencias y desastres</v>
      </c>
      <c r="AE354" s="163" t="str">
        <f t="shared" si="23"/>
        <v>O23011745032024025504004</v>
      </c>
      <c r="AF354" s="163" t="str">
        <f>IFERROR(VLOOKUP(AD354,TD!$J$66:$K$89,2,0)," ")</f>
        <v>PM/0131/0104/45030040255</v>
      </c>
      <c r="AG354" s="118" t="s">
        <v>385</v>
      </c>
      <c r="AH354" s="162" t="s">
        <v>193</v>
      </c>
      <c r="AI354" s="165" t="str">
        <f>CONCATENATE(PAA[[#This Row],[Id Interno]],"-",PAA[[#This Row],[tipo de Contrato (TH talento humano - B/S bienes y/o servicios)]],"-",S354,"-",T354,"-",PAA[[#This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55" spans="2:35" ht="56" x14ac:dyDescent="0.35">
      <c r="B355" s="23">
        <v>20260333</v>
      </c>
      <c r="C355" s="99" t="s">
        <v>923</v>
      </c>
      <c r="D355" s="23" t="s">
        <v>105</v>
      </c>
      <c r="E355" s="23" t="s">
        <v>363</v>
      </c>
      <c r="F355" s="159" t="s">
        <v>145</v>
      </c>
      <c r="G355" s="160" t="s">
        <v>373</v>
      </c>
      <c r="H355" s="161">
        <v>10</v>
      </c>
      <c r="I355" s="161">
        <v>0</v>
      </c>
      <c r="J355" s="127">
        <v>37500000</v>
      </c>
      <c r="K355" s="88" t="s">
        <v>398</v>
      </c>
      <c r="L355" s="159" t="s">
        <v>156</v>
      </c>
      <c r="M355" s="162" t="s">
        <v>496</v>
      </c>
      <c r="N355" s="23" t="s">
        <v>198</v>
      </c>
      <c r="O355" s="150" t="s">
        <v>926</v>
      </c>
      <c r="P355" s="159" t="s">
        <v>348</v>
      </c>
      <c r="Q355" s="53">
        <v>80111600</v>
      </c>
      <c r="R355" s="162" t="s">
        <v>210</v>
      </c>
      <c r="S355" s="162" t="str">
        <f>MID(PAA[[#This Row],[Meta Proyecto de Inversión]],1,4)</f>
        <v>8173</v>
      </c>
      <c r="T355" s="162" t="str">
        <f>MID(PAA[[#This Row],[Meta Proyecto de Inversión]],6,1)</f>
        <v>1</v>
      </c>
      <c r="U355" s="163" t="str">
        <f>IFERROR(VLOOKUP(N355,TD!$B$50:$F$54,2,0)," ")</f>
        <v>O230117</v>
      </c>
      <c r="V355" s="163" t="str">
        <f>IFERROR(VLOOKUP(N355,TD!$B$50:$F$54,3,0)," ")</f>
        <v>4503</v>
      </c>
      <c r="W355" s="163">
        <f>IFERROR(VLOOKUP(N355,TD!$B$50:$F$54,4,0)," ")</f>
        <v>20240255</v>
      </c>
      <c r="X355" s="162" t="s">
        <v>166</v>
      </c>
      <c r="Y355" s="163" t="str">
        <f>IFERROR(VLOOKUP(X355,TD!$J$51:$K$64,2,0)," ")</f>
        <v>Servicio de capacitaciones en gestión del riesgo de incendios  a la ciudadania.</v>
      </c>
      <c r="Z355" s="164" t="str">
        <f t="shared" si="20"/>
        <v>05-Servicio de capacitaciones en gestión del riesgo de incendios  a la ciudadania.</v>
      </c>
      <c r="AA355" s="162" t="s">
        <v>223</v>
      </c>
      <c r="AB355" s="163" t="str">
        <f>IFERROR(VLOOKUP(AA355,TD!$N$51:$O$66,2,0)," ")</f>
        <v>Servicio prevención y control de incendios</v>
      </c>
      <c r="AC355" s="164" t="str">
        <f t="shared" si="21"/>
        <v>035_Servicio prevención y control de incendios</v>
      </c>
      <c r="AD355" s="164" t="str">
        <f t="shared" si="22"/>
        <v>05-Servicio de capacitaciones en gestión del riesgo de incendios  a la ciudadania. 035_Servicio prevención y control de incendios</v>
      </c>
      <c r="AE355" s="163" t="str">
        <f t="shared" si="23"/>
        <v>O23011745032024025505035</v>
      </c>
      <c r="AF355" s="163" t="str">
        <f>IFERROR(VLOOKUP(AD355,TD!$J$66:$K$89,2,0)," ")</f>
        <v>PM/0131/0105/45030350255</v>
      </c>
      <c r="AG355" s="118" t="s">
        <v>385</v>
      </c>
      <c r="AH355" s="162" t="s">
        <v>193</v>
      </c>
      <c r="AI355" s="165" t="str">
        <f>CONCATENATE(PAA[[#This Row],[Id Interno]],"-",PAA[[#This Row],[tipo de Contrato (TH talento humano - B/S bienes y/o servicios)]],"-",S355,"-",T355,"-",PAA[[#This Row],[Objeto de la contratación]])</f>
        <v>20260333-TH-8173-1-Prestar servicios de apoyo como conductor a las acciones misionales de la Subdirección de Gestión del Riesgo.</v>
      </c>
    </row>
    <row r="356" spans="2:35" ht="56" x14ac:dyDescent="0.35">
      <c r="B356" s="23">
        <v>20260334</v>
      </c>
      <c r="C356" s="99" t="s">
        <v>525</v>
      </c>
      <c r="D356" s="23" t="s">
        <v>105</v>
      </c>
      <c r="E356" s="23" t="s">
        <v>363</v>
      </c>
      <c r="F356" s="159" t="s">
        <v>144</v>
      </c>
      <c r="G356" s="160" t="s">
        <v>373</v>
      </c>
      <c r="H356" s="161">
        <v>10</v>
      </c>
      <c r="I356" s="161">
        <v>0</v>
      </c>
      <c r="J356" s="127">
        <v>60000000</v>
      </c>
      <c r="K356" s="88" t="s">
        <v>398</v>
      </c>
      <c r="L356" s="159" t="s">
        <v>156</v>
      </c>
      <c r="M356" s="162" t="s">
        <v>496</v>
      </c>
      <c r="N356" s="23" t="s">
        <v>198</v>
      </c>
      <c r="O356" s="150" t="s">
        <v>926</v>
      </c>
      <c r="P356" s="159" t="s">
        <v>348</v>
      </c>
      <c r="Q356" s="53">
        <v>80111600</v>
      </c>
      <c r="R356" s="162" t="s">
        <v>210</v>
      </c>
      <c r="S356" s="162" t="str">
        <f>MID(PAA[[#This Row],[Meta Proyecto de Inversión]],1,4)</f>
        <v>8173</v>
      </c>
      <c r="T356" s="162" t="str">
        <f>MID(PAA[[#This Row],[Meta Proyecto de Inversión]],6,1)</f>
        <v>1</v>
      </c>
      <c r="U356" s="163" t="str">
        <f>IFERROR(VLOOKUP(N356,TD!$B$50:$F$54,2,0)," ")</f>
        <v>O230117</v>
      </c>
      <c r="V356" s="163" t="str">
        <f>IFERROR(VLOOKUP(N356,TD!$B$50:$F$54,3,0)," ")</f>
        <v>4503</v>
      </c>
      <c r="W356" s="163">
        <f>IFERROR(VLOOKUP(N356,TD!$B$50:$F$54,4,0)," ")</f>
        <v>20240255</v>
      </c>
      <c r="X356" s="162" t="s">
        <v>166</v>
      </c>
      <c r="Y356" s="163" t="str">
        <f>IFERROR(VLOOKUP(X356,TD!$J$51:$K$64,2,0)," ")</f>
        <v>Servicio de capacitaciones en gestión del riesgo de incendios  a la ciudadania.</v>
      </c>
      <c r="Z356" s="164" t="str">
        <f t="shared" si="20"/>
        <v>05-Servicio de capacitaciones en gestión del riesgo de incendios  a la ciudadania.</v>
      </c>
      <c r="AA356" s="162" t="s">
        <v>223</v>
      </c>
      <c r="AB356" s="163" t="str">
        <f>IFERROR(VLOOKUP(AA356,TD!$N$51:$O$66,2,0)," ")</f>
        <v>Servicio prevención y control de incendios</v>
      </c>
      <c r="AC356" s="164" t="str">
        <f t="shared" si="21"/>
        <v>035_Servicio prevención y control de incendios</v>
      </c>
      <c r="AD356" s="164" t="str">
        <f t="shared" si="22"/>
        <v>05-Servicio de capacitaciones en gestión del riesgo de incendios  a la ciudadania. 035_Servicio prevención y control de incendios</v>
      </c>
      <c r="AE356" s="163" t="str">
        <f t="shared" si="23"/>
        <v>O23011745032024025505035</v>
      </c>
      <c r="AF356" s="163" t="str">
        <f>IFERROR(VLOOKUP(AD356,TD!$J$66:$K$89,2,0)," ")</f>
        <v>PM/0131/0105/45030350255</v>
      </c>
      <c r="AG356" s="118" t="s">
        <v>385</v>
      </c>
      <c r="AH356" s="162" t="s">
        <v>193</v>
      </c>
      <c r="AI356" s="165" t="str">
        <f>CONCATENATE(PAA[[#This Row],[Id Interno]],"-",PAA[[#This Row],[tipo de Contrato (TH talento humano - B/S bienes y/o servicios)]],"-",S356,"-",T356,"-",PAA[[#This Row],[Objeto de la contratación]])</f>
        <v>20260334-TH-8173-1-Prestar servicios profesionales para apoyar la planeación y gestión de las  estrategias de reducción y/o conocimiento del riesgo  para la Subdirección de Gestión del Riesgo._SGR</v>
      </c>
    </row>
    <row r="357" spans="2:35" ht="56" x14ac:dyDescent="0.35">
      <c r="B357" s="23">
        <v>20260335</v>
      </c>
      <c r="C357" s="99" t="s">
        <v>526</v>
      </c>
      <c r="D357" s="23" t="s">
        <v>105</v>
      </c>
      <c r="E357" s="23" t="s">
        <v>363</v>
      </c>
      <c r="F357" s="159" t="s">
        <v>144</v>
      </c>
      <c r="G357" s="160" t="s">
        <v>373</v>
      </c>
      <c r="H357" s="161">
        <v>8</v>
      </c>
      <c r="I357" s="161">
        <v>0</v>
      </c>
      <c r="J357" s="127">
        <v>40000000</v>
      </c>
      <c r="K357" s="88" t="s">
        <v>398</v>
      </c>
      <c r="L357" s="159" t="s">
        <v>156</v>
      </c>
      <c r="M357" s="162" t="s">
        <v>496</v>
      </c>
      <c r="N357" s="23" t="s">
        <v>198</v>
      </c>
      <c r="O357" s="150" t="s">
        <v>926</v>
      </c>
      <c r="P357" s="159" t="s">
        <v>348</v>
      </c>
      <c r="Q357" s="53">
        <v>80111600</v>
      </c>
      <c r="R357" s="162" t="s">
        <v>210</v>
      </c>
      <c r="S357" s="162" t="str">
        <f>MID(PAA[[#This Row],[Meta Proyecto de Inversión]],1,4)</f>
        <v>8173</v>
      </c>
      <c r="T357" s="162" t="str">
        <f>MID(PAA[[#This Row],[Meta Proyecto de Inversión]],6,1)</f>
        <v>1</v>
      </c>
      <c r="U357" s="163" t="str">
        <f>IFERROR(VLOOKUP(N357,TD!$B$50:$F$54,2,0)," ")</f>
        <v>O230117</v>
      </c>
      <c r="V357" s="163" t="str">
        <f>IFERROR(VLOOKUP(N357,TD!$B$50:$F$54,3,0)," ")</f>
        <v>4503</v>
      </c>
      <c r="W357" s="163">
        <f>IFERROR(VLOOKUP(N357,TD!$B$50:$F$54,4,0)," ")</f>
        <v>20240255</v>
      </c>
      <c r="X357" s="162" t="s">
        <v>166</v>
      </c>
      <c r="Y357" s="163" t="str">
        <f>IFERROR(VLOOKUP(X357,TD!$J$51:$K$64,2,0)," ")</f>
        <v>Servicio de capacitaciones en gestión del riesgo de incendios  a la ciudadania.</v>
      </c>
      <c r="Z357" s="164" t="str">
        <f t="shared" si="20"/>
        <v>05-Servicio de capacitaciones en gestión del riesgo de incendios  a la ciudadania.</v>
      </c>
      <c r="AA357" s="162" t="s">
        <v>223</v>
      </c>
      <c r="AB357" s="163" t="str">
        <f>IFERROR(VLOOKUP(AA357,TD!$N$51:$O$66,2,0)," ")</f>
        <v>Servicio prevención y control de incendios</v>
      </c>
      <c r="AC357" s="164" t="str">
        <f t="shared" si="21"/>
        <v>035_Servicio prevención y control de incendios</v>
      </c>
      <c r="AD357" s="164" t="str">
        <f t="shared" si="22"/>
        <v>05-Servicio de capacitaciones en gestión del riesgo de incendios  a la ciudadania. 035_Servicio prevención y control de incendios</v>
      </c>
      <c r="AE357" s="163" t="str">
        <f t="shared" si="23"/>
        <v>O23011745032024025505035</v>
      </c>
      <c r="AF357" s="163" t="str">
        <f>IFERROR(VLOOKUP(AD357,TD!$J$66:$K$89,2,0)," ")</f>
        <v>PM/0131/0105/45030350255</v>
      </c>
      <c r="AG357" s="118" t="s">
        <v>385</v>
      </c>
      <c r="AH357" s="162" t="s">
        <v>193</v>
      </c>
      <c r="AI357" s="165" t="str">
        <f>CONCATENATE(PAA[[#This Row],[Id Interno]],"-",PAA[[#This Row],[tipo de Contrato (TH talento humano - B/S bienes y/o servicios)]],"-",S357,"-",T357,"-",PAA[[#This Row],[Objeto de la contratación]])</f>
        <v>20260335-TH-8173-1-Prestar servicios profesionales en  los componentes tecnológicos e informáticos relacionados con los aspectos misionales de la Subdirección de Gestión del Riesgo._SGR</v>
      </c>
    </row>
    <row r="358" spans="2:35" ht="56" x14ac:dyDescent="0.35">
      <c r="B358" s="23">
        <v>20260336</v>
      </c>
      <c r="C358" s="99" t="s">
        <v>527</v>
      </c>
      <c r="D358" s="23" t="s">
        <v>105</v>
      </c>
      <c r="E358" s="23" t="s">
        <v>363</v>
      </c>
      <c r="F358" s="159" t="s">
        <v>145</v>
      </c>
      <c r="G358" s="160" t="s">
        <v>373</v>
      </c>
      <c r="H358" s="161">
        <v>8</v>
      </c>
      <c r="I358" s="161">
        <v>0</v>
      </c>
      <c r="J358" s="127">
        <v>32000000</v>
      </c>
      <c r="K358" s="88" t="s">
        <v>398</v>
      </c>
      <c r="L358" s="159" t="s">
        <v>156</v>
      </c>
      <c r="M358" s="162" t="s">
        <v>496</v>
      </c>
      <c r="N358" s="23" t="s">
        <v>198</v>
      </c>
      <c r="O358" s="150" t="s">
        <v>926</v>
      </c>
      <c r="P358" s="159" t="s">
        <v>348</v>
      </c>
      <c r="Q358" s="53">
        <v>80111600</v>
      </c>
      <c r="R358" s="162" t="s">
        <v>210</v>
      </c>
      <c r="S358" s="162" t="str">
        <f>MID(PAA[[#This Row],[Meta Proyecto de Inversión]],1,4)</f>
        <v>8173</v>
      </c>
      <c r="T358" s="162" t="str">
        <f>MID(PAA[[#This Row],[Meta Proyecto de Inversión]],6,1)</f>
        <v>1</v>
      </c>
      <c r="U358" s="163" t="str">
        <f>IFERROR(VLOOKUP(N358,TD!$B$50:$F$54,2,0)," ")</f>
        <v>O230117</v>
      </c>
      <c r="V358" s="163" t="str">
        <f>IFERROR(VLOOKUP(N358,TD!$B$50:$F$54,3,0)," ")</f>
        <v>4503</v>
      </c>
      <c r="W358" s="163">
        <f>IFERROR(VLOOKUP(N358,TD!$B$50:$F$54,4,0)," ")</f>
        <v>20240255</v>
      </c>
      <c r="X358" s="162" t="s">
        <v>166</v>
      </c>
      <c r="Y358" s="163" t="str">
        <f>IFERROR(VLOOKUP(X358,TD!$J$51:$K$64,2,0)," ")</f>
        <v>Servicio de capacitaciones en gestión del riesgo de incendios  a la ciudadania.</v>
      </c>
      <c r="Z358" s="164" t="str">
        <f t="shared" si="20"/>
        <v>05-Servicio de capacitaciones en gestión del riesgo de incendios  a la ciudadania.</v>
      </c>
      <c r="AA358" s="162" t="s">
        <v>223</v>
      </c>
      <c r="AB358" s="163" t="str">
        <f>IFERROR(VLOOKUP(AA358,TD!$N$51:$O$66,2,0)," ")</f>
        <v>Servicio prevención y control de incendios</v>
      </c>
      <c r="AC358" s="164" t="str">
        <f t="shared" si="21"/>
        <v>035_Servicio prevención y control de incendios</v>
      </c>
      <c r="AD358" s="164" t="str">
        <f t="shared" si="22"/>
        <v>05-Servicio de capacitaciones en gestión del riesgo de incendios  a la ciudadania. 035_Servicio prevención y control de incendios</v>
      </c>
      <c r="AE358" s="163" t="str">
        <f t="shared" si="23"/>
        <v>O23011745032024025505035</v>
      </c>
      <c r="AF358" s="163" t="str">
        <f>IFERROR(VLOOKUP(AD358,TD!$J$66:$K$89,2,0)," ")</f>
        <v>PM/0131/0105/45030350255</v>
      </c>
      <c r="AG358" s="118" t="s">
        <v>385</v>
      </c>
      <c r="AH358" s="162" t="s">
        <v>193</v>
      </c>
      <c r="AI358" s="165" t="str">
        <f>CONCATENATE(PAA[[#This Row],[Id Interno]],"-",PAA[[#This Row],[tipo de Contrato (TH talento humano - B/S bienes y/o servicios)]],"-",S358,"-",T358,"-",PAA[[#This Row],[Objeto de la contratación]])</f>
        <v>20260336-TH-8173-1-Prestar servicios de apoyo para el seguimiento y respuesta de requerimientos ciudadanos relacionados con la misionalidad de la Subdirección de Gestión del Riesgo_SGR</v>
      </c>
    </row>
    <row r="359" spans="2:35" ht="56" x14ac:dyDescent="0.35">
      <c r="B359" s="23">
        <v>20260337</v>
      </c>
      <c r="C359" s="99" t="s">
        <v>528</v>
      </c>
      <c r="D359" s="23" t="s">
        <v>105</v>
      </c>
      <c r="E359" s="23" t="s">
        <v>363</v>
      </c>
      <c r="F359" s="159" t="s">
        <v>144</v>
      </c>
      <c r="G359" s="160" t="s">
        <v>373</v>
      </c>
      <c r="H359" s="161">
        <v>7</v>
      </c>
      <c r="I359" s="161">
        <v>15</v>
      </c>
      <c r="J359" s="127">
        <v>53600000</v>
      </c>
      <c r="K359" s="88" t="s">
        <v>398</v>
      </c>
      <c r="L359" s="159" t="s">
        <v>156</v>
      </c>
      <c r="M359" s="162" t="s">
        <v>496</v>
      </c>
      <c r="N359" s="23" t="s">
        <v>198</v>
      </c>
      <c r="O359" s="150" t="s">
        <v>926</v>
      </c>
      <c r="P359" s="159" t="s">
        <v>348</v>
      </c>
      <c r="Q359" s="53">
        <v>80111600</v>
      </c>
      <c r="R359" s="162" t="s">
        <v>210</v>
      </c>
      <c r="S359" s="162" t="str">
        <f>MID(PAA[[#This Row],[Meta Proyecto de Inversión]],1,4)</f>
        <v>8173</v>
      </c>
      <c r="T359" s="162" t="str">
        <f>MID(PAA[[#This Row],[Meta Proyecto de Inversión]],6,1)</f>
        <v>1</v>
      </c>
      <c r="U359" s="163" t="str">
        <f>IFERROR(VLOOKUP(N359,TD!$B$50:$F$54,2,0)," ")</f>
        <v>O230117</v>
      </c>
      <c r="V359" s="163" t="str">
        <f>IFERROR(VLOOKUP(N359,TD!$B$50:$F$54,3,0)," ")</f>
        <v>4503</v>
      </c>
      <c r="W359" s="163">
        <f>IFERROR(VLOOKUP(N359,TD!$B$50:$F$54,4,0)," ")</f>
        <v>20240255</v>
      </c>
      <c r="X359" s="162" t="s">
        <v>166</v>
      </c>
      <c r="Y359" s="163" t="str">
        <f>IFERROR(VLOOKUP(X359,TD!$J$51:$K$64,2,0)," ")</f>
        <v>Servicio de capacitaciones en gestión del riesgo de incendios  a la ciudadania.</v>
      </c>
      <c r="Z359" s="164" t="str">
        <f t="shared" si="20"/>
        <v>05-Servicio de capacitaciones en gestión del riesgo de incendios  a la ciudadania.</v>
      </c>
      <c r="AA359" s="162" t="s">
        <v>223</v>
      </c>
      <c r="AB359" s="163" t="str">
        <f>IFERROR(VLOOKUP(AA359,TD!$N$51:$O$66,2,0)," ")</f>
        <v>Servicio prevención y control de incendios</v>
      </c>
      <c r="AC359" s="164" t="str">
        <f t="shared" si="21"/>
        <v>035_Servicio prevención y control de incendios</v>
      </c>
      <c r="AD359" s="164" t="str">
        <f t="shared" si="22"/>
        <v>05-Servicio de capacitaciones en gestión del riesgo de incendios  a la ciudadania. 035_Servicio prevención y control de incendios</v>
      </c>
      <c r="AE359" s="163" t="str">
        <f t="shared" si="23"/>
        <v>O23011745032024025505035</v>
      </c>
      <c r="AF359" s="163" t="str">
        <f>IFERROR(VLOOKUP(AD359,TD!$J$66:$K$89,2,0)," ")</f>
        <v>PM/0131/0105/45030350255</v>
      </c>
      <c r="AG359" s="118" t="s">
        <v>385</v>
      </c>
      <c r="AH359" s="162" t="s">
        <v>193</v>
      </c>
      <c r="AI359" s="165" t="str">
        <f>CONCATENATE(PAA[[#This Row],[Id Interno]],"-",PAA[[#This Row],[tipo de Contrato (TH talento humano - B/S bienes y/o servicios)]],"-",S359,"-",T359,"-",PAA[[#This Row],[Objeto de la contratación]])</f>
        <v>20260337-TH-8173-1-Prestar servicios profesionales en la gestión misional mediante el  análisis y seguimiento financiero de la Subdirección de Gestión del Riesgo_SGR</v>
      </c>
    </row>
    <row r="360" spans="2:35" ht="56" x14ac:dyDescent="0.35">
      <c r="B360" s="23">
        <v>20260338</v>
      </c>
      <c r="C360" s="99" t="s">
        <v>529</v>
      </c>
      <c r="D360" s="23" t="s">
        <v>105</v>
      </c>
      <c r="E360" s="23" t="s">
        <v>363</v>
      </c>
      <c r="F360" s="159" t="s">
        <v>144</v>
      </c>
      <c r="G360" s="160" t="s">
        <v>373</v>
      </c>
      <c r="H360" s="161">
        <v>10</v>
      </c>
      <c r="I360" s="161">
        <v>0</v>
      </c>
      <c r="J360" s="127">
        <v>70000000</v>
      </c>
      <c r="K360" s="88" t="s">
        <v>398</v>
      </c>
      <c r="L360" s="159" t="s">
        <v>156</v>
      </c>
      <c r="M360" s="162" t="s">
        <v>496</v>
      </c>
      <c r="N360" s="23" t="s">
        <v>198</v>
      </c>
      <c r="O360" s="150" t="s">
        <v>926</v>
      </c>
      <c r="P360" s="159" t="s">
        <v>348</v>
      </c>
      <c r="Q360" s="53">
        <v>80111600</v>
      </c>
      <c r="R360" s="162" t="s">
        <v>210</v>
      </c>
      <c r="S360" s="162" t="str">
        <f>MID(PAA[[#This Row],[Meta Proyecto de Inversión]],1,4)</f>
        <v>8173</v>
      </c>
      <c r="T360" s="162" t="str">
        <f>MID(PAA[[#This Row],[Meta Proyecto de Inversión]],6,1)</f>
        <v>1</v>
      </c>
      <c r="U360" s="163" t="str">
        <f>IFERROR(VLOOKUP(N360,TD!$B$50:$F$54,2,0)," ")</f>
        <v>O230117</v>
      </c>
      <c r="V360" s="163" t="str">
        <f>IFERROR(VLOOKUP(N360,TD!$B$50:$F$54,3,0)," ")</f>
        <v>4503</v>
      </c>
      <c r="W360" s="163">
        <f>IFERROR(VLOOKUP(N360,TD!$B$50:$F$54,4,0)," ")</f>
        <v>20240255</v>
      </c>
      <c r="X360" s="162" t="s">
        <v>166</v>
      </c>
      <c r="Y360" s="163" t="str">
        <f>IFERROR(VLOOKUP(X360,TD!$J$51:$K$64,2,0)," ")</f>
        <v>Servicio de capacitaciones en gestión del riesgo de incendios  a la ciudadania.</v>
      </c>
      <c r="Z360" s="164" t="str">
        <f t="shared" si="20"/>
        <v>05-Servicio de capacitaciones en gestión del riesgo de incendios  a la ciudadania.</v>
      </c>
      <c r="AA360" s="162" t="s">
        <v>223</v>
      </c>
      <c r="AB360" s="163" t="str">
        <f>IFERROR(VLOOKUP(AA360,TD!$N$51:$O$66,2,0)," ")</f>
        <v>Servicio prevención y control de incendios</v>
      </c>
      <c r="AC360" s="164" t="str">
        <f t="shared" si="21"/>
        <v>035_Servicio prevención y control de incendios</v>
      </c>
      <c r="AD360" s="164" t="str">
        <f t="shared" si="22"/>
        <v>05-Servicio de capacitaciones en gestión del riesgo de incendios  a la ciudadania. 035_Servicio prevención y control de incendios</v>
      </c>
      <c r="AE360" s="163" t="str">
        <f t="shared" si="23"/>
        <v>O23011745032024025505035</v>
      </c>
      <c r="AF360" s="163" t="str">
        <f>IFERROR(VLOOKUP(AD360,TD!$J$66:$K$89,2,0)," ")</f>
        <v>PM/0131/0105/45030350255</v>
      </c>
      <c r="AG360" s="118" t="s">
        <v>385</v>
      </c>
      <c r="AH360" s="162" t="s">
        <v>193</v>
      </c>
      <c r="AI360" s="165" t="str">
        <f>CONCATENATE(PAA[[#This Row],[Id Interno]],"-",PAA[[#This Row],[tipo de Contrato (TH talento humano - B/S bienes y/o servicios)]],"-",S360,"-",T360,"-",PAA[[#This Row],[Objeto de la contratación]])</f>
        <v>20260338-TH-8173-1-Prestar servicios profesionales para la gestión misional  mediante la estructuración y seguimiento de procesos contractuales y asuntos jurídicos de la Subdirección de Gestión del Riesgo_SGR</v>
      </c>
    </row>
    <row r="361" spans="2:35" ht="56" x14ac:dyDescent="0.35">
      <c r="B361" s="23">
        <v>20260340</v>
      </c>
      <c r="C361" s="99" t="s">
        <v>530</v>
      </c>
      <c r="D361" s="23" t="s">
        <v>105</v>
      </c>
      <c r="E361" s="23" t="s">
        <v>363</v>
      </c>
      <c r="F361" s="159" t="s">
        <v>144</v>
      </c>
      <c r="G361" s="160" t="s">
        <v>373</v>
      </c>
      <c r="H361" s="161">
        <v>10</v>
      </c>
      <c r="I361" s="161">
        <v>0</v>
      </c>
      <c r="J361" s="127">
        <v>70000000</v>
      </c>
      <c r="K361" s="88" t="s">
        <v>398</v>
      </c>
      <c r="L361" s="159" t="s">
        <v>156</v>
      </c>
      <c r="M361" s="162" t="s">
        <v>496</v>
      </c>
      <c r="N361" s="23" t="s">
        <v>198</v>
      </c>
      <c r="O361" s="150" t="s">
        <v>926</v>
      </c>
      <c r="P361" s="159" t="s">
        <v>348</v>
      </c>
      <c r="Q361" s="53">
        <v>80111600</v>
      </c>
      <c r="R361" s="162" t="s">
        <v>210</v>
      </c>
      <c r="S361" s="162" t="str">
        <f>MID(PAA[[#This Row],[Meta Proyecto de Inversión]],1,4)</f>
        <v>8173</v>
      </c>
      <c r="T361" s="162" t="str">
        <f>MID(PAA[[#This Row],[Meta Proyecto de Inversión]],6,1)</f>
        <v>1</v>
      </c>
      <c r="U361" s="163" t="str">
        <f>IFERROR(VLOOKUP(N361,TD!$B$50:$F$54,2,0)," ")</f>
        <v>O230117</v>
      </c>
      <c r="V361" s="163" t="str">
        <f>IFERROR(VLOOKUP(N361,TD!$B$50:$F$54,3,0)," ")</f>
        <v>4503</v>
      </c>
      <c r="W361" s="163">
        <f>IFERROR(VLOOKUP(N361,TD!$B$50:$F$54,4,0)," ")</f>
        <v>20240255</v>
      </c>
      <c r="X361" s="162" t="s">
        <v>166</v>
      </c>
      <c r="Y361" s="163" t="str">
        <f>IFERROR(VLOOKUP(X361,TD!$J$51:$K$64,2,0)," ")</f>
        <v>Servicio de capacitaciones en gestión del riesgo de incendios  a la ciudadania.</v>
      </c>
      <c r="Z361" s="164" t="str">
        <f t="shared" si="20"/>
        <v>05-Servicio de capacitaciones en gestión del riesgo de incendios  a la ciudadania.</v>
      </c>
      <c r="AA361" s="162" t="s">
        <v>223</v>
      </c>
      <c r="AB361" s="163" t="str">
        <f>IFERROR(VLOOKUP(AA361,TD!$N$51:$O$66,2,0)," ")</f>
        <v>Servicio prevención y control de incendios</v>
      </c>
      <c r="AC361" s="164" t="str">
        <f t="shared" si="21"/>
        <v>035_Servicio prevención y control de incendios</v>
      </c>
      <c r="AD361" s="164" t="str">
        <f t="shared" si="22"/>
        <v>05-Servicio de capacitaciones en gestión del riesgo de incendios  a la ciudadania. 035_Servicio prevención y control de incendios</v>
      </c>
      <c r="AE361" s="163" t="str">
        <f t="shared" si="23"/>
        <v>O23011745032024025505035</v>
      </c>
      <c r="AF361" s="163" t="str">
        <f>IFERROR(VLOOKUP(AD361,TD!$J$66:$K$89,2,0)," ")</f>
        <v>PM/0131/0105/45030350255</v>
      </c>
      <c r="AG361" s="118" t="s">
        <v>385</v>
      </c>
      <c r="AH361" s="162" t="s">
        <v>193</v>
      </c>
      <c r="AI361" s="165" t="str">
        <f>CONCATENATE(PAA[[#This Row],[Id Interno]],"-",PAA[[#This Row],[tipo de Contrato (TH talento humano - B/S bienes y/o servicios)]],"-",S361,"-",T361,"-",PAA[[#This Row],[Objeto de la contratación]])</f>
        <v xml:space="preserve">20260340-TH-8173-1-Prestar servicios profesionales para la gestión misional en sus componentes técnico, administrativo y financiero de la Subdirección de Gestión del Riesgo_SGR. </v>
      </c>
    </row>
    <row r="362" spans="2:35" ht="56" x14ac:dyDescent="0.35">
      <c r="B362" s="23">
        <v>20260341</v>
      </c>
      <c r="C362" s="99" t="s">
        <v>531</v>
      </c>
      <c r="D362" s="23" t="s">
        <v>105</v>
      </c>
      <c r="E362" s="23" t="s">
        <v>363</v>
      </c>
      <c r="F362" s="159" t="s">
        <v>144</v>
      </c>
      <c r="G362" s="160" t="s">
        <v>373</v>
      </c>
      <c r="H362" s="161">
        <v>8</v>
      </c>
      <c r="I362" s="161">
        <v>0</v>
      </c>
      <c r="J362" s="127">
        <v>72800000</v>
      </c>
      <c r="K362" s="88" t="s">
        <v>398</v>
      </c>
      <c r="L362" s="159" t="s">
        <v>156</v>
      </c>
      <c r="M362" s="162" t="s">
        <v>496</v>
      </c>
      <c r="N362" s="23" t="s">
        <v>198</v>
      </c>
      <c r="O362" s="150" t="s">
        <v>926</v>
      </c>
      <c r="P362" s="159" t="s">
        <v>348</v>
      </c>
      <c r="Q362" s="53">
        <v>80111600</v>
      </c>
      <c r="R362" s="162" t="s">
        <v>210</v>
      </c>
      <c r="S362" s="162" t="str">
        <f>MID(PAA[[#This Row],[Meta Proyecto de Inversión]],1,4)</f>
        <v>8173</v>
      </c>
      <c r="T362" s="162" t="str">
        <f>MID(PAA[[#This Row],[Meta Proyecto de Inversión]],6,1)</f>
        <v>1</v>
      </c>
      <c r="U362" s="163" t="str">
        <f>IFERROR(VLOOKUP(N362,TD!$B$50:$F$54,2,0)," ")</f>
        <v>O230117</v>
      </c>
      <c r="V362" s="163" t="str">
        <f>IFERROR(VLOOKUP(N362,TD!$B$50:$F$54,3,0)," ")</f>
        <v>4503</v>
      </c>
      <c r="W362" s="163">
        <f>IFERROR(VLOOKUP(N362,TD!$B$50:$F$54,4,0)," ")</f>
        <v>20240255</v>
      </c>
      <c r="X362" s="162" t="s">
        <v>170</v>
      </c>
      <c r="Y362" s="163" t="str">
        <f>IFERROR(VLOOKUP(X362,TD!$J$51:$K$64,2,0)," ")</f>
        <v>Servicio de inspecciones técnicas realizadas</v>
      </c>
      <c r="Z362" s="164" t="str">
        <f t="shared" si="20"/>
        <v>06-Servicio de inspecciones técnicas realizadas</v>
      </c>
      <c r="AA362" s="162" t="s">
        <v>223</v>
      </c>
      <c r="AB362" s="163" t="str">
        <f>IFERROR(VLOOKUP(AA362,TD!$N$51:$O$66,2,0)," ")</f>
        <v>Servicio prevención y control de incendios</v>
      </c>
      <c r="AC362" s="164" t="str">
        <f t="shared" si="21"/>
        <v>035_Servicio prevención y control de incendios</v>
      </c>
      <c r="AD362" s="164" t="str">
        <f t="shared" si="22"/>
        <v>06-Servicio de inspecciones técnicas realizadas 035_Servicio prevención y control de incendios</v>
      </c>
      <c r="AE362" s="163" t="str">
        <f t="shared" si="23"/>
        <v>O23011745032024025506035</v>
      </c>
      <c r="AF362" s="163" t="str">
        <f>IFERROR(VLOOKUP(AD362,TD!$J$66:$K$89,2,0)," ")</f>
        <v>PM/0131/0106/45030350255</v>
      </c>
      <c r="AG362" s="118" t="s">
        <v>385</v>
      </c>
      <c r="AH362" s="162" t="s">
        <v>193</v>
      </c>
      <c r="AI362" s="165" t="str">
        <f>CONCATENATE(PAA[[#This Row],[Id Interno]],"-",PAA[[#This Row],[tipo de Contrato (TH talento humano - B/S bienes y/o servicios)]],"-",S362,"-",T362,"-",PAA[[#This Row],[Objeto de la contratación]])</f>
        <v>20260341-TH-8173-1-Prestar servicios profesionales  liderando las actividades del proceso de inspecciones técnicas de la subdireccion de gestion del riesgo.._SGR</v>
      </c>
    </row>
    <row r="363" spans="2:35" ht="56" x14ac:dyDescent="0.35">
      <c r="B363" s="23">
        <v>20260342</v>
      </c>
      <c r="C363" s="99" t="s">
        <v>532</v>
      </c>
      <c r="D363" s="23" t="s">
        <v>105</v>
      </c>
      <c r="E363" s="23" t="s">
        <v>363</v>
      </c>
      <c r="F363" s="159" t="s">
        <v>144</v>
      </c>
      <c r="G363" s="160" t="s">
        <v>373</v>
      </c>
      <c r="H363" s="161">
        <v>10</v>
      </c>
      <c r="I363" s="161">
        <v>0</v>
      </c>
      <c r="J363" s="127">
        <v>50000000</v>
      </c>
      <c r="K363" s="88" t="s">
        <v>398</v>
      </c>
      <c r="L363" s="159" t="s">
        <v>156</v>
      </c>
      <c r="M363" s="162" t="s">
        <v>496</v>
      </c>
      <c r="N363" s="23" t="s">
        <v>198</v>
      </c>
      <c r="O363" s="150" t="s">
        <v>926</v>
      </c>
      <c r="P363" s="159" t="s">
        <v>348</v>
      </c>
      <c r="Q363" s="53">
        <v>80111600</v>
      </c>
      <c r="R363" s="162" t="s">
        <v>210</v>
      </c>
      <c r="S363" s="162" t="str">
        <f>MID(PAA[[#This Row],[Meta Proyecto de Inversión]],1,4)</f>
        <v>8173</v>
      </c>
      <c r="T363" s="162" t="str">
        <f>MID(PAA[[#This Row],[Meta Proyecto de Inversión]],6,1)</f>
        <v>1</v>
      </c>
      <c r="U363" s="163" t="str">
        <f>IFERROR(VLOOKUP(N363,TD!$B$50:$F$54,2,0)," ")</f>
        <v>O230117</v>
      </c>
      <c r="V363" s="163" t="str">
        <f>IFERROR(VLOOKUP(N363,TD!$B$50:$F$54,3,0)," ")</f>
        <v>4503</v>
      </c>
      <c r="W363" s="163">
        <f>IFERROR(VLOOKUP(N363,TD!$B$50:$F$54,4,0)," ")</f>
        <v>20240255</v>
      </c>
      <c r="X363" s="162" t="s">
        <v>170</v>
      </c>
      <c r="Y363" s="163" t="str">
        <f>IFERROR(VLOOKUP(X363,TD!$J$51:$K$64,2,0)," ")</f>
        <v>Servicio de inspecciones técnicas realizadas</v>
      </c>
      <c r="Z363" s="164" t="str">
        <f t="shared" si="20"/>
        <v>06-Servicio de inspecciones técnicas realizadas</v>
      </c>
      <c r="AA363" s="162" t="s">
        <v>223</v>
      </c>
      <c r="AB363" s="163" t="str">
        <f>IFERROR(VLOOKUP(AA363,TD!$N$51:$O$66,2,0)," ")</f>
        <v>Servicio prevención y control de incendios</v>
      </c>
      <c r="AC363" s="164" t="str">
        <f t="shared" si="21"/>
        <v>035_Servicio prevención y control de incendios</v>
      </c>
      <c r="AD363" s="164" t="str">
        <f t="shared" si="22"/>
        <v>06-Servicio de inspecciones técnicas realizadas 035_Servicio prevención y control de incendios</v>
      </c>
      <c r="AE363" s="163" t="str">
        <f t="shared" si="23"/>
        <v>O23011745032024025506035</v>
      </c>
      <c r="AF363" s="163" t="str">
        <f>IFERROR(VLOOKUP(AD363,TD!$J$66:$K$89,2,0)," ")</f>
        <v>PM/0131/0106/45030350255</v>
      </c>
      <c r="AG363" s="118" t="s">
        <v>385</v>
      </c>
      <c r="AH363" s="162" t="s">
        <v>193</v>
      </c>
      <c r="AI363" s="165" t="str">
        <f>CONCATENATE(PAA[[#This Row],[Id Interno]],"-",PAA[[#This Row],[tipo de Contrato (TH talento humano - B/S bienes y/o servicios)]],"-",S363,"-",T363,"-",PAA[[#This Row],[Objeto de la contratación]])</f>
        <v>20260342-TH-8173-1-Prestar  servicios profesionales en las actividades relacionadas con la emision de conceptos a cargo de la Subdirección de Gestión del Riesgo._SGR</v>
      </c>
    </row>
    <row r="364" spans="2:35" ht="56" x14ac:dyDescent="0.35">
      <c r="B364" s="23">
        <v>20260343</v>
      </c>
      <c r="C364" s="99" t="s">
        <v>532</v>
      </c>
      <c r="D364" s="23" t="s">
        <v>105</v>
      </c>
      <c r="E364" s="23" t="s">
        <v>363</v>
      </c>
      <c r="F364" s="159" t="s">
        <v>144</v>
      </c>
      <c r="G364" s="160" t="s">
        <v>373</v>
      </c>
      <c r="H364" s="161">
        <v>9</v>
      </c>
      <c r="I364" s="161">
        <v>0</v>
      </c>
      <c r="J364" s="127">
        <v>45400000</v>
      </c>
      <c r="K364" s="88" t="s">
        <v>398</v>
      </c>
      <c r="L364" s="159" t="s">
        <v>156</v>
      </c>
      <c r="M364" s="162" t="s">
        <v>496</v>
      </c>
      <c r="N364" s="23" t="s">
        <v>198</v>
      </c>
      <c r="O364" s="150" t="s">
        <v>926</v>
      </c>
      <c r="P364" s="159" t="s">
        <v>348</v>
      </c>
      <c r="Q364" s="53">
        <v>80111600</v>
      </c>
      <c r="R364" s="162" t="s">
        <v>210</v>
      </c>
      <c r="S364" s="162" t="str">
        <f>MID(PAA[[#This Row],[Meta Proyecto de Inversión]],1,4)</f>
        <v>8173</v>
      </c>
      <c r="T364" s="162" t="str">
        <f>MID(PAA[[#This Row],[Meta Proyecto de Inversión]],6,1)</f>
        <v>1</v>
      </c>
      <c r="U364" s="163" t="str">
        <f>IFERROR(VLOOKUP(N364,TD!$B$50:$F$54,2,0)," ")</f>
        <v>O230117</v>
      </c>
      <c r="V364" s="163" t="str">
        <f>IFERROR(VLOOKUP(N364,TD!$B$50:$F$54,3,0)," ")</f>
        <v>4503</v>
      </c>
      <c r="W364" s="163">
        <f>IFERROR(VLOOKUP(N364,TD!$B$50:$F$54,4,0)," ")</f>
        <v>20240255</v>
      </c>
      <c r="X364" s="162" t="s">
        <v>170</v>
      </c>
      <c r="Y364" s="163" t="str">
        <f>IFERROR(VLOOKUP(X364,TD!$J$51:$K$64,2,0)," ")</f>
        <v>Servicio de inspecciones técnicas realizadas</v>
      </c>
      <c r="Z364" s="164" t="str">
        <f t="shared" si="20"/>
        <v>06-Servicio de inspecciones técnicas realizadas</v>
      </c>
      <c r="AA364" s="162" t="s">
        <v>223</v>
      </c>
      <c r="AB364" s="163" t="str">
        <f>IFERROR(VLOOKUP(AA364,TD!$N$51:$O$66,2,0)," ")</f>
        <v>Servicio prevención y control de incendios</v>
      </c>
      <c r="AC364" s="164" t="str">
        <f t="shared" si="21"/>
        <v>035_Servicio prevención y control de incendios</v>
      </c>
      <c r="AD364" s="164" t="str">
        <f t="shared" si="22"/>
        <v>06-Servicio de inspecciones técnicas realizadas 035_Servicio prevención y control de incendios</v>
      </c>
      <c r="AE364" s="163" t="str">
        <f t="shared" si="23"/>
        <v>O23011745032024025506035</v>
      </c>
      <c r="AF364" s="163" t="str">
        <f>IFERROR(VLOOKUP(AD364,TD!$J$66:$K$89,2,0)," ")</f>
        <v>PM/0131/0106/45030350255</v>
      </c>
      <c r="AG364" s="118" t="s">
        <v>385</v>
      </c>
      <c r="AH364" s="162" t="s">
        <v>193</v>
      </c>
      <c r="AI364" s="165" t="str">
        <f>CONCATENATE(PAA[[#This Row],[Id Interno]],"-",PAA[[#This Row],[tipo de Contrato (TH talento humano - B/S bienes y/o servicios)]],"-",S364,"-",T364,"-",PAA[[#This Row],[Objeto de la contratación]])</f>
        <v>20260343-TH-8173-1-Prestar  servicios profesionales en las actividades relacionadas con la emision de conceptos a cargo de la Subdirección de Gestión del Riesgo._SGR</v>
      </c>
    </row>
    <row r="365" spans="2:35" ht="56" x14ac:dyDescent="0.35">
      <c r="B365" s="23">
        <v>20260344</v>
      </c>
      <c r="C365" s="99" t="s">
        <v>533</v>
      </c>
      <c r="D365" s="23" t="s">
        <v>105</v>
      </c>
      <c r="E365" s="23" t="s">
        <v>363</v>
      </c>
      <c r="F365" s="159" t="s">
        <v>144</v>
      </c>
      <c r="G365" s="160" t="s">
        <v>373</v>
      </c>
      <c r="H365" s="161">
        <v>8</v>
      </c>
      <c r="I365" s="161">
        <v>0</v>
      </c>
      <c r="J365" s="127">
        <v>48000000</v>
      </c>
      <c r="K365" s="88" t="s">
        <v>398</v>
      </c>
      <c r="L365" s="159" t="s">
        <v>156</v>
      </c>
      <c r="M365" s="162" t="s">
        <v>496</v>
      </c>
      <c r="N365" s="23" t="s">
        <v>198</v>
      </c>
      <c r="O365" s="150" t="s">
        <v>926</v>
      </c>
      <c r="P365" s="159" t="s">
        <v>348</v>
      </c>
      <c r="Q365" s="53">
        <v>80111600</v>
      </c>
      <c r="R365" s="162" t="s">
        <v>210</v>
      </c>
      <c r="S365" s="162" t="str">
        <f>MID(PAA[[#This Row],[Meta Proyecto de Inversión]],1,4)</f>
        <v>8173</v>
      </c>
      <c r="T365" s="162" t="str">
        <f>MID(PAA[[#This Row],[Meta Proyecto de Inversión]],6,1)</f>
        <v>1</v>
      </c>
      <c r="U365" s="163" t="str">
        <f>IFERROR(VLOOKUP(N365,TD!$B$50:$F$54,2,0)," ")</f>
        <v>O230117</v>
      </c>
      <c r="V365" s="163" t="str">
        <f>IFERROR(VLOOKUP(N365,TD!$B$50:$F$54,3,0)," ")</f>
        <v>4503</v>
      </c>
      <c r="W365" s="163">
        <f>IFERROR(VLOOKUP(N365,TD!$B$50:$F$54,4,0)," ")</f>
        <v>20240255</v>
      </c>
      <c r="X365" s="162" t="s">
        <v>170</v>
      </c>
      <c r="Y365" s="163" t="str">
        <f>IFERROR(VLOOKUP(X365,TD!$J$51:$K$64,2,0)," ")</f>
        <v>Servicio de inspecciones técnicas realizadas</v>
      </c>
      <c r="Z365" s="164" t="str">
        <f t="shared" si="20"/>
        <v>06-Servicio de inspecciones técnicas realizadas</v>
      </c>
      <c r="AA365" s="162" t="s">
        <v>223</v>
      </c>
      <c r="AB365" s="163" t="str">
        <f>IFERROR(VLOOKUP(AA365,TD!$N$51:$O$66,2,0)," ")</f>
        <v>Servicio prevención y control de incendios</v>
      </c>
      <c r="AC365" s="164" t="str">
        <f t="shared" si="21"/>
        <v>035_Servicio prevención y control de incendios</v>
      </c>
      <c r="AD365" s="164" t="str">
        <f t="shared" si="22"/>
        <v>06-Servicio de inspecciones técnicas realizadas 035_Servicio prevención y control de incendios</v>
      </c>
      <c r="AE365" s="163" t="str">
        <f t="shared" si="23"/>
        <v>O23011745032024025506035</v>
      </c>
      <c r="AF365" s="163" t="str">
        <f>IFERROR(VLOOKUP(AD365,TD!$J$66:$K$89,2,0)," ")</f>
        <v>PM/0131/0106/45030350255</v>
      </c>
      <c r="AG365" s="118" t="s">
        <v>385</v>
      </c>
      <c r="AH365" s="162" t="s">
        <v>193</v>
      </c>
      <c r="AI365" s="165" t="str">
        <f>CONCATENATE(PAA[[#This Row],[Id Interno]],"-",PAA[[#This Row],[tipo de Contrato (TH talento humano - B/S bienes y/o servicios)]],"-",S365,"-",T365,"-",PAA[[#This Row],[Objeto de la contratación]])</f>
        <v>20260344-TH-8173-1-Prestarservicios profesionales en las actividades relacionadas con la emision de conceptos a cargo de la Subdirección de Gestión del Riesgo._SGR</v>
      </c>
    </row>
    <row r="366" spans="2:35" ht="56" x14ac:dyDescent="0.35">
      <c r="B366" s="23">
        <v>20260345</v>
      </c>
      <c r="C366" s="99" t="s">
        <v>533</v>
      </c>
      <c r="D366" s="23" t="s">
        <v>105</v>
      </c>
      <c r="E366" s="23" t="s">
        <v>363</v>
      </c>
      <c r="F366" s="159" t="s">
        <v>144</v>
      </c>
      <c r="G366" s="160" t="s">
        <v>373</v>
      </c>
      <c r="H366" s="161">
        <v>8</v>
      </c>
      <c r="I366" s="161">
        <v>0</v>
      </c>
      <c r="J366" s="127">
        <v>48000000</v>
      </c>
      <c r="K366" s="88" t="s">
        <v>398</v>
      </c>
      <c r="L366" s="159" t="s">
        <v>156</v>
      </c>
      <c r="M366" s="162" t="s">
        <v>496</v>
      </c>
      <c r="N366" s="23" t="s">
        <v>198</v>
      </c>
      <c r="O366" s="150" t="s">
        <v>926</v>
      </c>
      <c r="P366" s="159" t="s">
        <v>348</v>
      </c>
      <c r="Q366" s="53">
        <v>80111600</v>
      </c>
      <c r="R366" s="162" t="s">
        <v>210</v>
      </c>
      <c r="S366" s="162" t="str">
        <f>MID(PAA[[#This Row],[Meta Proyecto de Inversión]],1,4)</f>
        <v>8173</v>
      </c>
      <c r="T366" s="162" t="str">
        <f>MID(PAA[[#This Row],[Meta Proyecto de Inversión]],6,1)</f>
        <v>1</v>
      </c>
      <c r="U366" s="163" t="str">
        <f>IFERROR(VLOOKUP(N366,TD!$B$50:$F$54,2,0)," ")</f>
        <v>O230117</v>
      </c>
      <c r="V366" s="163" t="str">
        <f>IFERROR(VLOOKUP(N366,TD!$B$50:$F$54,3,0)," ")</f>
        <v>4503</v>
      </c>
      <c r="W366" s="163">
        <f>IFERROR(VLOOKUP(N366,TD!$B$50:$F$54,4,0)," ")</f>
        <v>20240255</v>
      </c>
      <c r="X366" s="162" t="s">
        <v>170</v>
      </c>
      <c r="Y366" s="163" t="str">
        <f>IFERROR(VLOOKUP(X366,TD!$J$51:$K$64,2,0)," ")</f>
        <v>Servicio de inspecciones técnicas realizadas</v>
      </c>
      <c r="Z366" s="164" t="str">
        <f t="shared" si="20"/>
        <v>06-Servicio de inspecciones técnicas realizadas</v>
      </c>
      <c r="AA366" s="162" t="s">
        <v>223</v>
      </c>
      <c r="AB366" s="163" t="str">
        <f>IFERROR(VLOOKUP(AA366,TD!$N$51:$O$66,2,0)," ")</f>
        <v>Servicio prevención y control de incendios</v>
      </c>
      <c r="AC366" s="164" t="str">
        <f t="shared" si="21"/>
        <v>035_Servicio prevención y control de incendios</v>
      </c>
      <c r="AD366" s="164" t="str">
        <f t="shared" si="22"/>
        <v>06-Servicio de inspecciones técnicas realizadas 035_Servicio prevención y control de incendios</v>
      </c>
      <c r="AE366" s="163" t="str">
        <f t="shared" si="23"/>
        <v>O23011745032024025506035</v>
      </c>
      <c r="AF366" s="163" t="str">
        <f>IFERROR(VLOOKUP(AD366,TD!$J$66:$K$89,2,0)," ")</f>
        <v>PM/0131/0106/45030350255</v>
      </c>
      <c r="AG366" s="118" t="s">
        <v>385</v>
      </c>
      <c r="AH366" s="162" t="s">
        <v>193</v>
      </c>
      <c r="AI366" s="165" t="str">
        <f>CONCATENATE(PAA[[#This Row],[Id Interno]],"-",PAA[[#This Row],[tipo de Contrato (TH talento humano - B/S bienes y/o servicios)]],"-",S366,"-",T366,"-",PAA[[#This Row],[Objeto de la contratación]])</f>
        <v>20260345-TH-8173-1-Prestarservicios profesionales en las actividades relacionadas con la emision de conceptos a cargo de la Subdirección de Gestión del Riesgo._SGR</v>
      </c>
    </row>
    <row r="367" spans="2:35" ht="56" x14ac:dyDescent="0.35">
      <c r="B367" s="23">
        <v>20260346</v>
      </c>
      <c r="C367" s="99" t="s">
        <v>533</v>
      </c>
      <c r="D367" s="23" t="s">
        <v>105</v>
      </c>
      <c r="E367" s="23" t="s">
        <v>363</v>
      </c>
      <c r="F367" s="159" t="s">
        <v>144</v>
      </c>
      <c r="G367" s="160" t="s">
        <v>373</v>
      </c>
      <c r="H367" s="161">
        <v>8</v>
      </c>
      <c r="I367" s="161">
        <v>0</v>
      </c>
      <c r="J367" s="127">
        <v>48000000</v>
      </c>
      <c r="K367" s="88" t="s">
        <v>398</v>
      </c>
      <c r="L367" s="159" t="s">
        <v>156</v>
      </c>
      <c r="M367" s="162" t="s">
        <v>496</v>
      </c>
      <c r="N367" s="23" t="s">
        <v>198</v>
      </c>
      <c r="O367" s="150" t="s">
        <v>926</v>
      </c>
      <c r="P367" s="159" t="s">
        <v>348</v>
      </c>
      <c r="Q367" s="53">
        <v>80111600</v>
      </c>
      <c r="R367" s="162" t="s">
        <v>210</v>
      </c>
      <c r="S367" s="162" t="str">
        <f>MID(PAA[[#This Row],[Meta Proyecto de Inversión]],1,4)</f>
        <v>8173</v>
      </c>
      <c r="T367" s="162" t="str">
        <f>MID(PAA[[#This Row],[Meta Proyecto de Inversión]],6,1)</f>
        <v>1</v>
      </c>
      <c r="U367" s="163" t="str">
        <f>IFERROR(VLOOKUP(N367,TD!$B$50:$F$54,2,0)," ")</f>
        <v>O230117</v>
      </c>
      <c r="V367" s="163" t="str">
        <f>IFERROR(VLOOKUP(N367,TD!$B$50:$F$54,3,0)," ")</f>
        <v>4503</v>
      </c>
      <c r="W367" s="163">
        <f>IFERROR(VLOOKUP(N367,TD!$B$50:$F$54,4,0)," ")</f>
        <v>20240255</v>
      </c>
      <c r="X367" s="162" t="s">
        <v>170</v>
      </c>
      <c r="Y367" s="163" t="str">
        <f>IFERROR(VLOOKUP(X367,TD!$J$51:$K$64,2,0)," ")</f>
        <v>Servicio de inspecciones técnicas realizadas</v>
      </c>
      <c r="Z367" s="164" t="str">
        <f t="shared" si="20"/>
        <v>06-Servicio de inspecciones técnicas realizadas</v>
      </c>
      <c r="AA367" s="162" t="s">
        <v>223</v>
      </c>
      <c r="AB367" s="163" t="str">
        <f>IFERROR(VLOOKUP(AA367,TD!$N$51:$O$66,2,0)," ")</f>
        <v>Servicio prevención y control de incendios</v>
      </c>
      <c r="AC367" s="164" t="str">
        <f t="shared" si="21"/>
        <v>035_Servicio prevención y control de incendios</v>
      </c>
      <c r="AD367" s="164" t="str">
        <f t="shared" si="22"/>
        <v>06-Servicio de inspecciones técnicas realizadas 035_Servicio prevención y control de incendios</v>
      </c>
      <c r="AE367" s="163" t="str">
        <f t="shared" si="23"/>
        <v>O23011745032024025506035</v>
      </c>
      <c r="AF367" s="163" t="str">
        <f>IFERROR(VLOOKUP(AD367,TD!$J$66:$K$89,2,0)," ")</f>
        <v>PM/0131/0106/45030350255</v>
      </c>
      <c r="AG367" s="118" t="s">
        <v>385</v>
      </c>
      <c r="AH367" s="162" t="s">
        <v>193</v>
      </c>
      <c r="AI367" s="165" t="str">
        <f>CONCATENATE(PAA[[#This Row],[Id Interno]],"-",PAA[[#This Row],[tipo de Contrato (TH talento humano - B/S bienes y/o servicios)]],"-",S367,"-",T367,"-",PAA[[#This Row],[Objeto de la contratación]])</f>
        <v>20260346-TH-8173-1-Prestarservicios profesionales en las actividades relacionadas con la emision de conceptos a cargo de la Subdirección de Gestión del Riesgo._SGR</v>
      </c>
    </row>
    <row r="368" spans="2:35" ht="56" x14ac:dyDescent="0.35">
      <c r="B368" s="23">
        <v>20260347</v>
      </c>
      <c r="C368" s="99" t="s">
        <v>533</v>
      </c>
      <c r="D368" s="23" t="s">
        <v>105</v>
      </c>
      <c r="E368" s="23" t="s">
        <v>363</v>
      </c>
      <c r="F368" s="159" t="s">
        <v>144</v>
      </c>
      <c r="G368" s="160" t="s">
        <v>373</v>
      </c>
      <c r="H368" s="161">
        <v>10</v>
      </c>
      <c r="I368" s="161">
        <v>0</v>
      </c>
      <c r="J368" s="127">
        <v>70000000</v>
      </c>
      <c r="K368" s="88" t="s">
        <v>398</v>
      </c>
      <c r="L368" s="159" t="s">
        <v>156</v>
      </c>
      <c r="M368" s="162" t="s">
        <v>496</v>
      </c>
      <c r="N368" s="23" t="s">
        <v>198</v>
      </c>
      <c r="O368" s="150" t="s">
        <v>926</v>
      </c>
      <c r="P368" s="159" t="s">
        <v>348</v>
      </c>
      <c r="Q368" s="53">
        <v>80111600</v>
      </c>
      <c r="R368" s="162" t="s">
        <v>210</v>
      </c>
      <c r="S368" s="162" t="str">
        <f>MID(PAA[[#This Row],[Meta Proyecto de Inversión]],1,4)</f>
        <v>8173</v>
      </c>
      <c r="T368" s="162" t="str">
        <f>MID(PAA[[#This Row],[Meta Proyecto de Inversión]],6,1)</f>
        <v>1</v>
      </c>
      <c r="U368" s="163" t="str">
        <f>IFERROR(VLOOKUP(N368,TD!$B$50:$F$54,2,0)," ")</f>
        <v>O230117</v>
      </c>
      <c r="V368" s="163" t="str">
        <f>IFERROR(VLOOKUP(N368,TD!$B$50:$F$54,3,0)," ")</f>
        <v>4503</v>
      </c>
      <c r="W368" s="163">
        <f>IFERROR(VLOOKUP(N368,TD!$B$50:$F$54,4,0)," ")</f>
        <v>20240255</v>
      </c>
      <c r="X368" s="162" t="s">
        <v>170</v>
      </c>
      <c r="Y368" s="163" t="str">
        <f>IFERROR(VLOOKUP(X368,TD!$J$51:$K$64,2,0)," ")</f>
        <v>Servicio de inspecciones técnicas realizadas</v>
      </c>
      <c r="Z368" s="164" t="str">
        <f t="shared" si="20"/>
        <v>06-Servicio de inspecciones técnicas realizadas</v>
      </c>
      <c r="AA368" s="162" t="s">
        <v>223</v>
      </c>
      <c r="AB368" s="163" t="str">
        <f>IFERROR(VLOOKUP(AA368,TD!$N$51:$O$66,2,0)," ")</f>
        <v>Servicio prevención y control de incendios</v>
      </c>
      <c r="AC368" s="164" t="str">
        <f t="shared" si="21"/>
        <v>035_Servicio prevención y control de incendios</v>
      </c>
      <c r="AD368" s="164" t="str">
        <f t="shared" si="22"/>
        <v>06-Servicio de inspecciones técnicas realizadas 035_Servicio prevención y control de incendios</v>
      </c>
      <c r="AE368" s="163" t="str">
        <f t="shared" si="23"/>
        <v>O23011745032024025506035</v>
      </c>
      <c r="AF368" s="163" t="str">
        <f>IFERROR(VLOOKUP(AD368,TD!$J$66:$K$89,2,0)," ")</f>
        <v>PM/0131/0106/45030350255</v>
      </c>
      <c r="AG368" s="118" t="s">
        <v>385</v>
      </c>
      <c r="AH368" s="162" t="s">
        <v>193</v>
      </c>
      <c r="AI368" s="165" t="str">
        <f>CONCATENATE(PAA[[#This Row],[Id Interno]],"-",PAA[[#This Row],[tipo de Contrato (TH talento humano - B/S bienes y/o servicios)]],"-",S368,"-",T368,"-",PAA[[#This Row],[Objeto de la contratación]])</f>
        <v>20260347-TH-8173-1-Prestarservicios profesionales en las actividades relacionadas con la emision de conceptos a cargo de la Subdirección de Gestión del Riesgo._SGR</v>
      </c>
    </row>
    <row r="369" spans="2:35" ht="56" x14ac:dyDescent="0.35">
      <c r="B369" s="23">
        <v>20260348</v>
      </c>
      <c r="C369" s="99" t="s">
        <v>533</v>
      </c>
      <c r="D369" s="23" t="s">
        <v>105</v>
      </c>
      <c r="E369" s="23" t="s">
        <v>363</v>
      </c>
      <c r="F369" s="159" t="s">
        <v>144</v>
      </c>
      <c r="G369" s="160" t="s">
        <v>373</v>
      </c>
      <c r="H369" s="161">
        <v>10</v>
      </c>
      <c r="I369" s="161">
        <v>0</v>
      </c>
      <c r="J369" s="127">
        <v>70000000</v>
      </c>
      <c r="K369" s="88" t="s">
        <v>398</v>
      </c>
      <c r="L369" s="159" t="s">
        <v>156</v>
      </c>
      <c r="M369" s="162" t="s">
        <v>496</v>
      </c>
      <c r="N369" s="23" t="s">
        <v>198</v>
      </c>
      <c r="O369" s="150" t="s">
        <v>926</v>
      </c>
      <c r="P369" s="159" t="s">
        <v>348</v>
      </c>
      <c r="Q369" s="53">
        <v>80111600</v>
      </c>
      <c r="R369" s="162" t="s">
        <v>210</v>
      </c>
      <c r="S369" s="162" t="str">
        <f>MID(PAA[[#This Row],[Meta Proyecto de Inversión]],1,4)</f>
        <v>8173</v>
      </c>
      <c r="T369" s="162" t="str">
        <f>MID(PAA[[#This Row],[Meta Proyecto de Inversión]],6,1)</f>
        <v>1</v>
      </c>
      <c r="U369" s="163" t="str">
        <f>IFERROR(VLOOKUP(N369,TD!$B$50:$F$54,2,0)," ")</f>
        <v>O230117</v>
      </c>
      <c r="V369" s="163" t="str">
        <f>IFERROR(VLOOKUP(N369,TD!$B$50:$F$54,3,0)," ")</f>
        <v>4503</v>
      </c>
      <c r="W369" s="163">
        <f>IFERROR(VLOOKUP(N369,TD!$B$50:$F$54,4,0)," ")</f>
        <v>20240255</v>
      </c>
      <c r="X369" s="162" t="s">
        <v>170</v>
      </c>
      <c r="Y369" s="163" t="str">
        <f>IFERROR(VLOOKUP(X369,TD!$J$51:$K$64,2,0)," ")</f>
        <v>Servicio de inspecciones técnicas realizadas</v>
      </c>
      <c r="Z369" s="164" t="str">
        <f t="shared" si="20"/>
        <v>06-Servicio de inspecciones técnicas realizadas</v>
      </c>
      <c r="AA369" s="162" t="s">
        <v>223</v>
      </c>
      <c r="AB369" s="163" t="str">
        <f>IFERROR(VLOOKUP(AA369,TD!$N$51:$O$66,2,0)," ")</f>
        <v>Servicio prevención y control de incendios</v>
      </c>
      <c r="AC369" s="164" t="str">
        <f t="shared" si="21"/>
        <v>035_Servicio prevención y control de incendios</v>
      </c>
      <c r="AD369" s="164" t="str">
        <f t="shared" si="22"/>
        <v>06-Servicio de inspecciones técnicas realizadas 035_Servicio prevención y control de incendios</v>
      </c>
      <c r="AE369" s="163" t="str">
        <f t="shared" si="23"/>
        <v>O23011745032024025506035</v>
      </c>
      <c r="AF369" s="163" t="str">
        <f>IFERROR(VLOOKUP(AD369,TD!$J$66:$K$89,2,0)," ")</f>
        <v>PM/0131/0106/45030350255</v>
      </c>
      <c r="AG369" s="118" t="s">
        <v>385</v>
      </c>
      <c r="AH369" s="162" t="s">
        <v>193</v>
      </c>
      <c r="AI369" s="165" t="str">
        <f>CONCATENATE(PAA[[#This Row],[Id Interno]],"-",PAA[[#This Row],[tipo de Contrato (TH talento humano - B/S bienes y/o servicios)]],"-",S369,"-",T369,"-",PAA[[#This Row],[Objeto de la contratación]])</f>
        <v>20260348-TH-8173-1-Prestarservicios profesionales en las actividades relacionadas con la emision de conceptos a cargo de la Subdirección de Gestión del Riesgo._SGR</v>
      </c>
    </row>
    <row r="370" spans="2:35" ht="56" x14ac:dyDescent="0.35">
      <c r="B370" s="23">
        <v>20260349</v>
      </c>
      <c r="C370" s="99" t="s">
        <v>534</v>
      </c>
      <c r="D370" s="23" t="s">
        <v>105</v>
      </c>
      <c r="E370" s="23" t="s">
        <v>363</v>
      </c>
      <c r="F370" s="159" t="s">
        <v>145</v>
      </c>
      <c r="G370" s="160" t="s">
        <v>373</v>
      </c>
      <c r="H370" s="161">
        <v>10</v>
      </c>
      <c r="I370" s="161">
        <v>0</v>
      </c>
      <c r="J370" s="127">
        <v>45000000</v>
      </c>
      <c r="K370" s="88" t="s">
        <v>398</v>
      </c>
      <c r="L370" s="159" t="s">
        <v>156</v>
      </c>
      <c r="M370" s="162" t="s">
        <v>496</v>
      </c>
      <c r="N370" s="23" t="s">
        <v>198</v>
      </c>
      <c r="O370" s="150" t="s">
        <v>926</v>
      </c>
      <c r="P370" s="159" t="s">
        <v>348</v>
      </c>
      <c r="Q370" s="53">
        <v>80111600</v>
      </c>
      <c r="R370" s="162" t="s">
        <v>210</v>
      </c>
      <c r="S370" s="162" t="str">
        <f>MID(PAA[[#This Row],[Meta Proyecto de Inversión]],1,4)</f>
        <v>8173</v>
      </c>
      <c r="T370" s="162" t="str">
        <f>MID(PAA[[#This Row],[Meta Proyecto de Inversión]],6,1)</f>
        <v>1</v>
      </c>
      <c r="U370" s="163" t="str">
        <f>IFERROR(VLOOKUP(N370,TD!$B$50:$F$54,2,0)," ")</f>
        <v>O230117</v>
      </c>
      <c r="V370" s="163" t="str">
        <f>IFERROR(VLOOKUP(N370,TD!$B$50:$F$54,3,0)," ")</f>
        <v>4503</v>
      </c>
      <c r="W370" s="163">
        <f>IFERROR(VLOOKUP(N370,TD!$B$50:$F$54,4,0)," ")</f>
        <v>20240255</v>
      </c>
      <c r="X370" s="162" t="s">
        <v>170</v>
      </c>
      <c r="Y370" s="163" t="str">
        <f>IFERROR(VLOOKUP(X370,TD!$J$51:$K$64,2,0)," ")</f>
        <v>Servicio de inspecciones técnicas realizadas</v>
      </c>
      <c r="Z370" s="164" t="str">
        <f t="shared" si="20"/>
        <v>06-Servicio de inspecciones técnicas realizadas</v>
      </c>
      <c r="AA370" s="162" t="s">
        <v>223</v>
      </c>
      <c r="AB370" s="163" t="str">
        <f>IFERROR(VLOOKUP(AA370,TD!$N$51:$O$66,2,0)," ")</f>
        <v>Servicio prevención y control de incendios</v>
      </c>
      <c r="AC370" s="164" t="str">
        <f t="shared" si="21"/>
        <v>035_Servicio prevención y control de incendios</v>
      </c>
      <c r="AD370" s="164" t="str">
        <f t="shared" si="22"/>
        <v>06-Servicio de inspecciones técnicas realizadas 035_Servicio prevención y control de incendios</v>
      </c>
      <c r="AE370" s="163" t="str">
        <f t="shared" si="23"/>
        <v>O23011745032024025506035</v>
      </c>
      <c r="AF370" s="163" t="str">
        <f>IFERROR(VLOOKUP(AD370,TD!$J$66:$K$89,2,0)," ")</f>
        <v>PM/0131/0106/45030350255</v>
      </c>
      <c r="AG370" s="118" t="s">
        <v>385</v>
      </c>
      <c r="AH370" s="162" t="s">
        <v>193</v>
      </c>
      <c r="AI370" s="165" t="str">
        <f>CONCATENATE(PAA[[#This Row],[Id Interno]],"-",PAA[[#This Row],[tipo de Contrato (TH talento humano - B/S bienes y/o servicios)]],"-",S370,"-",T370,"-",PAA[[#This Row],[Objeto de la contratación]])</f>
        <v>20260349-TH-8173-1-Prestar  servicios de apoyo tecnico para realizar las inspecciones relacionadas con la emision de conceptos a cargo de la Subdirección de Gestión del Riesgo._SGR</v>
      </c>
    </row>
    <row r="371" spans="2:35" ht="56" x14ac:dyDescent="0.35">
      <c r="B371" s="23">
        <v>20260350</v>
      </c>
      <c r="C371" s="99" t="s">
        <v>534</v>
      </c>
      <c r="D371" s="23" t="s">
        <v>105</v>
      </c>
      <c r="E371" s="23" t="s">
        <v>363</v>
      </c>
      <c r="F371" s="159" t="s">
        <v>145</v>
      </c>
      <c r="G371" s="160" t="s">
        <v>373</v>
      </c>
      <c r="H371" s="161">
        <v>10</v>
      </c>
      <c r="I371" s="161">
        <v>0</v>
      </c>
      <c r="J371" s="127">
        <v>40000000</v>
      </c>
      <c r="K371" s="88" t="s">
        <v>398</v>
      </c>
      <c r="L371" s="159" t="s">
        <v>156</v>
      </c>
      <c r="M371" s="162" t="s">
        <v>496</v>
      </c>
      <c r="N371" s="23" t="s">
        <v>198</v>
      </c>
      <c r="O371" s="150" t="s">
        <v>926</v>
      </c>
      <c r="P371" s="159" t="s">
        <v>348</v>
      </c>
      <c r="Q371" s="53">
        <v>80111600</v>
      </c>
      <c r="R371" s="162" t="s">
        <v>210</v>
      </c>
      <c r="S371" s="162" t="str">
        <f>MID(PAA[[#This Row],[Meta Proyecto de Inversión]],1,4)</f>
        <v>8173</v>
      </c>
      <c r="T371" s="162" t="str">
        <f>MID(PAA[[#This Row],[Meta Proyecto de Inversión]],6,1)</f>
        <v>1</v>
      </c>
      <c r="U371" s="163" t="str">
        <f>IFERROR(VLOOKUP(N371,TD!$B$50:$F$54,2,0)," ")</f>
        <v>O230117</v>
      </c>
      <c r="V371" s="163" t="str">
        <f>IFERROR(VLOOKUP(N371,TD!$B$50:$F$54,3,0)," ")</f>
        <v>4503</v>
      </c>
      <c r="W371" s="163">
        <f>IFERROR(VLOOKUP(N371,TD!$B$50:$F$54,4,0)," ")</f>
        <v>20240255</v>
      </c>
      <c r="X371" s="162" t="s">
        <v>170</v>
      </c>
      <c r="Y371" s="163" t="str">
        <f>IFERROR(VLOOKUP(X371,TD!$J$51:$K$64,2,0)," ")</f>
        <v>Servicio de inspecciones técnicas realizadas</v>
      </c>
      <c r="Z371" s="164" t="str">
        <f t="shared" si="20"/>
        <v>06-Servicio de inspecciones técnicas realizadas</v>
      </c>
      <c r="AA371" s="162" t="s">
        <v>223</v>
      </c>
      <c r="AB371" s="163" t="str">
        <f>IFERROR(VLOOKUP(AA371,TD!$N$51:$O$66,2,0)," ")</f>
        <v>Servicio prevención y control de incendios</v>
      </c>
      <c r="AC371" s="164" t="str">
        <f t="shared" si="21"/>
        <v>035_Servicio prevención y control de incendios</v>
      </c>
      <c r="AD371" s="164" t="str">
        <f t="shared" si="22"/>
        <v>06-Servicio de inspecciones técnicas realizadas 035_Servicio prevención y control de incendios</v>
      </c>
      <c r="AE371" s="163" t="str">
        <f t="shared" si="23"/>
        <v>O23011745032024025506035</v>
      </c>
      <c r="AF371" s="163" t="str">
        <f>IFERROR(VLOOKUP(AD371,TD!$J$66:$K$89,2,0)," ")</f>
        <v>PM/0131/0106/45030350255</v>
      </c>
      <c r="AG371" s="118" t="s">
        <v>385</v>
      </c>
      <c r="AH371" s="162" t="s">
        <v>193</v>
      </c>
      <c r="AI371" s="165" t="str">
        <f>CONCATENATE(PAA[[#This Row],[Id Interno]],"-",PAA[[#This Row],[tipo de Contrato (TH talento humano - B/S bienes y/o servicios)]],"-",S371,"-",T371,"-",PAA[[#This Row],[Objeto de la contratación]])</f>
        <v>20260350-TH-8173-1-Prestar  servicios de apoyo tecnico para realizar las inspecciones relacionadas con la emision de conceptos a cargo de la Subdirección de Gestión del Riesgo._SGR</v>
      </c>
    </row>
    <row r="372" spans="2:35" ht="56" x14ac:dyDescent="0.35">
      <c r="B372" s="23">
        <v>20260351</v>
      </c>
      <c r="C372" s="99" t="s">
        <v>534</v>
      </c>
      <c r="D372" s="23" t="s">
        <v>105</v>
      </c>
      <c r="E372" s="23" t="s">
        <v>363</v>
      </c>
      <c r="F372" s="159" t="s">
        <v>145</v>
      </c>
      <c r="G372" s="160" t="s">
        <v>373</v>
      </c>
      <c r="H372" s="161">
        <v>10</v>
      </c>
      <c r="I372" s="161">
        <v>0</v>
      </c>
      <c r="J372" s="127">
        <v>40000000</v>
      </c>
      <c r="K372" s="88" t="s">
        <v>398</v>
      </c>
      <c r="L372" s="159" t="s">
        <v>156</v>
      </c>
      <c r="M372" s="162" t="s">
        <v>496</v>
      </c>
      <c r="N372" s="23" t="s">
        <v>198</v>
      </c>
      <c r="O372" s="150" t="s">
        <v>926</v>
      </c>
      <c r="P372" s="159" t="s">
        <v>348</v>
      </c>
      <c r="Q372" s="53">
        <v>80111600</v>
      </c>
      <c r="R372" s="162" t="s">
        <v>210</v>
      </c>
      <c r="S372" s="162" t="str">
        <f>MID(PAA[[#This Row],[Meta Proyecto de Inversión]],1,4)</f>
        <v>8173</v>
      </c>
      <c r="T372" s="162" t="str">
        <f>MID(PAA[[#This Row],[Meta Proyecto de Inversión]],6,1)</f>
        <v>1</v>
      </c>
      <c r="U372" s="163" t="str">
        <f>IFERROR(VLOOKUP(N372,TD!$B$50:$F$54,2,0)," ")</f>
        <v>O230117</v>
      </c>
      <c r="V372" s="163" t="str">
        <f>IFERROR(VLOOKUP(N372,TD!$B$50:$F$54,3,0)," ")</f>
        <v>4503</v>
      </c>
      <c r="W372" s="163">
        <f>IFERROR(VLOOKUP(N372,TD!$B$50:$F$54,4,0)," ")</f>
        <v>20240255</v>
      </c>
      <c r="X372" s="162" t="s">
        <v>170</v>
      </c>
      <c r="Y372" s="163" t="str">
        <f>IFERROR(VLOOKUP(X372,TD!$J$51:$K$64,2,0)," ")</f>
        <v>Servicio de inspecciones técnicas realizadas</v>
      </c>
      <c r="Z372" s="164" t="str">
        <f t="shared" si="20"/>
        <v>06-Servicio de inspecciones técnicas realizadas</v>
      </c>
      <c r="AA372" s="162" t="s">
        <v>223</v>
      </c>
      <c r="AB372" s="163" t="str">
        <f>IFERROR(VLOOKUP(AA372,TD!$N$51:$O$66,2,0)," ")</f>
        <v>Servicio prevención y control de incendios</v>
      </c>
      <c r="AC372" s="164" t="str">
        <f t="shared" si="21"/>
        <v>035_Servicio prevención y control de incendios</v>
      </c>
      <c r="AD372" s="164" t="str">
        <f t="shared" si="22"/>
        <v>06-Servicio de inspecciones técnicas realizadas 035_Servicio prevención y control de incendios</v>
      </c>
      <c r="AE372" s="163" t="str">
        <f t="shared" si="23"/>
        <v>O23011745032024025506035</v>
      </c>
      <c r="AF372" s="163" t="str">
        <f>IFERROR(VLOOKUP(AD372,TD!$J$66:$K$89,2,0)," ")</f>
        <v>PM/0131/0106/45030350255</v>
      </c>
      <c r="AG372" s="118" t="s">
        <v>385</v>
      </c>
      <c r="AH372" s="162" t="s">
        <v>193</v>
      </c>
      <c r="AI372" s="165" t="str">
        <f>CONCATENATE(PAA[[#This Row],[Id Interno]],"-",PAA[[#This Row],[tipo de Contrato (TH talento humano - B/S bienes y/o servicios)]],"-",S372,"-",T372,"-",PAA[[#This Row],[Objeto de la contratación]])</f>
        <v>20260351-TH-8173-1-Prestar  servicios de apoyo tecnico para realizar las inspecciones relacionadas con la emision de conceptos a cargo de la Subdirección de Gestión del Riesgo._SGR</v>
      </c>
    </row>
    <row r="373" spans="2:35" ht="56" x14ac:dyDescent="0.35">
      <c r="B373" s="23">
        <v>20260352</v>
      </c>
      <c r="C373" s="99" t="s">
        <v>534</v>
      </c>
      <c r="D373" s="23" t="s">
        <v>105</v>
      </c>
      <c r="E373" s="23" t="s">
        <v>363</v>
      </c>
      <c r="F373" s="159" t="s">
        <v>145</v>
      </c>
      <c r="G373" s="160" t="s">
        <v>373</v>
      </c>
      <c r="H373" s="161">
        <v>10</v>
      </c>
      <c r="I373" s="161">
        <v>0</v>
      </c>
      <c r="J373" s="127">
        <v>40000000</v>
      </c>
      <c r="K373" s="88" t="s">
        <v>398</v>
      </c>
      <c r="L373" s="159" t="s">
        <v>156</v>
      </c>
      <c r="M373" s="162" t="s">
        <v>496</v>
      </c>
      <c r="N373" s="23" t="s">
        <v>198</v>
      </c>
      <c r="O373" s="150" t="s">
        <v>926</v>
      </c>
      <c r="P373" s="159" t="s">
        <v>348</v>
      </c>
      <c r="Q373" s="53">
        <v>80111600</v>
      </c>
      <c r="R373" s="162" t="s">
        <v>210</v>
      </c>
      <c r="S373" s="162" t="str">
        <f>MID(PAA[[#This Row],[Meta Proyecto de Inversión]],1,4)</f>
        <v>8173</v>
      </c>
      <c r="T373" s="162" t="str">
        <f>MID(PAA[[#This Row],[Meta Proyecto de Inversión]],6,1)</f>
        <v>1</v>
      </c>
      <c r="U373" s="163" t="str">
        <f>IFERROR(VLOOKUP(N373,TD!$B$50:$F$54,2,0)," ")</f>
        <v>O230117</v>
      </c>
      <c r="V373" s="163" t="str">
        <f>IFERROR(VLOOKUP(N373,TD!$B$50:$F$54,3,0)," ")</f>
        <v>4503</v>
      </c>
      <c r="W373" s="163">
        <f>IFERROR(VLOOKUP(N373,TD!$B$50:$F$54,4,0)," ")</f>
        <v>20240255</v>
      </c>
      <c r="X373" s="162" t="s">
        <v>170</v>
      </c>
      <c r="Y373" s="163" t="str">
        <f>IFERROR(VLOOKUP(X373,TD!$J$51:$K$64,2,0)," ")</f>
        <v>Servicio de inspecciones técnicas realizadas</v>
      </c>
      <c r="Z373" s="164" t="str">
        <f t="shared" si="20"/>
        <v>06-Servicio de inspecciones técnicas realizadas</v>
      </c>
      <c r="AA373" s="162" t="s">
        <v>223</v>
      </c>
      <c r="AB373" s="163" t="str">
        <f>IFERROR(VLOOKUP(AA373,TD!$N$51:$O$66,2,0)," ")</f>
        <v>Servicio prevención y control de incendios</v>
      </c>
      <c r="AC373" s="164" t="str">
        <f t="shared" si="21"/>
        <v>035_Servicio prevención y control de incendios</v>
      </c>
      <c r="AD373" s="164" t="str">
        <f t="shared" si="22"/>
        <v>06-Servicio de inspecciones técnicas realizadas 035_Servicio prevención y control de incendios</v>
      </c>
      <c r="AE373" s="163" t="str">
        <f t="shared" si="23"/>
        <v>O23011745032024025506035</v>
      </c>
      <c r="AF373" s="163" t="str">
        <f>IFERROR(VLOOKUP(AD373,TD!$J$66:$K$89,2,0)," ")</f>
        <v>PM/0131/0106/45030350255</v>
      </c>
      <c r="AG373" s="118" t="s">
        <v>385</v>
      </c>
      <c r="AH373" s="162" t="s">
        <v>193</v>
      </c>
      <c r="AI373" s="165" t="str">
        <f>CONCATENATE(PAA[[#This Row],[Id Interno]],"-",PAA[[#This Row],[tipo de Contrato (TH talento humano - B/S bienes y/o servicios)]],"-",S373,"-",T373,"-",PAA[[#This Row],[Objeto de la contratación]])</f>
        <v>20260352-TH-8173-1-Prestar  servicios de apoyo tecnico para realizar las inspecciones relacionadas con la emision de conceptos a cargo de la Subdirección de Gestión del Riesgo._SGR</v>
      </c>
    </row>
    <row r="374" spans="2:35" ht="56" x14ac:dyDescent="0.35">
      <c r="B374" s="23">
        <v>20260353</v>
      </c>
      <c r="C374" s="99" t="s">
        <v>534</v>
      </c>
      <c r="D374" s="23" t="s">
        <v>105</v>
      </c>
      <c r="E374" s="23" t="s">
        <v>363</v>
      </c>
      <c r="F374" s="159" t="s">
        <v>145</v>
      </c>
      <c r="G374" s="160" t="s">
        <v>373</v>
      </c>
      <c r="H374" s="161">
        <v>10</v>
      </c>
      <c r="I374" s="161">
        <v>0</v>
      </c>
      <c r="J374" s="127">
        <v>40000000</v>
      </c>
      <c r="K374" s="88" t="s">
        <v>398</v>
      </c>
      <c r="L374" s="159" t="s">
        <v>156</v>
      </c>
      <c r="M374" s="162" t="s">
        <v>496</v>
      </c>
      <c r="N374" s="23" t="s">
        <v>198</v>
      </c>
      <c r="O374" s="150" t="s">
        <v>926</v>
      </c>
      <c r="P374" s="159" t="s">
        <v>348</v>
      </c>
      <c r="Q374" s="53">
        <v>80111600</v>
      </c>
      <c r="R374" s="162" t="s">
        <v>210</v>
      </c>
      <c r="S374" s="162" t="str">
        <f>MID(PAA[[#This Row],[Meta Proyecto de Inversión]],1,4)</f>
        <v>8173</v>
      </c>
      <c r="T374" s="162" t="str">
        <f>MID(PAA[[#This Row],[Meta Proyecto de Inversión]],6,1)</f>
        <v>1</v>
      </c>
      <c r="U374" s="163" t="str">
        <f>IFERROR(VLOOKUP(N374,TD!$B$50:$F$54,2,0)," ")</f>
        <v>O230117</v>
      </c>
      <c r="V374" s="163" t="str">
        <f>IFERROR(VLOOKUP(N374,TD!$B$50:$F$54,3,0)," ")</f>
        <v>4503</v>
      </c>
      <c r="W374" s="163">
        <f>IFERROR(VLOOKUP(N374,TD!$B$50:$F$54,4,0)," ")</f>
        <v>20240255</v>
      </c>
      <c r="X374" s="162" t="s">
        <v>170</v>
      </c>
      <c r="Y374" s="163" t="str">
        <f>IFERROR(VLOOKUP(X374,TD!$J$51:$K$64,2,0)," ")</f>
        <v>Servicio de inspecciones técnicas realizadas</v>
      </c>
      <c r="Z374" s="164" t="str">
        <f t="shared" si="20"/>
        <v>06-Servicio de inspecciones técnicas realizadas</v>
      </c>
      <c r="AA374" s="162" t="s">
        <v>223</v>
      </c>
      <c r="AB374" s="163" t="str">
        <f>IFERROR(VLOOKUP(AA374,TD!$N$51:$O$66,2,0)," ")</f>
        <v>Servicio prevención y control de incendios</v>
      </c>
      <c r="AC374" s="164" t="str">
        <f t="shared" si="21"/>
        <v>035_Servicio prevención y control de incendios</v>
      </c>
      <c r="AD374" s="164" t="str">
        <f t="shared" si="22"/>
        <v>06-Servicio de inspecciones técnicas realizadas 035_Servicio prevención y control de incendios</v>
      </c>
      <c r="AE374" s="163" t="str">
        <f t="shared" si="23"/>
        <v>O23011745032024025506035</v>
      </c>
      <c r="AF374" s="163" t="str">
        <f>IFERROR(VLOOKUP(AD374,TD!$J$66:$K$89,2,0)," ")</f>
        <v>PM/0131/0106/45030350255</v>
      </c>
      <c r="AG374" s="118" t="s">
        <v>385</v>
      </c>
      <c r="AH374" s="162" t="s">
        <v>193</v>
      </c>
      <c r="AI374" s="165" t="str">
        <f>CONCATENATE(PAA[[#This Row],[Id Interno]],"-",PAA[[#This Row],[tipo de Contrato (TH talento humano - B/S bienes y/o servicios)]],"-",S374,"-",T374,"-",PAA[[#This Row],[Objeto de la contratación]])</f>
        <v>20260353-TH-8173-1-Prestar  servicios de apoyo tecnico para realizar las inspecciones relacionadas con la emision de conceptos a cargo de la Subdirección de Gestión del Riesgo._SGR</v>
      </c>
    </row>
    <row r="375" spans="2:35" ht="56" x14ac:dyDescent="0.35">
      <c r="B375" s="23">
        <v>20260354</v>
      </c>
      <c r="C375" s="99" t="s">
        <v>535</v>
      </c>
      <c r="D375" s="23" t="s">
        <v>105</v>
      </c>
      <c r="E375" s="23" t="s">
        <v>363</v>
      </c>
      <c r="F375" s="159" t="s">
        <v>145</v>
      </c>
      <c r="G375" s="160" t="s">
        <v>373</v>
      </c>
      <c r="H375" s="161">
        <v>10</v>
      </c>
      <c r="I375" s="161">
        <v>0</v>
      </c>
      <c r="J375" s="127">
        <v>40000000</v>
      </c>
      <c r="K375" s="88" t="s">
        <v>398</v>
      </c>
      <c r="L375" s="159" t="s">
        <v>156</v>
      </c>
      <c r="M375" s="162" t="s">
        <v>496</v>
      </c>
      <c r="N375" s="23" t="s">
        <v>198</v>
      </c>
      <c r="O375" s="150" t="s">
        <v>926</v>
      </c>
      <c r="P375" s="159" t="s">
        <v>348</v>
      </c>
      <c r="Q375" s="53">
        <v>80111600</v>
      </c>
      <c r="R375" s="162" t="s">
        <v>210</v>
      </c>
      <c r="S375" s="162" t="str">
        <f>MID(PAA[[#This Row],[Meta Proyecto de Inversión]],1,4)</f>
        <v>8173</v>
      </c>
      <c r="T375" s="162" t="str">
        <f>MID(PAA[[#This Row],[Meta Proyecto de Inversión]],6,1)</f>
        <v>1</v>
      </c>
      <c r="U375" s="163" t="str">
        <f>IFERROR(VLOOKUP(N375,TD!$B$50:$F$54,2,0)," ")</f>
        <v>O230117</v>
      </c>
      <c r="V375" s="163" t="str">
        <f>IFERROR(VLOOKUP(N375,TD!$B$50:$F$54,3,0)," ")</f>
        <v>4503</v>
      </c>
      <c r="W375" s="163">
        <f>IFERROR(VLOOKUP(N375,TD!$B$50:$F$54,4,0)," ")</f>
        <v>20240255</v>
      </c>
      <c r="X375" s="162" t="s">
        <v>170</v>
      </c>
      <c r="Y375" s="163" t="str">
        <f>IFERROR(VLOOKUP(X375,TD!$J$51:$K$64,2,0)," ")</f>
        <v>Servicio de inspecciones técnicas realizadas</v>
      </c>
      <c r="Z375" s="164" t="str">
        <f t="shared" si="20"/>
        <v>06-Servicio de inspecciones técnicas realizadas</v>
      </c>
      <c r="AA375" s="162" t="s">
        <v>223</v>
      </c>
      <c r="AB375" s="163" t="str">
        <f>IFERROR(VLOOKUP(AA375,TD!$N$51:$O$66,2,0)," ")</f>
        <v>Servicio prevención y control de incendios</v>
      </c>
      <c r="AC375" s="164" t="str">
        <f t="shared" si="21"/>
        <v>035_Servicio prevención y control de incendios</v>
      </c>
      <c r="AD375" s="164" t="str">
        <f t="shared" si="22"/>
        <v>06-Servicio de inspecciones técnicas realizadas 035_Servicio prevención y control de incendios</v>
      </c>
      <c r="AE375" s="163" t="str">
        <f t="shared" si="23"/>
        <v>O23011745032024025506035</v>
      </c>
      <c r="AF375" s="163" t="str">
        <f>IFERROR(VLOOKUP(AD375,TD!$J$66:$K$89,2,0)," ")</f>
        <v>PM/0131/0106/45030350255</v>
      </c>
      <c r="AG375" s="118" t="s">
        <v>385</v>
      </c>
      <c r="AH375" s="162" t="s">
        <v>193</v>
      </c>
      <c r="AI375" s="165" t="str">
        <f>CONCATENATE(PAA[[#This Row],[Id Interno]],"-",PAA[[#This Row],[tipo de Contrato (TH talento humano - B/S bienes y/o servicios)]],"-",S375,"-",T375,"-",PAA[[#This Row],[Objeto de la contratación]])</f>
        <v>20260354-TH-8173-1-  Prestar  servicios de apoyo tecnico para realizar las inspecciones relacionadas con la emision de conceptos a cargo de la Subdirección de Gestión del Riesgo._SGR</v>
      </c>
    </row>
    <row r="376" spans="2:35" ht="56" x14ac:dyDescent="0.35">
      <c r="B376" s="23">
        <v>20260355</v>
      </c>
      <c r="C376" s="99" t="s">
        <v>534</v>
      </c>
      <c r="D376" s="23" t="s">
        <v>105</v>
      </c>
      <c r="E376" s="23" t="s">
        <v>363</v>
      </c>
      <c r="F376" s="159" t="s">
        <v>145</v>
      </c>
      <c r="G376" s="160" t="s">
        <v>373</v>
      </c>
      <c r="H376" s="161">
        <v>10</v>
      </c>
      <c r="I376" s="161">
        <v>0</v>
      </c>
      <c r="J376" s="127">
        <v>40000000</v>
      </c>
      <c r="K376" s="88" t="s">
        <v>398</v>
      </c>
      <c r="L376" s="159" t="s">
        <v>156</v>
      </c>
      <c r="M376" s="162" t="s">
        <v>496</v>
      </c>
      <c r="N376" s="23" t="s">
        <v>198</v>
      </c>
      <c r="O376" s="150" t="s">
        <v>926</v>
      </c>
      <c r="P376" s="159" t="s">
        <v>348</v>
      </c>
      <c r="Q376" s="53">
        <v>80111600</v>
      </c>
      <c r="R376" s="162" t="s">
        <v>210</v>
      </c>
      <c r="S376" s="162" t="str">
        <f>MID(PAA[[#This Row],[Meta Proyecto de Inversión]],1,4)</f>
        <v>8173</v>
      </c>
      <c r="T376" s="162" t="str">
        <f>MID(PAA[[#This Row],[Meta Proyecto de Inversión]],6,1)</f>
        <v>1</v>
      </c>
      <c r="U376" s="163" t="str">
        <f>IFERROR(VLOOKUP(N376,TD!$B$50:$F$54,2,0)," ")</f>
        <v>O230117</v>
      </c>
      <c r="V376" s="163" t="str">
        <f>IFERROR(VLOOKUP(N376,TD!$B$50:$F$54,3,0)," ")</f>
        <v>4503</v>
      </c>
      <c r="W376" s="163">
        <f>IFERROR(VLOOKUP(N376,TD!$B$50:$F$54,4,0)," ")</f>
        <v>20240255</v>
      </c>
      <c r="X376" s="162" t="s">
        <v>170</v>
      </c>
      <c r="Y376" s="163" t="str">
        <f>IFERROR(VLOOKUP(X376,TD!$J$51:$K$64,2,0)," ")</f>
        <v>Servicio de inspecciones técnicas realizadas</v>
      </c>
      <c r="Z376" s="164" t="str">
        <f t="shared" si="20"/>
        <v>06-Servicio de inspecciones técnicas realizadas</v>
      </c>
      <c r="AA376" s="162" t="s">
        <v>223</v>
      </c>
      <c r="AB376" s="163" t="str">
        <f>IFERROR(VLOOKUP(AA376,TD!$N$51:$O$66,2,0)," ")</f>
        <v>Servicio prevención y control de incendios</v>
      </c>
      <c r="AC376" s="164" t="str">
        <f t="shared" si="21"/>
        <v>035_Servicio prevención y control de incendios</v>
      </c>
      <c r="AD376" s="164" t="str">
        <f t="shared" si="22"/>
        <v>06-Servicio de inspecciones técnicas realizadas 035_Servicio prevención y control de incendios</v>
      </c>
      <c r="AE376" s="163" t="str">
        <f t="shared" si="23"/>
        <v>O23011745032024025506035</v>
      </c>
      <c r="AF376" s="163" t="str">
        <f>IFERROR(VLOOKUP(AD376,TD!$J$66:$K$89,2,0)," ")</f>
        <v>PM/0131/0106/45030350255</v>
      </c>
      <c r="AG376" s="118" t="s">
        <v>385</v>
      </c>
      <c r="AH376" s="162" t="s">
        <v>193</v>
      </c>
      <c r="AI376" s="165" t="str">
        <f>CONCATENATE(PAA[[#This Row],[Id Interno]],"-",PAA[[#This Row],[tipo de Contrato (TH talento humano - B/S bienes y/o servicios)]],"-",S376,"-",T376,"-",PAA[[#This Row],[Objeto de la contratación]])</f>
        <v>20260355-TH-8173-1-Prestar  servicios de apoyo tecnico para realizar las inspecciones relacionadas con la emision de conceptos a cargo de la Subdirección de Gestión del Riesgo._SGR</v>
      </c>
    </row>
    <row r="377" spans="2:35" ht="56" x14ac:dyDescent="0.35">
      <c r="B377" s="23">
        <v>20260356</v>
      </c>
      <c r="C377" s="99" t="s">
        <v>534</v>
      </c>
      <c r="D377" s="23" t="s">
        <v>105</v>
      </c>
      <c r="E377" s="23" t="s">
        <v>363</v>
      </c>
      <c r="F377" s="159" t="s">
        <v>145</v>
      </c>
      <c r="G377" s="160" t="s">
        <v>373</v>
      </c>
      <c r="H377" s="161">
        <v>10</v>
      </c>
      <c r="I377" s="161">
        <v>0</v>
      </c>
      <c r="J377" s="127">
        <v>40000000</v>
      </c>
      <c r="K377" s="88" t="s">
        <v>398</v>
      </c>
      <c r="L377" s="159" t="s">
        <v>156</v>
      </c>
      <c r="M377" s="162" t="s">
        <v>496</v>
      </c>
      <c r="N377" s="23" t="s">
        <v>198</v>
      </c>
      <c r="O377" s="150" t="s">
        <v>926</v>
      </c>
      <c r="P377" s="159" t="s">
        <v>348</v>
      </c>
      <c r="Q377" s="53">
        <v>80111600</v>
      </c>
      <c r="R377" s="162" t="s">
        <v>210</v>
      </c>
      <c r="S377" s="162" t="str">
        <f>MID(PAA[[#This Row],[Meta Proyecto de Inversión]],1,4)</f>
        <v>8173</v>
      </c>
      <c r="T377" s="162" t="str">
        <f>MID(PAA[[#This Row],[Meta Proyecto de Inversión]],6,1)</f>
        <v>1</v>
      </c>
      <c r="U377" s="163" t="str">
        <f>IFERROR(VLOOKUP(N377,TD!$B$50:$F$54,2,0)," ")</f>
        <v>O230117</v>
      </c>
      <c r="V377" s="163" t="str">
        <f>IFERROR(VLOOKUP(N377,TD!$B$50:$F$54,3,0)," ")</f>
        <v>4503</v>
      </c>
      <c r="W377" s="163">
        <f>IFERROR(VLOOKUP(N377,TD!$B$50:$F$54,4,0)," ")</f>
        <v>20240255</v>
      </c>
      <c r="X377" s="162" t="s">
        <v>170</v>
      </c>
      <c r="Y377" s="163" t="str">
        <f>IFERROR(VLOOKUP(X377,TD!$J$51:$K$64,2,0)," ")</f>
        <v>Servicio de inspecciones técnicas realizadas</v>
      </c>
      <c r="Z377" s="164" t="str">
        <f t="shared" si="20"/>
        <v>06-Servicio de inspecciones técnicas realizadas</v>
      </c>
      <c r="AA377" s="162" t="s">
        <v>223</v>
      </c>
      <c r="AB377" s="163" t="str">
        <f>IFERROR(VLOOKUP(AA377,TD!$N$51:$O$66,2,0)," ")</f>
        <v>Servicio prevención y control de incendios</v>
      </c>
      <c r="AC377" s="164" t="str">
        <f t="shared" si="21"/>
        <v>035_Servicio prevención y control de incendios</v>
      </c>
      <c r="AD377" s="164" t="str">
        <f t="shared" si="22"/>
        <v>06-Servicio de inspecciones técnicas realizadas 035_Servicio prevención y control de incendios</v>
      </c>
      <c r="AE377" s="163" t="str">
        <f t="shared" si="23"/>
        <v>O23011745032024025506035</v>
      </c>
      <c r="AF377" s="163" t="str">
        <f>IFERROR(VLOOKUP(AD377,TD!$J$66:$K$89,2,0)," ")</f>
        <v>PM/0131/0106/45030350255</v>
      </c>
      <c r="AG377" s="118" t="s">
        <v>385</v>
      </c>
      <c r="AH377" s="162" t="s">
        <v>193</v>
      </c>
      <c r="AI377" s="165" t="str">
        <f>CONCATENATE(PAA[[#This Row],[Id Interno]],"-",PAA[[#This Row],[tipo de Contrato (TH talento humano - B/S bienes y/o servicios)]],"-",S377,"-",T377,"-",PAA[[#This Row],[Objeto de la contratación]])</f>
        <v>20260356-TH-8173-1-Prestar  servicios de apoyo tecnico para realizar las inspecciones relacionadas con la emision de conceptos a cargo de la Subdirección de Gestión del Riesgo._SGR</v>
      </c>
    </row>
    <row r="378" spans="2:35" ht="56" x14ac:dyDescent="0.35">
      <c r="B378" s="23">
        <v>20260357</v>
      </c>
      <c r="C378" s="99" t="s">
        <v>534</v>
      </c>
      <c r="D378" s="23" t="s">
        <v>105</v>
      </c>
      <c r="E378" s="23" t="s">
        <v>363</v>
      </c>
      <c r="F378" s="159" t="s">
        <v>145</v>
      </c>
      <c r="G378" s="160" t="s">
        <v>373</v>
      </c>
      <c r="H378" s="161">
        <v>10</v>
      </c>
      <c r="I378" s="161">
        <v>0</v>
      </c>
      <c r="J378" s="127">
        <v>40000000</v>
      </c>
      <c r="K378" s="88" t="s">
        <v>398</v>
      </c>
      <c r="L378" s="159" t="s">
        <v>156</v>
      </c>
      <c r="M378" s="162" t="s">
        <v>496</v>
      </c>
      <c r="N378" s="23" t="s">
        <v>198</v>
      </c>
      <c r="O378" s="150" t="s">
        <v>926</v>
      </c>
      <c r="P378" s="159" t="s">
        <v>348</v>
      </c>
      <c r="Q378" s="53">
        <v>80111600</v>
      </c>
      <c r="R378" s="162" t="s">
        <v>210</v>
      </c>
      <c r="S378" s="162" t="str">
        <f>MID(PAA[[#This Row],[Meta Proyecto de Inversión]],1,4)</f>
        <v>8173</v>
      </c>
      <c r="T378" s="162" t="str">
        <f>MID(PAA[[#This Row],[Meta Proyecto de Inversión]],6,1)</f>
        <v>1</v>
      </c>
      <c r="U378" s="163" t="str">
        <f>IFERROR(VLOOKUP(N378,TD!$B$50:$F$54,2,0)," ")</f>
        <v>O230117</v>
      </c>
      <c r="V378" s="163" t="str">
        <f>IFERROR(VLOOKUP(N378,TD!$B$50:$F$54,3,0)," ")</f>
        <v>4503</v>
      </c>
      <c r="W378" s="163">
        <f>IFERROR(VLOOKUP(N378,TD!$B$50:$F$54,4,0)," ")</f>
        <v>20240255</v>
      </c>
      <c r="X378" s="162" t="s">
        <v>170</v>
      </c>
      <c r="Y378" s="163" t="str">
        <f>IFERROR(VLOOKUP(X378,TD!$J$51:$K$64,2,0)," ")</f>
        <v>Servicio de inspecciones técnicas realizadas</v>
      </c>
      <c r="Z378" s="164" t="str">
        <f t="shared" si="20"/>
        <v>06-Servicio de inspecciones técnicas realizadas</v>
      </c>
      <c r="AA378" s="162" t="s">
        <v>223</v>
      </c>
      <c r="AB378" s="163" t="str">
        <f>IFERROR(VLOOKUP(AA378,TD!$N$51:$O$66,2,0)," ")</f>
        <v>Servicio prevención y control de incendios</v>
      </c>
      <c r="AC378" s="164" t="str">
        <f t="shared" si="21"/>
        <v>035_Servicio prevención y control de incendios</v>
      </c>
      <c r="AD378" s="164" t="str">
        <f t="shared" si="22"/>
        <v>06-Servicio de inspecciones técnicas realizadas 035_Servicio prevención y control de incendios</v>
      </c>
      <c r="AE378" s="163" t="str">
        <f t="shared" si="23"/>
        <v>O23011745032024025506035</v>
      </c>
      <c r="AF378" s="163" t="str">
        <f>IFERROR(VLOOKUP(AD378,TD!$J$66:$K$89,2,0)," ")</f>
        <v>PM/0131/0106/45030350255</v>
      </c>
      <c r="AG378" s="118" t="s">
        <v>385</v>
      </c>
      <c r="AH378" s="162" t="s">
        <v>193</v>
      </c>
      <c r="AI378" s="165" t="str">
        <f>CONCATENATE(PAA[[#This Row],[Id Interno]],"-",PAA[[#This Row],[tipo de Contrato (TH talento humano - B/S bienes y/o servicios)]],"-",S378,"-",T378,"-",PAA[[#This Row],[Objeto de la contratación]])</f>
        <v>20260357-TH-8173-1-Prestar  servicios de apoyo tecnico para realizar las inspecciones relacionadas con la emision de conceptos a cargo de la Subdirección de Gestión del Riesgo._SGR</v>
      </c>
    </row>
    <row r="379" spans="2:35" ht="56" x14ac:dyDescent="0.35">
      <c r="B379" s="23">
        <v>20260358</v>
      </c>
      <c r="C379" s="99" t="s">
        <v>534</v>
      </c>
      <c r="D379" s="23" t="s">
        <v>105</v>
      </c>
      <c r="E379" s="23" t="s">
        <v>363</v>
      </c>
      <c r="F379" s="159" t="s">
        <v>145</v>
      </c>
      <c r="G379" s="160" t="s">
        <v>373</v>
      </c>
      <c r="H379" s="161">
        <v>10</v>
      </c>
      <c r="I379" s="161">
        <v>0</v>
      </c>
      <c r="J379" s="127">
        <v>40000000</v>
      </c>
      <c r="K379" s="88" t="s">
        <v>398</v>
      </c>
      <c r="L379" s="159" t="s">
        <v>156</v>
      </c>
      <c r="M379" s="162" t="s">
        <v>496</v>
      </c>
      <c r="N379" s="23" t="s">
        <v>198</v>
      </c>
      <c r="O379" s="150" t="s">
        <v>926</v>
      </c>
      <c r="P379" s="159" t="s">
        <v>348</v>
      </c>
      <c r="Q379" s="53">
        <v>80111600</v>
      </c>
      <c r="R379" s="162" t="s">
        <v>210</v>
      </c>
      <c r="S379" s="162" t="str">
        <f>MID(PAA[[#This Row],[Meta Proyecto de Inversión]],1,4)</f>
        <v>8173</v>
      </c>
      <c r="T379" s="162" t="str">
        <f>MID(PAA[[#This Row],[Meta Proyecto de Inversión]],6,1)</f>
        <v>1</v>
      </c>
      <c r="U379" s="163" t="str">
        <f>IFERROR(VLOOKUP(N379,TD!$B$50:$F$54,2,0)," ")</f>
        <v>O230117</v>
      </c>
      <c r="V379" s="163" t="str">
        <f>IFERROR(VLOOKUP(N379,TD!$B$50:$F$54,3,0)," ")</f>
        <v>4503</v>
      </c>
      <c r="W379" s="163">
        <f>IFERROR(VLOOKUP(N379,TD!$B$50:$F$54,4,0)," ")</f>
        <v>20240255</v>
      </c>
      <c r="X379" s="162" t="s">
        <v>170</v>
      </c>
      <c r="Y379" s="163" t="str">
        <f>IFERROR(VLOOKUP(X379,TD!$J$51:$K$64,2,0)," ")</f>
        <v>Servicio de inspecciones técnicas realizadas</v>
      </c>
      <c r="Z379" s="164" t="str">
        <f t="shared" si="20"/>
        <v>06-Servicio de inspecciones técnicas realizadas</v>
      </c>
      <c r="AA379" s="162" t="s">
        <v>223</v>
      </c>
      <c r="AB379" s="163" t="str">
        <f>IFERROR(VLOOKUP(AA379,TD!$N$51:$O$66,2,0)," ")</f>
        <v>Servicio prevención y control de incendios</v>
      </c>
      <c r="AC379" s="164" t="str">
        <f t="shared" si="21"/>
        <v>035_Servicio prevención y control de incendios</v>
      </c>
      <c r="AD379" s="164" t="str">
        <f t="shared" si="22"/>
        <v>06-Servicio de inspecciones técnicas realizadas 035_Servicio prevención y control de incendios</v>
      </c>
      <c r="AE379" s="163" t="str">
        <f t="shared" si="23"/>
        <v>O23011745032024025506035</v>
      </c>
      <c r="AF379" s="163" t="str">
        <f>IFERROR(VLOOKUP(AD379,TD!$J$66:$K$89,2,0)," ")</f>
        <v>PM/0131/0106/45030350255</v>
      </c>
      <c r="AG379" s="118" t="s">
        <v>385</v>
      </c>
      <c r="AH379" s="162" t="s">
        <v>193</v>
      </c>
      <c r="AI379" s="165" t="str">
        <f>CONCATENATE(PAA[[#This Row],[Id Interno]],"-",PAA[[#This Row],[tipo de Contrato (TH talento humano - B/S bienes y/o servicios)]],"-",S379,"-",T379,"-",PAA[[#This Row],[Objeto de la contratación]])</f>
        <v>20260358-TH-8173-1-Prestar  servicios de apoyo tecnico para realizar las inspecciones relacionadas con la emision de conceptos a cargo de la Subdirección de Gestión del Riesgo._SGR</v>
      </c>
    </row>
    <row r="380" spans="2:35" ht="56" x14ac:dyDescent="0.35">
      <c r="B380" s="23">
        <v>20260359</v>
      </c>
      <c r="C380" s="99" t="s">
        <v>534</v>
      </c>
      <c r="D380" s="23" t="s">
        <v>105</v>
      </c>
      <c r="E380" s="23" t="s">
        <v>363</v>
      </c>
      <c r="F380" s="159" t="s">
        <v>145</v>
      </c>
      <c r="G380" s="160" t="s">
        <v>373</v>
      </c>
      <c r="H380" s="161">
        <v>10</v>
      </c>
      <c r="I380" s="161">
        <v>0</v>
      </c>
      <c r="J380" s="127">
        <v>40000000</v>
      </c>
      <c r="K380" s="88" t="s">
        <v>398</v>
      </c>
      <c r="L380" s="159" t="s">
        <v>156</v>
      </c>
      <c r="M380" s="162" t="s">
        <v>496</v>
      </c>
      <c r="N380" s="23" t="s">
        <v>198</v>
      </c>
      <c r="O380" s="150" t="s">
        <v>926</v>
      </c>
      <c r="P380" s="159" t="s">
        <v>348</v>
      </c>
      <c r="Q380" s="53">
        <v>80111600</v>
      </c>
      <c r="R380" s="162" t="s">
        <v>210</v>
      </c>
      <c r="S380" s="162" t="str">
        <f>MID(PAA[[#This Row],[Meta Proyecto de Inversión]],1,4)</f>
        <v>8173</v>
      </c>
      <c r="T380" s="162" t="str">
        <f>MID(PAA[[#This Row],[Meta Proyecto de Inversión]],6,1)</f>
        <v>1</v>
      </c>
      <c r="U380" s="163" t="str">
        <f>IFERROR(VLOOKUP(N380,TD!$B$50:$F$54,2,0)," ")</f>
        <v>O230117</v>
      </c>
      <c r="V380" s="163" t="str">
        <f>IFERROR(VLOOKUP(N380,TD!$B$50:$F$54,3,0)," ")</f>
        <v>4503</v>
      </c>
      <c r="W380" s="163">
        <f>IFERROR(VLOOKUP(N380,TD!$B$50:$F$54,4,0)," ")</f>
        <v>20240255</v>
      </c>
      <c r="X380" s="162" t="s">
        <v>170</v>
      </c>
      <c r="Y380" s="163" t="str">
        <f>IFERROR(VLOOKUP(X380,TD!$J$51:$K$64,2,0)," ")</f>
        <v>Servicio de inspecciones técnicas realizadas</v>
      </c>
      <c r="Z380" s="164" t="str">
        <f t="shared" si="20"/>
        <v>06-Servicio de inspecciones técnicas realizadas</v>
      </c>
      <c r="AA380" s="162" t="s">
        <v>223</v>
      </c>
      <c r="AB380" s="163" t="str">
        <f>IFERROR(VLOOKUP(AA380,TD!$N$51:$O$66,2,0)," ")</f>
        <v>Servicio prevención y control de incendios</v>
      </c>
      <c r="AC380" s="164" t="str">
        <f t="shared" si="21"/>
        <v>035_Servicio prevención y control de incendios</v>
      </c>
      <c r="AD380" s="164" t="str">
        <f t="shared" si="22"/>
        <v>06-Servicio de inspecciones técnicas realizadas 035_Servicio prevención y control de incendios</v>
      </c>
      <c r="AE380" s="163" t="str">
        <f t="shared" si="23"/>
        <v>O23011745032024025506035</v>
      </c>
      <c r="AF380" s="163" t="str">
        <f>IFERROR(VLOOKUP(AD380,TD!$J$66:$K$89,2,0)," ")</f>
        <v>PM/0131/0106/45030350255</v>
      </c>
      <c r="AG380" s="118" t="s">
        <v>385</v>
      </c>
      <c r="AH380" s="162" t="s">
        <v>193</v>
      </c>
      <c r="AI380" s="165" t="str">
        <f>CONCATENATE(PAA[[#This Row],[Id Interno]],"-",PAA[[#This Row],[tipo de Contrato (TH talento humano - B/S bienes y/o servicios)]],"-",S380,"-",T380,"-",PAA[[#This Row],[Objeto de la contratación]])</f>
        <v>20260359-TH-8173-1-Prestar  servicios de apoyo tecnico para realizar las inspecciones relacionadas con la emision de conceptos a cargo de la Subdirección de Gestión del Riesgo._SGR</v>
      </c>
    </row>
    <row r="381" spans="2:35" ht="56" x14ac:dyDescent="0.35">
      <c r="B381" s="23">
        <v>20260360</v>
      </c>
      <c r="C381" s="99" t="s">
        <v>534</v>
      </c>
      <c r="D381" s="23" t="s">
        <v>105</v>
      </c>
      <c r="E381" s="23" t="s">
        <v>363</v>
      </c>
      <c r="F381" s="159" t="s">
        <v>145</v>
      </c>
      <c r="G381" s="160" t="s">
        <v>373</v>
      </c>
      <c r="H381" s="161">
        <v>10</v>
      </c>
      <c r="I381" s="161">
        <v>0</v>
      </c>
      <c r="J381" s="127">
        <v>40000000</v>
      </c>
      <c r="K381" s="88" t="s">
        <v>398</v>
      </c>
      <c r="L381" s="159" t="s">
        <v>156</v>
      </c>
      <c r="M381" s="162" t="s">
        <v>496</v>
      </c>
      <c r="N381" s="23" t="s">
        <v>198</v>
      </c>
      <c r="O381" s="150" t="s">
        <v>926</v>
      </c>
      <c r="P381" s="159" t="s">
        <v>348</v>
      </c>
      <c r="Q381" s="53">
        <v>80111600</v>
      </c>
      <c r="R381" s="162" t="s">
        <v>210</v>
      </c>
      <c r="S381" s="162" t="str">
        <f>MID(PAA[[#This Row],[Meta Proyecto de Inversión]],1,4)</f>
        <v>8173</v>
      </c>
      <c r="T381" s="162" t="str">
        <f>MID(PAA[[#This Row],[Meta Proyecto de Inversión]],6,1)</f>
        <v>1</v>
      </c>
      <c r="U381" s="163" t="str">
        <f>IFERROR(VLOOKUP(N381,TD!$B$50:$F$54,2,0)," ")</f>
        <v>O230117</v>
      </c>
      <c r="V381" s="163" t="str">
        <f>IFERROR(VLOOKUP(N381,TD!$B$50:$F$54,3,0)," ")</f>
        <v>4503</v>
      </c>
      <c r="W381" s="163">
        <f>IFERROR(VLOOKUP(N381,TD!$B$50:$F$54,4,0)," ")</f>
        <v>20240255</v>
      </c>
      <c r="X381" s="162" t="s">
        <v>170</v>
      </c>
      <c r="Y381" s="163" t="str">
        <f>IFERROR(VLOOKUP(X381,TD!$J$51:$K$64,2,0)," ")</f>
        <v>Servicio de inspecciones técnicas realizadas</v>
      </c>
      <c r="Z381" s="164" t="str">
        <f t="shared" si="20"/>
        <v>06-Servicio de inspecciones técnicas realizadas</v>
      </c>
      <c r="AA381" s="162" t="s">
        <v>223</v>
      </c>
      <c r="AB381" s="163" t="str">
        <f>IFERROR(VLOOKUP(AA381,TD!$N$51:$O$66,2,0)," ")</f>
        <v>Servicio prevención y control de incendios</v>
      </c>
      <c r="AC381" s="164" t="str">
        <f t="shared" si="21"/>
        <v>035_Servicio prevención y control de incendios</v>
      </c>
      <c r="AD381" s="164" t="str">
        <f t="shared" si="22"/>
        <v>06-Servicio de inspecciones técnicas realizadas 035_Servicio prevención y control de incendios</v>
      </c>
      <c r="AE381" s="163" t="str">
        <f t="shared" si="23"/>
        <v>O23011745032024025506035</v>
      </c>
      <c r="AF381" s="163" t="str">
        <f>IFERROR(VLOOKUP(AD381,TD!$J$66:$K$89,2,0)," ")</f>
        <v>PM/0131/0106/45030350255</v>
      </c>
      <c r="AG381" s="118" t="s">
        <v>385</v>
      </c>
      <c r="AH381" s="162" t="s">
        <v>193</v>
      </c>
      <c r="AI381" s="165" t="str">
        <f>CONCATENATE(PAA[[#This Row],[Id Interno]],"-",PAA[[#This Row],[tipo de Contrato (TH talento humano - B/S bienes y/o servicios)]],"-",S381,"-",T381,"-",PAA[[#This Row],[Objeto de la contratación]])</f>
        <v>20260360-TH-8173-1-Prestar  servicios de apoyo tecnico para realizar las inspecciones relacionadas con la emision de conceptos a cargo de la Subdirección de Gestión del Riesgo._SGR</v>
      </c>
    </row>
    <row r="382" spans="2:35" ht="56" x14ac:dyDescent="0.35">
      <c r="B382" s="23">
        <v>20260361</v>
      </c>
      <c r="C382" s="99" t="s">
        <v>534</v>
      </c>
      <c r="D382" s="23" t="s">
        <v>105</v>
      </c>
      <c r="E382" s="23" t="s">
        <v>363</v>
      </c>
      <c r="F382" s="159" t="s">
        <v>145</v>
      </c>
      <c r="G382" s="160" t="s">
        <v>373</v>
      </c>
      <c r="H382" s="161">
        <v>10</v>
      </c>
      <c r="I382" s="161">
        <v>0</v>
      </c>
      <c r="J382" s="127">
        <v>40000000</v>
      </c>
      <c r="K382" s="88" t="s">
        <v>398</v>
      </c>
      <c r="L382" s="159" t="s">
        <v>156</v>
      </c>
      <c r="M382" s="162" t="s">
        <v>496</v>
      </c>
      <c r="N382" s="23" t="s">
        <v>198</v>
      </c>
      <c r="O382" s="150" t="s">
        <v>926</v>
      </c>
      <c r="P382" s="159" t="s">
        <v>348</v>
      </c>
      <c r="Q382" s="53">
        <v>80111600</v>
      </c>
      <c r="R382" s="162" t="s">
        <v>210</v>
      </c>
      <c r="S382" s="162" t="str">
        <f>MID(PAA[[#This Row],[Meta Proyecto de Inversión]],1,4)</f>
        <v>8173</v>
      </c>
      <c r="T382" s="162" t="str">
        <f>MID(PAA[[#This Row],[Meta Proyecto de Inversión]],6,1)</f>
        <v>1</v>
      </c>
      <c r="U382" s="163" t="str">
        <f>IFERROR(VLOOKUP(N382,TD!$B$50:$F$54,2,0)," ")</f>
        <v>O230117</v>
      </c>
      <c r="V382" s="163" t="str">
        <f>IFERROR(VLOOKUP(N382,TD!$B$50:$F$54,3,0)," ")</f>
        <v>4503</v>
      </c>
      <c r="W382" s="163">
        <f>IFERROR(VLOOKUP(N382,TD!$B$50:$F$54,4,0)," ")</f>
        <v>20240255</v>
      </c>
      <c r="X382" s="162" t="s">
        <v>170</v>
      </c>
      <c r="Y382" s="163" t="str">
        <f>IFERROR(VLOOKUP(X382,TD!$J$51:$K$64,2,0)," ")</f>
        <v>Servicio de inspecciones técnicas realizadas</v>
      </c>
      <c r="Z382" s="164" t="str">
        <f t="shared" si="20"/>
        <v>06-Servicio de inspecciones técnicas realizadas</v>
      </c>
      <c r="AA382" s="162" t="s">
        <v>223</v>
      </c>
      <c r="AB382" s="163" t="str">
        <f>IFERROR(VLOOKUP(AA382,TD!$N$51:$O$66,2,0)," ")</f>
        <v>Servicio prevención y control de incendios</v>
      </c>
      <c r="AC382" s="164" t="str">
        <f t="shared" si="21"/>
        <v>035_Servicio prevención y control de incendios</v>
      </c>
      <c r="AD382" s="164" t="str">
        <f t="shared" si="22"/>
        <v>06-Servicio de inspecciones técnicas realizadas 035_Servicio prevención y control de incendios</v>
      </c>
      <c r="AE382" s="163" t="str">
        <f t="shared" si="23"/>
        <v>O23011745032024025506035</v>
      </c>
      <c r="AF382" s="163" t="str">
        <f>IFERROR(VLOOKUP(AD382,TD!$J$66:$K$89,2,0)," ")</f>
        <v>PM/0131/0106/45030350255</v>
      </c>
      <c r="AG382" s="118" t="s">
        <v>385</v>
      </c>
      <c r="AH382" s="162" t="s">
        <v>193</v>
      </c>
      <c r="AI382" s="165" t="str">
        <f>CONCATENATE(PAA[[#This Row],[Id Interno]],"-",PAA[[#This Row],[tipo de Contrato (TH talento humano - B/S bienes y/o servicios)]],"-",S382,"-",T382,"-",PAA[[#This Row],[Objeto de la contratación]])</f>
        <v>20260361-TH-8173-1-Prestar  servicios de apoyo tecnico para realizar las inspecciones relacionadas con la emision de conceptos a cargo de la Subdirección de Gestión del Riesgo._SGR</v>
      </c>
    </row>
    <row r="383" spans="2:35" ht="56" x14ac:dyDescent="0.35">
      <c r="B383" s="23">
        <v>20260362</v>
      </c>
      <c r="C383" s="99" t="s">
        <v>534</v>
      </c>
      <c r="D383" s="23" t="s">
        <v>105</v>
      </c>
      <c r="E383" s="23" t="s">
        <v>363</v>
      </c>
      <c r="F383" s="159" t="s">
        <v>145</v>
      </c>
      <c r="G383" s="160" t="s">
        <v>373</v>
      </c>
      <c r="H383" s="161">
        <v>10</v>
      </c>
      <c r="I383" s="161">
        <v>0</v>
      </c>
      <c r="J383" s="127">
        <v>40000000</v>
      </c>
      <c r="K383" s="88" t="s">
        <v>398</v>
      </c>
      <c r="L383" s="159" t="s">
        <v>156</v>
      </c>
      <c r="M383" s="162" t="s">
        <v>496</v>
      </c>
      <c r="N383" s="23" t="s">
        <v>198</v>
      </c>
      <c r="O383" s="150" t="s">
        <v>926</v>
      </c>
      <c r="P383" s="159" t="s">
        <v>348</v>
      </c>
      <c r="Q383" s="53">
        <v>80111600</v>
      </c>
      <c r="R383" s="162" t="s">
        <v>210</v>
      </c>
      <c r="S383" s="162" t="str">
        <f>MID(PAA[[#This Row],[Meta Proyecto de Inversión]],1,4)</f>
        <v>8173</v>
      </c>
      <c r="T383" s="162" t="str">
        <f>MID(PAA[[#This Row],[Meta Proyecto de Inversión]],6,1)</f>
        <v>1</v>
      </c>
      <c r="U383" s="163" t="str">
        <f>IFERROR(VLOOKUP(N383,TD!$B$50:$F$54,2,0)," ")</f>
        <v>O230117</v>
      </c>
      <c r="V383" s="163" t="str">
        <f>IFERROR(VLOOKUP(N383,TD!$B$50:$F$54,3,0)," ")</f>
        <v>4503</v>
      </c>
      <c r="W383" s="163">
        <f>IFERROR(VLOOKUP(N383,TD!$B$50:$F$54,4,0)," ")</f>
        <v>20240255</v>
      </c>
      <c r="X383" s="162" t="s">
        <v>170</v>
      </c>
      <c r="Y383" s="163" t="str">
        <f>IFERROR(VLOOKUP(X383,TD!$J$51:$K$64,2,0)," ")</f>
        <v>Servicio de inspecciones técnicas realizadas</v>
      </c>
      <c r="Z383" s="164" t="str">
        <f t="shared" si="20"/>
        <v>06-Servicio de inspecciones técnicas realizadas</v>
      </c>
      <c r="AA383" s="162" t="s">
        <v>223</v>
      </c>
      <c r="AB383" s="163" t="str">
        <f>IFERROR(VLOOKUP(AA383,TD!$N$51:$O$66,2,0)," ")</f>
        <v>Servicio prevención y control de incendios</v>
      </c>
      <c r="AC383" s="164" t="str">
        <f t="shared" si="21"/>
        <v>035_Servicio prevención y control de incendios</v>
      </c>
      <c r="AD383" s="164" t="str">
        <f t="shared" si="22"/>
        <v>06-Servicio de inspecciones técnicas realizadas 035_Servicio prevención y control de incendios</v>
      </c>
      <c r="AE383" s="163" t="str">
        <f t="shared" si="23"/>
        <v>O23011745032024025506035</v>
      </c>
      <c r="AF383" s="163" t="str">
        <f>IFERROR(VLOOKUP(AD383,TD!$J$66:$K$89,2,0)," ")</f>
        <v>PM/0131/0106/45030350255</v>
      </c>
      <c r="AG383" s="118" t="s">
        <v>385</v>
      </c>
      <c r="AH383" s="162" t="s">
        <v>193</v>
      </c>
      <c r="AI383" s="165" t="str">
        <f>CONCATENATE(PAA[[#This Row],[Id Interno]],"-",PAA[[#This Row],[tipo de Contrato (TH talento humano - B/S bienes y/o servicios)]],"-",S383,"-",T383,"-",PAA[[#This Row],[Objeto de la contratación]])</f>
        <v>20260362-TH-8173-1-Prestar  servicios de apoyo tecnico para realizar las inspecciones relacionadas con la emision de conceptos a cargo de la Subdirección de Gestión del Riesgo._SGR</v>
      </c>
    </row>
    <row r="384" spans="2:35" ht="56" x14ac:dyDescent="0.35">
      <c r="B384" s="23">
        <v>20260363</v>
      </c>
      <c r="C384" s="99" t="s">
        <v>534</v>
      </c>
      <c r="D384" s="23" t="s">
        <v>105</v>
      </c>
      <c r="E384" s="23" t="s">
        <v>363</v>
      </c>
      <c r="F384" s="159" t="s">
        <v>145</v>
      </c>
      <c r="G384" s="160" t="s">
        <v>373</v>
      </c>
      <c r="H384" s="161">
        <v>10</v>
      </c>
      <c r="I384" s="161">
        <v>0</v>
      </c>
      <c r="J384" s="127">
        <v>40000000</v>
      </c>
      <c r="K384" s="88" t="s">
        <v>398</v>
      </c>
      <c r="L384" s="159" t="s">
        <v>156</v>
      </c>
      <c r="M384" s="162" t="s">
        <v>496</v>
      </c>
      <c r="N384" s="23" t="s">
        <v>198</v>
      </c>
      <c r="O384" s="150" t="s">
        <v>926</v>
      </c>
      <c r="P384" s="159" t="s">
        <v>348</v>
      </c>
      <c r="Q384" s="53">
        <v>80111600</v>
      </c>
      <c r="R384" s="162" t="s">
        <v>210</v>
      </c>
      <c r="S384" s="162" t="str">
        <f>MID(PAA[[#This Row],[Meta Proyecto de Inversión]],1,4)</f>
        <v>8173</v>
      </c>
      <c r="T384" s="162" t="str">
        <f>MID(PAA[[#This Row],[Meta Proyecto de Inversión]],6,1)</f>
        <v>1</v>
      </c>
      <c r="U384" s="163" t="str">
        <f>IFERROR(VLOOKUP(N384,TD!$B$50:$F$54,2,0)," ")</f>
        <v>O230117</v>
      </c>
      <c r="V384" s="163" t="str">
        <f>IFERROR(VLOOKUP(N384,TD!$B$50:$F$54,3,0)," ")</f>
        <v>4503</v>
      </c>
      <c r="W384" s="163">
        <f>IFERROR(VLOOKUP(N384,TD!$B$50:$F$54,4,0)," ")</f>
        <v>20240255</v>
      </c>
      <c r="X384" s="162" t="s">
        <v>170</v>
      </c>
      <c r="Y384" s="163" t="str">
        <f>IFERROR(VLOOKUP(X384,TD!$J$51:$K$64,2,0)," ")</f>
        <v>Servicio de inspecciones técnicas realizadas</v>
      </c>
      <c r="Z384" s="164" t="str">
        <f t="shared" si="20"/>
        <v>06-Servicio de inspecciones técnicas realizadas</v>
      </c>
      <c r="AA384" s="162" t="s">
        <v>223</v>
      </c>
      <c r="AB384" s="163" t="str">
        <f>IFERROR(VLOOKUP(AA384,TD!$N$51:$O$66,2,0)," ")</f>
        <v>Servicio prevención y control de incendios</v>
      </c>
      <c r="AC384" s="164" t="str">
        <f t="shared" si="21"/>
        <v>035_Servicio prevención y control de incendios</v>
      </c>
      <c r="AD384" s="164" t="str">
        <f t="shared" si="22"/>
        <v>06-Servicio de inspecciones técnicas realizadas 035_Servicio prevención y control de incendios</v>
      </c>
      <c r="AE384" s="163" t="str">
        <f t="shared" si="23"/>
        <v>O23011745032024025506035</v>
      </c>
      <c r="AF384" s="163" t="str">
        <f>IFERROR(VLOOKUP(AD384,TD!$J$66:$K$89,2,0)," ")</f>
        <v>PM/0131/0106/45030350255</v>
      </c>
      <c r="AG384" s="118" t="s">
        <v>385</v>
      </c>
      <c r="AH384" s="162" t="s">
        <v>193</v>
      </c>
      <c r="AI384" s="165" t="str">
        <f>CONCATENATE(PAA[[#This Row],[Id Interno]],"-",PAA[[#This Row],[tipo de Contrato (TH talento humano - B/S bienes y/o servicios)]],"-",S384,"-",T384,"-",PAA[[#This Row],[Objeto de la contratación]])</f>
        <v>20260363-TH-8173-1-Prestar  servicios de apoyo tecnico para realizar las inspecciones relacionadas con la emision de conceptos a cargo de la Subdirección de Gestión del Riesgo._SGR</v>
      </c>
    </row>
    <row r="385" spans="2:35" ht="56" x14ac:dyDescent="0.35">
      <c r="B385" s="23">
        <v>20260364</v>
      </c>
      <c r="C385" s="99" t="s">
        <v>534</v>
      </c>
      <c r="D385" s="23" t="s">
        <v>105</v>
      </c>
      <c r="E385" s="23" t="s">
        <v>363</v>
      </c>
      <c r="F385" s="159" t="s">
        <v>145</v>
      </c>
      <c r="G385" s="160" t="s">
        <v>373</v>
      </c>
      <c r="H385" s="161">
        <v>10</v>
      </c>
      <c r="I385" s="161">
        <v>0</v>
      </c>
      <c r="J385" s="127">
        <v>40000000</v>
      </c>
      <c r="K385" s="88" t="s">
        <v>398</v>
      </c>
      <c r="L385" s="159" t="s">
        <v>156</v>
      </c>
      <c r="M385" s="162" t="s">
        <v>496</v>
      </c>
      <c r="N385" s="23" t="s">
        <v>198</v>
      </c>
      <c r="O385" s="150" t="s">
        <v>926</v>
      </c>
      <c r="P385" s="159" t="s">
        <v>348</v>
      </c>
      <c r="Q385" s="53">
        <v>80111600</v>
      </c>
      <c r="R385" s="162" t="s">
        <v>210</v>
      </c>
      <c r="S385" s="162" t="str">
        <f>MID(PAA[[#This Row],[Meta Proyecto de Inversión]],1,4)</f>
        <v>8173</v>
      </c>
      <c r="T385" s="162" t="str">
        <f>MID(PAA[[#This Row],[Meta Proyecto de Inversión]],6,1)</f>
        <v>1</v>
      </c>
      <c r="U385" s="163" t="str">
        <f>IFERROR(VLOOKUP(N385,TD!$B$50:$F$54,2,0)," ")</f>
        <v>O230117</v>
      </c>
      <c r="V385" s="163" t="str">
        <f>IFERROR(VLOOKUP(N385,TD!$B$50:$F$54,3,0)," ")</f>
        <v>4503</v>
      </c>
      <c r="W385" s="163">
        <f>IFERROR(VLOOKUP(N385,TD!$B$50:$F$54,4,0)," ")</f>
        <v>20240255</v>
      </c>
      <c r="X385" s="162" t="s">
        <v>170</v>
      </c>
      <c r="Y385" s="163" t="str">
        <f>IFERROR(VLOOKUP(X385,TD!$J$51:$K$64,2,0)," ")</f>
        <v>Servicio de inspecciones técnicas realizadas</v>
      </c>
      <c r="Z385" s="164" t="str">
        <f t="shared" si="20"/>
        <v>06-Servicio de inspecciones técnicas realizadas</v>
      </c>
      <c r="AA385" s="162" t="s">
        <v>223</v>
      </c>
      <c r="AB385" s="163" t="str">
        <f>IFERROR(VLOOKUP(AA385,TD!$N$51:$O$66,2,0)," ")</f>
        <v>Servicio prevención y control de incendios</v>
      </c>
      <c r="AC385" s="164" t="str">
        <f t="shared" si="21"/>
        <v>035_Servicio prevención y control de incendios</v>
      </c>
      <c r="AD385" s="164" t="str">
        <f t="shared" si="22"/>
        <v>06-Servicio de inspecciones técnicas realizadas 035_Servicio prevención y control de incendios</v>
      </c>
      <c r="AE385" s="163" t="str">
        <f t="shared" si="23"/>
        <v>O23011745032024025506035</v>
      </c>
      <c r="AF385" s="163" t="str">
        <f>IFERROR(VLOOKUP(AD385,TD!$J$66:$K$89,2,0)," ")</f>
        <v>PM/0131/0106/45030350255</v>
      </c>
      <c r="AG385" s="118" t="s">
        <v>385</v>
      </c>
      <c r="AH385" s="162" t="s">
        <v>193</v>
      </c>
      <c r="AI385" s="165" t="str">
        <f>CONCATENATE(PAA[[#This Row],[Id Interno]],"-",PAA[[#This Row],[tipo de Contrato (TH talento humano - B/S bienes y/o servicios)]],"-",S385,"-",T385,"-",PAA[[#This Row],[Objeto de la contratación]])</f>
        <v>20260364-TH-8173-1-Prestar  servicios de apoyo tecnico para realizar las inspecciones relacionadas con la emision de conceptos a cargo de la Subdirección de Gestión del Riesgo._SGR</v>
      </c>
    </row>
    <row r="386" spans="2:35" ht="56" x14ac:dyDescent="0.35">
      <c r="B386" s="23">
        <v>20260365</v>
      </c>
      <c r="C386" s="99" t="s">
        <v>529</v>
      </c>
      <c r="D386" s="23" t="s">
        <v>105</v>
      </c>
      <c r="E386" s="23" t="s">
        <v>363</v>
      </c>
      <c r="F386" s="159" t="s">
        <v>144</v>
      </c>
      <c r="G386" s="160" t="s">
        <v>373</v>
      </c>
      <c r="H386" s="161">
        <v>7</v>
      </c>
      <c r="I386" s="161">
        <v>0</v>
      </c>
      <c r="J386" s="127">
        <v>49000000</v>
      </c>
      <c r="K386" s="88" t="s">
        <v>398</v>
      </c>
      <c r="L386" s="159" t="s">
        <v>156</v>
      </c>
      <c r="M386" s="162" t="s">
        <v>496</v>
      </c>
      <c r="N386" s="23" t="s">
        <v>198</v>
      </c>
      <c r="O386" s="150" t="s">
        <v>926</v>
      </c>
      <c r="P386" s="159" t="s">
        <v>348</v>
      </c>
      <c r="Q386" s="53">
        <v>80111600</v>
      </c>
      <c r="R386" s="162" t="s">
        <v>210</v>
      </c>
      <c r="S386" s="162" t="str">
        <f>MID(PAA[[#This Row],[Meta Proyecto de Inversión]],1,4)</f>
        <v>8173</v>
      </c>
      <c r="T386" s="162" t="str">
        <f>MID(PAA[[#This Row],[Meta Proyecto de Inversión]],6,1)</f>
        <v>1</v>
      </c>
      <c r="U386" s="163" t="str">
        <f>IFERROR(VLOOKUP(N386,TD!$B$50:$F$54,2,0)," ")</f>
        <v>O230117</v>
      </c>
      <c r="V386" s="163" t="str">
        <f>IFERROR(VLOOKUP(N386,TD!$B$50:$F$54,3,0)," ")</f>
        <v>4503</v>
      </c>
      <c r="W386" s="163">
        <f>IFERROR(VLOOKUP(N386,TD!$B$50:$F$54,4,0)," ")</f>
        <v>20240255</v>
      </c>
      <c r="X386" s="162" t="s">
        <v>166</v>
      </c>
      <c r="Y386" s="163" t="str">
        <f>IFERROR(VLOOKUP(X386,TD!$J$51:$K$64,2,0)," ")</f>
        <v>Servicio de capacitaciones en gestión del riesgo de incendios  a la ciudadania.</v>
      </c>
      <c r="Z386" s="164" t="str">
        <f t="shared" si="20"/>
        <v>05-Servicio de capacitaciones en gestión del riesgo de incendios  a la ciudadania.</v>
      </c>
      <c r="AA386" s="162" t="s">
        <v>223</v>
      </c>
      <c r="AB386" s="163" t="str">
        <f>IFERROR(VLOOKUP(AA386,TD!$N$51:$O$66,2,0)," ")</f>
        <v>Servicio prevención y control de incendios</v>
      </c>
      <c r="AC386" s="164" t="str">
        <f t="shared" si="21"/>
        <v>035_Servicio prevención y control de incendios</v>
      </c>
      <c r="AD386" s="164" t="str">
        <f t="shared" si="22"/>
        <v>05-Servicio de capacitaciones en gestión del riesgo de incendios  a la ciudadania. 035_Servicio prevención y control de incendios</v>
      </c>
      <c r="AE386" s="163" t="str">
        <f t="shared" si="23"/>
        <v>O23011745032024025505035</v>
      </c>
      <c r="AF386" s="163" t="str">
        <f>IFERROR(VLOOKUP(AD386,TD!$J$66:$K$89,2,0)," ")</f>
        <v>PM/0131/0105/45030350255</v>
      </c>
      <c r="AG386" s="118" t="s">
        <v>385</v>
      </c>
      <c r="AH386" s="162" t="s">
        <v>193</v>
      </c>
      <c r="AI386" s="165" t="str">
        <f>CONCATENATE(PAA[[#This Row],[Id Interno]],"-",PAA[[#This Row],[tipo de Contrato (TH talento humano - B/S bienes y/o servicios)]],"-",S386,"-",T386,"-",PAA[[#This Row],[Objeto de la contratación]])</f>
        <v>20260365-TH-8173-1-Prestar servicios profesionales para la gestión misional  mediante la estructuración y seguimiento de procesos contractuales y asuntos jurídicos de la Subdirección de Gestión del Riesgo_SGR</v>
      </c>
    </row>
    <row r="387" spans="2:35" ht="56" x14ac:dyDescent="0.35">
      <c r="B387" s="23">
        <v>20260366</v>
      </c>
      <c r="C387" s="99" t="s">
        <v>545</v>
      </c>
      <c r="D387" s="23" t="s">
        <v>105</v>
      </c>
      <c r="E387" s="23" t="s">
        <v>363</v>
      </c>
      <c r="F387" s="159" t="s">
        <v>144</v>
      </c>
      <c r="G387" s="160" t="s">
        <v>373</v>
      </c>
      <c r="H387" s="161">
        <v>10</v>
      </c>
      <c r="I387" s="161">
        <v>0</v>
      </c>
      <c r="J387" s="127">
        <v>55000000</v>
      </c>
      <c r="K387" s="88" t="s">
        <v>398</v>
      </c>
      <c r="L387" s="159" t="s">
        <v>156</v>
      </c>
      <c r="M387" s="162" t="s">
        <v>496</v>
      </c>
      <c r="N387" s="23" t="s">
        <v>198</v>
      </c>
      <c r="O387" s="150" t="s">
        <v>926</v>
      </c>
      <c r="P387" s="159" t="s">
        <v>348</v>
      </c>
      <c r="Q387" s="53">
        <v>80111600</v>
      </c>
      <c r="R387" s="162" t="s">
        <v>215</v>
      </c>
      <c r="S387" s="162" t="str">
        <f>MID(PAA[[#This Row],[Meta Proyecto de Inversión]],1,4)</f>
        <v>8173</v>
      </c>
      <c r="T387" s="162" t="str">
        <f>MID(PAA[[#This Row],[Meta Proyecto de Inversión]],6,1)</f>
        <v>6</v>
      </c>
      <c r="U387" s="163" t="str">
        <f>IFERROR(VLOOKUP(N387,TD!$B$50:$F$54,2,0)," ")</f>
        <v>O230117</v>
      </c>
      <c r="V387" s="163" t="str">
        <f>IFERROR(VLOOKUP(N387,TD!$B$50:$F$54,3,0)," ")</f>
        <v>4503</v>
      </c>
      <c r="W387" s="163">
        <f>IFERROR(VLOOKUP(N387,TD!$B$50:$F$54,4,0)," ")</f>
        <v>20240255</v>
      </c>
      <c r="X387" s="162">
        <v>16</v>
      </c>
      <c r="Y387" s="163" t="str">
        <f>IFERROR(VLOOKUP(X387,TD!$J$51:$K$64,2,0)," ")</f>
        <v>Servicio de monitoreo y seguimiento para la gestión del riesgo</v>
      </c>
      <c r="Z387" s="164" t="str">
        <f t="shared" si="20"/>
        <v>16-Servicio de monitoreo y seguimiento para la gestión del riesgo</v>
      </c>
      <c r="AA387" s="162" t="s">
        <v>224</v>
      </c>
      <c r="AB387" s="163" t="str">
        <f>IFERROR(VLOOKUP(AA387,TD!$N$51:$O$66,2,0)," ")</f>
        <v>Servicio de monitoreo y seguimiento para la gestión del riesgo</v>
      </c>
      <c r="AC387" s="164" t="str">
        <f t="shared" si="21"/>
        <v>018_Servicio de monitoreo y seguimiento para la gestión del riesgo</v>
      </c>
      <c r="AD387" s="164" t="str">
        <f t="shared" si="22"/>
        <v>16-Servicio de monitoreo y seguimiento para la gestión del riesgo 018_Servicio de monitoreo y seguimiento para la gestión del riesgo</v>
      </c>
      <c r="AE387" s="163" t="str">
        <f t="shared" si="23"/>
        <v>O23011745032024025516018</v>
      </c>
      <c r="AF387" s="163" t="str">
        <f>IFERROR(VLOOKUP(AD387,TD!$J$66:$K$89,2,0)," ")</f>
        <v>PM/0131/0116/45030180255</v>
      </c>
      <c r="AG387" s="118" t="s">
        <v>385</v>
      </c>
      <c r="AH387" s="162" t="s">
        <v>193</v>
      </c>
      <c r="AI387" s="165" t="str">
        <f>CONCATENATE(PAA[[#This Row],[Id Interno]],"-",PAA[[#This Row],[tipo de Contrato (TH talento humano - B/S bienes y/o servicios)]],"-",S387,"-",T387,"-",PAA[[#This Row],[Objeto de la contratación]])</f>
        <v>20260366-TH-8173-6-Prestar servicios profesionales en las actividades de monitoreo del riesgo para la Subdirección de Gestión del Riesgo._SGR</v>
      </c>
    </row>
    <row r="388" spans="2:35" ht="56" x14ac:dyDescent="0.35">
      <c r="B388" s="23">
        <v>20260367</v>
      </c>
      <c r="C388" s="99" t="s">
        <v>536</v>
      </c>
      <c r="D388" s="23" t="s">
        <v>105</v>
      </c>
      <c r="E388" s="23" t="s">
        <v>363</v>
      </c>
      <c r="F388" s="159" t="s">
        <v>144</v>
      </c>
      <c r="G388" s="160" t="s">
        <v>373</v>
      </c>
      <c r="H388" s="161">
        <v>10</v>
      </c>
      <c r="I388" s="161">
        <v>0</v>
      </c>
      <c r="J388" s="127">
        <v>80000000</v>
      </c>
      <c r="K388" s="88" t="s">
        <v>398</v>
      </c>
      <c r="L388" s="159" t="s">
        <v>156</v>
      </c>
      <c r="M388" s="162" t="s">
        <v>496</v>
      </c>
      <c r="N388" s="23" t="s">
        <v>198</v>
      </c>
      <c r="O388" s="150" t="s">
        <v>926</v>
      </c>
      <c r="P388" s="159" t="s">
        <v>348</v>
      </c>
      <c r="Q388" s="53">
        <v>80111600</v>
      </c>
      <c r="R388" s="162" t="s">
        <v>210</v>
      </c>
      <c r="S388" s="162" t="str">
        <f>MID(PAA[[#This Row],[Meta Proyecto de Inversión]],1,4)</f>
        <v>8173</v>
      </c>
      <c r="T388" s="162" t="str">
        <f>MID(PAA[[#This Row],[Meta Proyecto de Inversión]],6,1)</f>
        <v>1</v>
      </c>
      <c r="U388" s="163" t="str">
        <f>IFERROR(VLOOKUP(N388,TD!$B$50:$F$54,2,0)," ")</f>
        <v>O230117</v>
      </c>
      <c r="V388" s="163" t="str">
        <f>IFERROR(VLOOKUP(N388,TD!$B$50:$F$54,3,0)," ")</f>
        <v>4503</v>
      </c>
      <c r="W388" s="163">
        <f>IFERROR(VLOOKUP(N388,TD!$B$50:$F$54,4,0)," ")</f>
        <v>20240255</v>
      </c>
      <c r="X388" s="162" t="s">
        <v>166</v>
      </c>
      <c r="Y388" s="163" t="str">
        <f>IFERROR(VLOOKUP(X388,TD!$J$51:$K$64,2,0)," ")</f>
        <v>Servicio de capacitaciones en gestión del riesgo de incendios  a la ciudadania.</v>
      </c>
      <c r="Z388" s="164" t="str">
        <f t="shared" si="20"/>
        <v>05-Servicio de capacitaciones en gestión del riesgo de incendios  a la ciudadania.</v>
      </c>
      <c r="AA388" s="162" t="s">
        <v>223</v>
      </c>
      <c r="AB388" s="163" t="str">
        <f>IFERROR(VLOOKUP(AA388,TD!$N$51:$O$66,2,0)," ")</f>
        <v>Servicio prevención y control de incendios</v>
      </c>
      <c r="AC388" s="164" t="str">
        <f t="shared" si="21"/>
        <v>035_Servicio prevención y control de incendios</v>
      </c>
      <c r="AD388" s="164" t="str">
        <f t="shared" si="22"/>
        <v>05-Servicio de capacitaciones en gestión del riesgo de incendios  a la ciudadania. 035_Servicio prevención y control de incendios</v>
      </c>
      <c r="AE388" s="163" t="str">
        <f t="shared" si="23"/>
        <v>O23011745032024025505035</v>
      </c>
      <c r="AF388" s="163" t="str">
        <f>IFERROR(VLOOKUP(AD388,TD!$J$66:$K$89,2,0)," ")</f>
        <v>PM/0131/0105/45030350255</v>
      </c>
      <c r="AG388" s="118" t="s">
        <v>385</v>
      </c>
      <c r="AH388" s="162" t="s">
        <v>193</v>
      </c>
      <c r="AI388" s="165" t="str">
        <f>CONCATENATE(PAA[[#This Row],[Id Interno]],"-",PAA[[#This Row],[tipo de Contrato (TH talento humano - B/S bienes y/o servicios)]],"-",S388,"-",T388,"-",PAA[[#This Row],[Objeto de la contratación]])</f>
        <v>20260367-TH-8173-1-Prestar servicios profesionales liderando las actividades de Programas y Campañas de Prevención para la Subdirección de Gestión del Riesgo._SGR</v>
      </c>
    </row>
    <row r="389" spans="2:35" ht="56" x14ac:dyDescent="0.35">
      <c r="B389" s="23">
        <v>20260368</v>
      </c>
      <c r="C389" s="99" t="s">
        <v>537</v>
      </c>
      <c r="D389" s="23" t="s">
        <v>105</v>
      </c>
      <c r="E389" s="23" t="s">
        <v>363</v>
      </c>
      <c r="F389" s="159" t="s">
        <v>144</v>
      </c>
      <c r="G389" s="160" t="s">
        <v>373</v>
      </c>
      <c r="H389" s="161">
        <v>10</v>
      </c>
      <c r="I389" s="161">
        <v>0</v>
      </c>
      <c r="J389" s="127">
        <v>60000000</v>
      </c>
      <c r="K389" s="88" t="s">
        <v>398</v>
      </c>
      <c r="L389" s="159" t="s">
        <v>156</v>
      </c>
      <c r="M389" s="162" t="s">
        <v>496</v>
      </c>
      <c r="N389" s="23" t="s">
        <v>198</v>
      </c>
      <c r="O389" s="150" t="s">
        <v>926</v>
      </c>
      <c r="P389" s="159" t="s">
        <v>348</v>
      </c>
      <c r="Q389" s="53">
        <v>80111600</v>
      </c>
      <c r="R389" s="162" t="s">
        <v>210</v>
      </c>
      <c r="S389" s="162" t="str">
        <f>MID(PAA[[#This Row],[Meta Proyecto de Inversión]],1,4)</f>
        <v>8173</v>
      </c>
      <c r="T389" s="162" t="str">
        <f>MID(PAA[[#This Row],[Meta Proyecto de Inversión]],6,1)</f>
        <v>1</v>
      </c>
      <c r="U389" s="163" t="str">
        <f>IFERROR(VLOOKUP(N389,TD!$B$50:$F$54,2,0)," ")</f>
        <v>O230117</v>
      </c>
      <c r="V389" s="163" t="str">
        <f>IFERROR(VLOOKUP(N389,TD!$B$50:$F$54,3,0)," ")</f>
        <v>4503</v>
      </c>
      <c r="W389" s="163">
        <f>IFERROR(VLOOKUP(N389,TD!$B$50:$F$54,4,0)," ")</f>
        <v>20240255</v>
      </c>
      <c r="X389" s="162" t="s">
        <v>166</v>
      </c>
      <c r="Y389" s="163" t="str">
        <f>IFERROR(VLOOKUP(X389,TD!$J$51:$K$64,2,0)," ")</f>
        <v>Servicio de capacitaciones en gestión del riesgo de incendios  a la ciudadania.</v>
      </c>
      <c r="Z389" s="164" t="str">
        <f t="shared" si="20"/>
        <v>05-Servicio de capacitaciones en gestión del riesgo de incendios  a la ciudadania.</v>
      </c>
      <c r="AA389" s="162" t="s">
        <v>223</v>
      </c>
      <c r="AB389" s="163" t="str">
        <f>IFERROR(VLOOKUP(AA389,TD!$N$51:$O$66,2,0)," ")</f>
        <v>Servicio prevención y control de incendios</v>
      </c>
      <c r="AC389" s="164" t="str">
        <f t="shared" si="21"/>
        <v>035_Servicio prevención y control de incendios</v>
      </c>
      <c r="AD389" s="164" t="str">
        <f t="shared" si="22"/>
        <v>05-Servicio de capacitaciones en gestión del riesgo de incendios  a la ciudadania. 035_Servicio prevención y control de incendios</v>
      </c>
      <c r="AE389" s="163" t="str">
        <f t="shared" si="23"/>
        <v>O23011745032024025505035</v>
      </c>
      <c r="AF389" s="163" t="str">
        <f>IFERROR(VLOOKUP(AD389,TD!$J$66:$K$89,2,0)," ")</f>
        <v>PM/0131/0105/45030350255</v>
      </c>
      <c r="AG389" s="118" t="s">
        <v>385</v>
      </c>
      <c r="AH389" s="162" t="s">
        <v>193</v>
      </c>
      <c r="AI389" s="165" t="str">
        <f>CONCATENATE(PAA[[#This Row],[Id Interno]],"-",PAA[[#This Row],[tipo de Contrato (TH talento humano - B/S bienes y/o servicios)]],"-",S389,"-",T389,"-",PAA[[#This Row],[Objeto de la contratación]])</f>
        <v>20260368-TH-8173-1-Prestar servicios profesionales en las actividades de Programas y Campañas de Prevención para la Subdirección de Gestión del Riesgo._SGR</v>
      </c>
    </row>
    <row r="390" spans="2:35" ht="56" x14ac:dyDescent="0.35">
      <c r="B390" s="23">
        <v>20260369</v>
      </c>
      <c r="C390" s="99" t="s">
        <v>537</v>
      </c>
      <c r="D390" s="23" t="s">
        <v>105</v>
      </c>
      <c r="E390" s="23" t="s">
        <v>363</v>
      </c>
      <c r="F390" s="159" t="s">
        <v>144</v>
      </c>
      <c r="G390" s="160" t="s">
        <v>373</v>
      </c>
      <c r="H390" s="161">
        <v>10</v>
      </c>
      <c r="I390" s="161">
        <v>0</v>
      </c>
      <c r="J390" s="127">
        <v>60000000</v>
      </c>
      <c r="K390" s="88" t="s">
        <v>398</v>
      </c>
      <c r="L390" s="159" t="s">
        <v>156</v>
      </c>
      <c r="M390" s="162" t="s">
        <v>496</v>
      </c>
      <c r="N390" s="23" t="s">
        <v>198</v>
      </c>
      <c r="O390" s="150" t="s">
        <v>926</v>
      </c>
      <c r="P390" s="159" t="s">
        <v>348</v>
      </c>
      <c r="Q390" s="53">
        <v>80111600</v>
      </c>
      <c r="R390" s="162" t="s">
        <v>210</v>
      </c>
      <c r="S390" s="162" t="str">
        <f>MID(PAA[[#This Row],[Meta Proyecto de Inversión]],1,4)</f>
        <v>8173</v>
      </c>
      <c r="T390" s="162" t="str">
        <f>MID(PAA[[#This Row],[Meta Proyecto de Inversión]],6,1)</f>
        <v>1</v>
      </c>
      <c r="U390" s="163" t="str">
        <f>IFERROR(VLOOKUP(N390,TD!$B$50:$F$54,2,0)," ")</f>
        <v>O230117</v>
      </c>
      <c r="V390" s="163" t="str">
        <f>IFERROR(VLOOKUP(N390,TD!$B$50:$F$54,3,0)," ")</f>
        <v>4503</v>
      </c>
      <c r="W390" s="163">
        <f>IFERROR(VLOOKUP(N390,TD!$B$50:$F$54,4,0)," ")</f>
        <v>20240255</v>
      </c>
      <c r="X390" s="162" t="s">
        <v>166</v>
      </c>
      <c r="Y390" s="163" t="str">
        <f>IFERROR(VLOOKUP(X390,TD!$J$51:$K$64,2,0)," ")</f>
        <v>Servicio de capacitaciones en gestión del riesgo de incendios  a la ciudadania.</v>
      </c>
      <c r="Z390" s="164" t="str">
        <f t="shared" si="20"/>
        <v>05-Servicio de capacitaciones en gestión del riesgo de incendios  a la ciudadania.</v>
      </c>
      <c r="AA390" s="162" t="s">
        <v>223</v>
      </c>
      <c r="AB390" s="163" t="str">
        <f>IFERROR(VLOOKUP(AA390,TD!$N$51:$O$66,2,0)," ")</f>
        <v>Servicio prevención y control de incendios</v>
      </c>
      <c r="AC390" s="164" t="str">
        <f t="shared" si="21"/>
        <v>035_Servicio prevención y control de incendios</v>
      </c>
      <c r="AD390" s="164" t="str">
        <f t="shared" si="22"/>
        <v>05-Servicio de capacitaciones en gestión del riesgo de incendios  a la ciudadania. 035_Servicio prevención y control de incendios</v>
      </c>
      <c r="AE390" s="163" t="str">
        <f t="shared" si="23"/>
        <v>O23011745032024025505035</v>
      </c>
      <c r="AF390" s="163" t="str">
        <f>IFERROR(VLOOKUP(AD390,TD!$J$66:$K$89,2,0)," ")</f>
        <v>PM/0131/0105/45030350255</v>
      </c>
      <c r="AG390" s="118" t="s">
        <v>385</v>
      </c>
      <c r="AH390" s="162" t="s">
        <v>193</v>
      </c>
      <c r="AI390" s="165" t="str">
        <f>CONCATENATE(PAA[[#This Row],[Id Interno]],"-",PAA[[#This Row],[tipo de Contrato (TH talento humano - B/S bienes y/o servicios)]],"-",S390,"-",T390,"-",PAA[[#This Row],[Objeto de la contratación]])</f>
        <v>20260369-TH-8173-1-Prestar servicios profesionales en las actividades de Programas y Campañas de Prevención para la Subdirección de Gestión del Riesgo._SGR</v>
      </c>
    </row>
    <row r="391" spans="2:35" ht="56" x14ac:dyDescent="0.35">
      <c r="B391" s="23">
        <v>20260370</v>
      </c>
      <c r="C391" s="99" t="s">
        <v>538</v>
      </c>
      <c r="D391" s="23" t="s">
        <v>105</v>
      </c>
      <c r="E391" s="23" t="s">
        <v>363</v>
      </c>
      <c r="F391" s="159" t="s">
        <v>144</v>
      </c>
      <c r="G391" s="160" t="s">
        <v>373</v>
      </c>
      <c r="H391" s="161">
        <v>10</v>
      </c>
      <c r="I391" s="161">
        <v>0</v>
      </c>
      <c r="J391" s="127">
        <v>40000000</v>
      </c>
      <c r="K391" s="88" t="s">
        <v>398</v>
      </c>
      <c r="L391" s="159" t="s">
        <v>156</v>
      </c>
      <c r="M391" s="162" t="s">
        <v>496</v>
      </c>
      <c r="N391" s="23" t="s">
        <v>198</v>
      </c>
      <c r="O391" s="150" t="s">
        <v>926</v>
      </c>
      <c r="P391" s="160" t="s">
        <v>348</v>
      </c>
      <c r="Q391" s="53">
        <v>80111600</v>
      </c>
      <c r="R391" s="162" t="s">
        <v>210</v>
      </c>
      <c r="S391" s="162" t="str">
        <f>MID(PAA[[#This Row],[Meta Proyecto de Inversión]],1,4)</f>
        <v>8173</v>
      </c>
      <c r="T391" s="162" t="str">
        <f>MID(PAA[[#This Row],[Meta Proyecto de Inversión]],6,1)</f>
        <v>1</v>
      </c>
      <c r="U391" s="163" t="str">
        <f>IFERROR(VLOOKUP(N391,TD!$B$50:$F$54,2,0)," ")</f>
        <v>O230117</v>
      </c>
      <c r="V391" s="163" t="str">
        <f>IFERROR(VLOOKUP(N391,TD!$B$50:$F$54,3,0)," ")</f>
        <v>4503</v>
      </c>
      <c r="W391" s="163">
        <f>IFERROR(VLOOKUP(N391,TD!$B$50:$F$54,4,0)," ")</f>
        <v>20240255</v>
      </c>
      <c r="X391" s="162" t="s">
        <v>166</v>
      </c>
      <c r="Y391" s="163" t="str">
        <f>IFERROR(VLOOKUP(X391,TD!$J$51:$K$64,2,0)," ")</f>
        <v>Servicio de capacitaciones en gestión del riesgo de incendios  a la ciudadania.</v>
      </c>
      <c r="Z391" s="164" t="str">
        <f t="shared" si="20"/>
        <v>05-Servicio de capacitaciones en gestión del riesgo de incendios  a la ciudadania.</v>
      </c>
      <c r="AA391" s="162" t="s">
        <v>223</v>
      </c>
      <c r="AB391" s="163" t="str">
        <f>IFERROR(VLOOKUP(AA391,TD!$N$51:$O$66,2,0)," ")</f>
        <v>Servicio prevención y control de incendios</v>
      </c>
      <c r="AC391" s="164" t="str">
        <f t="shared" si="21"/>
        <v>035_Servicio prevención y control de incendios</v>
      </c>
      <c r="AD391" s="164" t="str">
        <f t="shared" si="22"/>
        <v>05-Servicio de capacitaciones en gestión del riesgo de incendios  a la ciudadania. 035_Servicio prevención y control de incendios</v>
      </c>
      <c r="AE391" s="163" t="str">
        <f t="shared" si="23"/>
        <v>O23011745032024025505035</v>
      </c>
      <c r="AF391" s="163" t="str">
        <f>IFERROR(VLOOKUP(AD391,TD!$J$66:$K$89,2,0)," ")</f>
        <v>PM/0131/0105/45030350255</v>
      </c>
      <c r="AG391" s="118" t="s">
        <v>385</v>
      </c>
      <c r="AH391" s="162" t="s">
        <v>193</v>
      </c>
      <c r="AI391" s="165" t="str">
        <f>CONCATENATE(PAA[[#This Row],[Id Interno]],"-",PAA[[#This Row],[tipo de Contrato (TH talento humano - B/S bienes y/o servicios)]],"-",S391,"-",T391,"-",PAA[[#This Row],[Objeto de la contratación]])</f>
        <v>20260370-TH-8173-1-Prestar servicios de apoyo en las actividades de Programas y Campañas de Prevención para la Subdirección de Gestión del Riesgo. _SGR</v>
      </c>
    </row>
    <row r="392" spans="2:35" ht="56" x14ac:dyDescent="0.35">
      <c r="B392" s="23">
        <v>20260371</v>
      </c>
      <c r="C392" s="99" t="s">
        <v>538</v>
      </c>
      <c r="D392" s="23" t="s">
        <v>105</v>
      </c>
      <c r="E392" s="23" t="s">
        <v>363</v>
      </c>
      <c r="F392" s="159" t="s">
        <v>144</v>
      </c>
      <c r="G392" s="160" t="s">
        <v>373</v>
      </c>
      <c r="H392" s="161">
        <v>10</v>
      </c>
      <c r="I392" s="161">
        <v>0</v>
      </c>
      <c r="J392" s="127">
        <v>37500000</v>
      </c>
      <c r="K392" s="88" t="s">
        <v>398</v>
      </c>
      <c r="L392" s="159" t="s">
        <v>156</v>
      </c>
      <c r="M392" s="162" t="s">
        <v>496</v>
      </c>
      <c r="N392" s="23" t="s">
        <v>198</v>
      </c>
      <c r="O392" s="150" t="s">
        <v>926</v>
      </c>
      <c r="P392" s="159" t="s">
        <v>348</v>
      </c>
      <c r="Q392" s="53">
        <v>80111600</v>
      </c>
      <c r="R392" s="162" t="s">
        <v>210</v>
      </c>
      <c r="S392" s="162" t="str">
        <f>MID(PAA[[#This Row],[Meta Proyecto de Inversión]],1,4)</f>
        <v>8173</v>
      </c>
      <c r="T392" s="162" t="str">
        <f>MID(PAA[[#This Row],[Meta Proyecto de Inversión]],6,1)</f>
        <v>1</v>
      </c>
      <c r="U392" s="163" t="str">
        <f>IFERROR(VLOOKUP(N392,TD!$B$50:$F$54,2,0)," ")</f>
        <v>O230117</v>
      </c>
      <c r="V392" s="163" t="str">
        <f>IFERROR(VLOOKUP(N392,TD!$B$50:$F$54,3,0)," ")</f>
        <v>4503</v>
      </c>
      <c r="W392" s="163">
        <f>IFERROR(VLOOKUP(N392,TD!$B$50:$F$54,4,0)," ")</f>
        <v>20240255</v>
      </c>
      <c r="X392" s="162" t="s">
        <v>166</v>
      </c>
      <c r="Y392" s="163" t="str">
        <f>IFERROR(VLOOKUP(X392,TD!$J$51:$K$64,2,0)," ")</f>
        <v>Servicio de capacitaciones en gestión del riesgo de incendios  a la ciudadania.</v>
      </c>
      <c r="Z392" s="164" t="str">
        <f t="shared" si="20"/>
        <v>05-Servicio de capacitaciones en gestión del riesgo de incendios  a la ciudadania.</v>
      </c>
      <c r="AA392" s="162" t="s">
        <v>223</v>
      </c>
      <c r="AB392" s="163" t="str">
        <f>IFERROR(VLOOKUP(AA392,TD!$N$51:$O$66,2,0)," ")</f>
        <v>Servicio prevención y control de incendios</v>
      </c>
      <c r="AC392" s="164" t="str">
        <f t="shared" si="21"/>
        <v>035_Servicio prevención y control de incendios</v>
      </c>
      <c r="AD392" s="164" t="str">
        <f t="shared" si="22"/>
        <v>05-Servicio de capacitaciones en gestión del riesgo de incendios  a la ciudadania. 035_Servicio prevención y control de incendios</v>
      </c>
      <c r="AE392" s="163" t="str">
        <f t="shared" si="23"/>
        <v>O23011745032024025505035</v>
      </c>
      <c r="AF392" s="163" t="str">
        <f>IFERROR(VLOOKUP(AD392,TD!$J$66:$K$89,2,0)," ")</f>
        <v>PM/0131/0105/45030350255</v>
      </c>
      <c r="AG392" s="118" t="s">
        <v>385</v>
      </c>
      <c r="AH392" s="162" t="s">
        <v>193</v>
      </c>
      <c r="AI392" s="165" t="str">
        <f>CONCATENATE(PAA[[#This Row],[Id Interno]],"-",PAA[[#This Row],[tipo de Contrato (TH talento humano - B/S bienes y/o servicios)]],"-",S392,"-",T392,"-",PAA[[#This Row],[Objeto de la contratación]])</f>
        <v>20260371-TH-8173-1-Prestar servicios de apoyo en las actividades de Programas y Campañas de Prevención para la Subdirección de Gestión del Riesgo. _SGR</v>
      </c>
    </row>
    <row r="393" spans="2:35" ht="56" x14ac:dyDescent="0.35">
      <c r="B393" s="23">
        <v>20260372</v>
      </c>
      <c r="C393" s="99" t="s">
        <v>539</v>
      </c>
      <c r="D393" s="23" t="s">
        <v>105</v>
      </c>
      <c r="E393" s="23" t="s">
        <v>363</v>
      </c>
      <c r="F393" s="159" t="s">
        <v>144</v>
      </c>
      <c r="G393" s="160" t="s">
        <v>373</v>
      </c>
      <c r="H393" s="161">
        <v>10</v>
      </c>
      <c r="I393" s="161">
        <v>0</v>
      </c>
      <c r="J393" s="127">
        <v>38000000</v>
      </c>
      <c r="K393" s="88" t="s">
        <v>398</v>
      </c>
      <c r="L393" s="159" t="s">
        <v>156</v>
      </c>
      <c r="M393" s="162" t="s">
        <v>496</v>
      </c>
      <c r="N393" s="23" t="s">
        <v>198</v>
      </c>
      <c r="O393" s="150" t="s">
        <v>926</v>
      </c>
      <c r="P393" s="159" t="s">
        <v>348</v>
      </c>
      <c r="Q393" s="53">
        <v>80111600</v>
      </c>
      <c r="R393" s="162" t="s">
        <v>210</v>
      </c>
      <c r="S393" s="162" t="str">
        <f>MID(PAA[[#This Row],[Meta Proyecto de Inversión]],1,4)</f>
        <v>8173</v>
      </c>
      <c r="T393" s="162" t="str">
        <f>MID(PAA[[#This Row],[Meta Proyecto de Inversión]],6,1)</f>
        <v>1</v>
      </c>
      <c r="U393" s="163" t="str">
        <f>IFERROR(VLOOKUP(N393,TD!$B$50:$F$54,2,0)," ")</f>
        <v>O230117</v>
      </c>
      <c r="V393" s="163" t="str">
        <f>IFERROR(VLOOKUP(N393,TD!$B$50:$F$54,3,0)," ")</f>
        <v>4503</v>
      </c>
      <c r="W393" s="163">
        <f>IFERROR(VLOOKUP(N393,TD!$B$50:$F$54,4,0)," ")</f>
        <v>20240255</v>
      </c>
      <c r="X393" s="162" t="s">
        <v>166</v>
      </c>
      <c r="Y393" s="163" t="str">
        <f>IFERROR(VLOOKUP(X393,TD!$J$51:$K$64,2,0)," ")</f>
        <v>Servicio de capacitaciones en gestión del riesgo de incendios  a la ciudadania.</v>
      </c>
      <c r="Z393" s="164" t="str">
        <f t="shared" si="20"/>
        <v>05-Servicio de capacitaciones en gestión del riesgo de incendios  a la ciudadania.</v>
      </c>
      <c r="AA393" s="162" t="s">
        <v>223</v>
      </c>
      <c r="AB393" s="163" t="str">
        <f>IFERROR(VLOOKUP(AA393,TD!$N$51:$O$66,2,0)," ")</f>
        <v>Servicio prevención y control de incendios</v>
      </c>
      <c r="AC393" s="164" t="str">
        <f t="shared" si="21"/>
        <v>035_Servicio prevención y control de incendios</v>
      </c>
      <c r="AD393" s="164" t="str">
        <f t="shared" si="22"/>
        <v>05-Servicio de capacitaciones en gestión del riesgo de incendios  a la ciudadania. 035_Servicio prevención y control de incendios</v>
      </c>
      <c r="AE393" s="163" t="str">
        <f t="shared" si="23"/>
        <v>O23011745032024025505035</v>
      </c>
      <c r="AF393" s="163" t="str">
        <f>IFERROR(VLOOKUP(AD393,TD!$J$66:$K$89,2,0)," ")</f>
        <v>PM/0131/0105/45030350255</v>
      </c>
      <c r="AG393" s="118" t="s">
        <v>385</v>
      </c>
      <c r="AH393" s="162" t="s">
        <v>193</v>
      </c>
      <c r="AI393" s="165" t="str">
        <f>CONCATENATE(PAA[[#This Row],[Id Interno]],"-",PAA[[#This Row],[tipo de Contrato (TH talento humano - B/S bienes y/o servicios)]],"-",S393,"-",T393,"-",PAA[[#This Row],[Objeto de la contratación]])</f>
        <v>20260372-TH-8173-1-Prestar servicios apoyo técnico para el desarrollo de los contenidos graficos, piezas comunicativa y de imagen institucional para la Subdirección de Gestión del riesgo._SGR</v>
      </c>
    </row>
    <row r="394" spans="2:35" ht="56" x14ac:dyDescent="0.35">
      <c r="B394" s="23">
        <v>20260373</v>
      </c>
      <c r="C394" s="99" t="s">
        <v>540</v>
      </c>
      <c r="D394" s="23" t="s">
        <v>105</v>
      </c>
      <c r="E394" s="23" t="s">
        <v>363</v>
      </c>
      <c r="F394" s="159" t="s">
        <v>144</v>
      </c>
      <c r="G394" s="160" t="s">
        <v>373</v>
      </c>
      <c r="H394" s="161">
        <v>8</v>
      </c>
      <c r="I394" s="161">
        <v>0</v>
      </c>
      <c r="J394" s="127">
        <v>64000000</v>
      </c>
      <c r="K394" s="88" t="s">
        <v>398</v>
      </c>
      <c r="L394" s="159" t="s">
        <v>156</v>
      </c>
      <c r="M394" s="162" t="s">
        <v>496</v>
      </c>
      <c r="N394" s="23" t="s">
        <v>198</v>
      </c>
      <c r="O394" s="150" t="s">
        <v>926</v>
      </c>
      <c r="P394" s="159" t="s">
        <v>348</v>
      </c>
      <c r="Q394" s="100">
        <v>80111600</v>
      </c>
      <c r="R394" s="162" t="s">
        <v>210</v>
      </c>
      <c r="S394" s="162" t="str">
        <f>MID(PAA[[#This Row],[Meta Proyecto de Inversión]],1,4)</f>
        <v>8173</v>
      </c>
      <c r="T394" s="162" t="str">
        <f>MID(PAA[[#This Row],[Meta Proyecto de Inversión]],6,1)</f>
        <v>1</v>
      </c>
      <c r="U394" s="163" t="str">
        <f>IFERROR(VLOOKUP(N394,TD!$B$50:$F$54,2,0)," ")</f>
        <v>O230117</v>
      </c>
      <c r="V394" s="163" t="str">
        <f>IFERROR(VLOOKUP(N394,TD!$B$50:$F$54,3,0)," ")</f>
        <v>4503</v>
      </c>
      <c r="W394" s="163">
        <f>IFERROR(VLOOKUP(N394,TD!$B$50:$F$54,4,0)," ")</f>
        <v>20240255</v>
      </c>
      <c r="X394" s="162" t="s">
        <v>166</v>
      </c>
      <c r="Y394" s="163" t="str">
        <f>IFERROR(VLOOKUP(X394,TD!$J$51:$K$64,2,0)," ")</f>
        <v>Servicio de capacitaciones en gestión del riesgo de incendios  a la ciudadania.</v>
      </c>
      <c r="Z394" s="164" t="str">
        <f t="shared" si="20"/>
        <v>05-Servicio de capacitaciones en gestión del riesgo de incendios  a la ciudadania.</v>
      </c>
      <c r="AA394" s="162" t="s">
        <v>223</v>
      </c>
      <c r="AB394" s="163" t="str">
        <f>IFERROR(VLOOKUP(AA394,TD!$N$51:$O$66,2,0)," ")</f>
        <v>Servicio prevención y control de incendios</v>
      </c>
      <c r="AC394" s="164" t="str">
        <f t="shared" si="21"/>
        <v>035_Servicio prevención y control de incendios</v>
      </c>
      <c r="AD394" s="164" t="str">
        <f t="shared" si="22"/>
        <v>05-Servicio de capacitaciones en gestión del riesgo de incendios  a la ciudadania. 035_Servicio prevención y control de incendios</v>
      </c>
      <c r="AE394" s="163" t="str">
        <f t="shared" si="23"/>
        <v>O23011745032024025505035</v>
      </c>
      <c r="AF394" s="163" t="str">
        <f>IFERROR(VLOOKUP(AD394,TD!$J$66:$K$89,2,0)," ")</f>
        <v>PM/0131/0105/45030350255</v>
      </c>
      <c r="AG394" s="118" t="s">
        <v>385</v>
      </c>
      <c r="AH394" s="162" t="s">
        <v>193</v>
      </c>
      <c r="AI394" s="165" t="str">
        <f>CONCATENATE(PAA[[#This Row],[Id Interno]],"-",PAA[[#This Row],[tipo de Contrato (TH talento humano - B/S bienes y/o servicios)]],"-",S394,"-",T394,"-",PAA[[#This Row],[Objeto de la contratación]])</f>
        <v>20260373-TH-8173-1-Prestar servicios profesionales  liderando los procesos de formacion y capacitacion de la subdirección de gestión del riesgo._SGR</v>
      </c>
    </row>
    <row r="395" spans="2:35" ht="56" x14ac:dyDescent="0.35">
      <c r="B395" s="23">
        <v>20260374</v>
      </c>
      <c r="C395" s="99" t="s">
        <v>541</v>
      </c>
      <c r="D395" s="23" t="s">
        <v>105</v>
      </c>
      <c r="E395" s="23" t="s">
        <v>363</v>
      </c>
      <c r="F395" s="159" t="s">
        <v>144</v>
      </c>
      <c r="G395" s="160" t="s">
        <v>373</v>
      </c>
      <c r="H395" s="161">
        <v>10</v>
      </c>
      <c r="I395" s="161">
        <v>0</v>
      </c>
      <c r="J395" s="127">
        <v>70000000</v>
      </c>
      <c r="K395" s="88" t="s">
        <v>398</v>
      </c>
      <c r="L395" s="159" t="s">
        <v>156</v>
      </c>
      <c r="M395" s="162" t="s">
        <v>496</v>
      </c>
      <c r="N395" s="23" t="s">
        <v>198</v>
      </c>
      <c r="O395" s="150" t="s">
        <v>926</v>
      </c>
      <c r="P395" s="159" t="s">
        <v>348</v>
      </c>
      <c r="Q395" s="100">
        <v>80111600</v>
      </c>
      <c r="R395" s="162" t="s">
        <v>210</v>
      </c>
      <c r="S395" s="162" t="str">
        <f>MID(PAA[[#This Row],[Meta Proyecto de Inversión]],1,4)</f>
        <v>8173</v>
      </c>
      <c r="T395" s="162" t="str">
        <f>MID(PAA[[#This Row],[Meta Proyecto de Inversión]],6,1)</f>
        <v>1</v>
      </c>
      <c r="U395" s="163" t="str">
        <f>IFERROR(VLOOKUP(N395,TD!$B$50:$F$54,2,0)," ")</f>
        <v>O230117</v>
      </c>
      <c r="V395" s="163" t="str">
        <f>IFERROR(VLOOKUP(N395,TD!$B$50:$F$54,3,0)," ")</f>
        <v>4503</v>
      </c>
      <c r="W395" s="163">
        <f>IFERROR(VLOOKUP(N395,TD!$B$50:$F$54,4,0)," ")</f>
        <v>20240255</v>
      </c>
      <c r="X395" s="162" t="s">
        <v>166</v>
      </c>
      <c r="Y395" s="163" t="str">
        <f>IFERROR(VLOOKUP(X395,TD!$J$51:$K$64,2,0)," ")</f>
        <v>Servicio de capacitaciones en gestión del riesgo de incendios  a la ciudadania.</v>
      </c>
      <c r="Z395" s="164" t="str">
        <f t="shared" si="20"/>
        <v>05-Servicio de capacitaciones en gestión del riesgo de incendios  a la ciudadania.</v>
      </c>
      <c r="AA395" s="162" t="s">
        <v>223</v>
      </c>
      <c r="AB395" s="163" t="str">
        <f>IFERROR(VLOOKUP(AA395,TD!$N$51:$O$66,2,0)," ")</f>
        <v>Servicio prevención y control de incendios</v>
      </c>
      <c r="AC395" s="164" t="str">
        <f t="shared" si="21"/>
        <v>035_Servicio prevención y control de incendios</v>
      </c>
      <c r="AD395" s="164" t="str">
        <f t="shared" si="22"/>
        <v>05-Servicio de capacitaciones en gestión del riesgo de incendios  a la ciudadania. 035_Servicio prevención y control de incendios</v>
      </c>
      <c r="AE395" s="163" t="str">
        <f t="shared" si="23"/>
        <v>O23011745032024025505035</v>
      </c>
      <c r="AF395" s="163" t="str">
        <f>IFERROR(VLOOKUP(AD395,TD!$J$66:$K$89,2,0)," ")</f>
        <v>PM/0131/0105/45030350255</v>
      </c>
      <c r="AG395" s="118" t="s">
        <v>385</v>
      </c>
      <c r="AH395" s="162" t="s">
        <v>193</v>
      </c>
      <c r="AI395" s="165" t="str">
        <f>CONCATENATE(PAA[[#This Row],[Id Interno]],"-",PAA[[#This Row],[tipo de Contrato (TH talento humano - B/S bienes y/o servicios)]],"-",S395,"-",T395,"-",PAA[[#This Row],[Objeto de la contratación]])</f>
        <v>20260374-TH-8173-1-Prestar servicios profesionales en los procesos de formacion y capacitacion de la subdirección de gestión del riesgo._SGR</v>
      </c>
    </row>
    <row r="396" spans="2:35" ht="56" x14ac:dyDescent="0.35">
      <c r="B396" s="23">
        <v>20260375</v>
      </c>
      <c r="C396" s="99" t="s">
        <v>542</v>
      </c>
      <c r="D396" s="23" t="s">
        <v>105</v>
      </c>
      <c r="E396" s="23" t="s">
        <v>363</v>
      </c>
      <c r="F396" s="159" t="s">
        <v>144</v>
      </c>
      <c r="G396" s="160" t="s">
        <v>373</v>
      </c>
      <c r="H396" s="161">
        <v>10</v>
      </c>
      <c r="I396" s="161">
        <v>0</v>
      </c>
      <c r="J396" s="127">
        <v>70000000</v>
      </c>
      <c r="K396" s="88" t="s">
        <v>398</v>
      </c>
      <c r="L396" s="159" t="s">
        <v>156</v>
      </c>
      <c r="M396" s="162" t="s">
        <v>496</v>
      </c>
      <c r="N396" s="23" t="s">
        <v>198</v>
      </c>
      <c r="O396" s="150" t="s">
        <v>926</v>
      </c>
      <c r="P396" s="159" t="s">
        <v>348</v>
      </c>
      <c r="Q396" s="100">
        <v>80111600</v>
      </c>
      <c r="R396" s="162" t="s">
        <v>214</v>
      </c>
      <c r="S396" s="162" t="str">
        <f>MID(PAA[[#This Row],[Meta Proyecto de Inversión]],1,4)</f>
        <v>8173</v>
      </c>
      <c r="T396" s="162" t="str">
        <f>MID(PAA[[#This Row],[Meta Proyecto de Inversión]],6,1)</f>
        <v>5</v>
      </c>
      <c r="U396" s="163" t="str">
        <f>IFERROR(VLOOKUP(N396,TD!$B$50:$F$54,2,0)," ")</f>
        <v>O230117</v>
      </c>
      <c r="V396" s="163" t="str">
        <f>IFERROR(VLOOKUP(N396,TD!$B$50:$F$54,3,0)," ")</f>
        <v>4503</v>
      </c>
      <c r="W396" s="163">
        <f>IFERROR(VLOOKUP(N396,TD!$B$50:$F$54,4,0)," ")</f>
        <v>20240255</v>
      </c>
      <c r="X396" s="162">
        <v>16</v>
      </c>
      <c r="Y396" s="163" t="str">
        <f>IFERROR(VLOOKUP(X396,TD!$J$51:$K$64,2,0)," ")</f>
        <v>Servicio de monitoreo y seguimiento para la gestión del riesgo</v>
      </c>
      <c r="Z396" s="164" t="str">
        <f t="shared" ref="Z396:Z459" si="24">CONCATENATE(X396,"-",Y396)</f>
        <v>16-Servicio de monitoreo y seguimiento para la gestión del riesgo</v>
      </c>
      <c r="AA396" s="162" t="s">
        <v>224</v>
      </c>
      <c r="AB396" s="163" t="str">
        <f>IFERROR(VLOOKUP(AA396,TD!$N$51:$O$66,2,0)," ")</f>
        <v>Servicio de monitoreo y seguimiento para la gestión del riesgo</v>
      </c>
      <c r="AC396" s="164" t="str">
        <f t="shared" ref="AC396:AC459" si="25">CONCATENATE(AA396,"_",AB396)</f>
        <v>018_Servicio de monitoreo y seguimiento para la gestión del riesgo</v>
      </c>
      <c r="AD396" s="164" t="str">
        <f t="shared" ref="AD396:AD459" si="26">CONCATENATE(Z396," ",AC396)</f>
        <v>16-Servicio de monitoreo y seguimiento para la gestión del riesgo 018_Servicio de monitoreo y seguimiento para la gestión del riesgo</v>
      </c>
      <c r="AE396" s="163" t="str">
        <f t="shared" ref="AE396:AE459" si="27">CONCATENATE(U396,V396,W396,X396,AA396)</f>
        <v>O23011745032024025516018</v>
      </c>
      <c r="AF396" s="163" t="str">
        <f>IFERROR(VLOOKUP(AD396,TD!$J$66:$K$89,2,0)," ")</f>
        <v>PM/0131/0116/45030180255</v>
      </c>
      <c r="AG396" s="118" t="s">
        <v>385</v>
      </c>
      <c r="AH396" s="162" t="s">
        <v>193</v>
      </c>
      <c r="AI396" s="165" t="str">
        <f>CONCATENATE(PAA[[#This Row],[Id Interno]],"-",PAA[[#This Row],[tipo de Contrato (TH talento humano - B/S bienes y/o servicios)]],"-",S396,"-",T396,"-",PAA[[#This Row],[Objeto de la contratación]])</f>
        <v>20260375-TH-8173-5-Prestar servicios profesionales liderando las actividades de identificacion y caracterizacion  de escenarios  de riesgos a cargo de la Subdirección de Gestión del Riesgo._SGR</v>
      </c>
    </row>
    <row r="397" spans="2:35" ht="56" x14ac:dyDescent="0.35">
      <c r="B397" s="23">
        <v>20260376</v>
      </c>
      <c r="C397" s="99" t="s">
        <v>543</v>
      </c>
      <c r="D397" s="23" t="s">
        <v>105</v>
      </c>
      <c r="E397" s="23" t="s">
        <v>363</v>
      </c>
      <c r="F397" s="159" t="s">
        <v>144</v>
      </c>
      <c r="G397" s="160" t="s">
        <v>373</v>
      </c>
      <c r="H397" s="161">
        <v>10</v>
      </c>
      <c r="I397" s="161">
        <v>0</v>
      </c>
      <c r="J397" s="127">
        <v>55000000</v>
      </c>
      <c r="K397" s="88" t="s">
        <v>398</v>
      </c>
      <c r="L397" s="159" t="s">
        <v>156</v>
      </c>
      <c r="M397" s="162" t="s">
        <v>496</v>
      </c>
      <c r="N397" s="23" t="s">
        <v>198</v>
      </c>
      <c r="O397" s="150" t="s">
        <v>926</v>
      </c>
      <c r="P397" s="159" t="s">
        <v>348</v>
      </c>
      <c r="Q397" s="100">
        <v>80111600</v>
      </c>
      <c r="R397" s="162" t="s">
        <v>214</v>
      </c>
      <c r="S397" s="162" t="str">
        <f>MID(PAA[[#This Row],[Meta Proyecto de Inversión]],1,4)</f>
        <v>8173</v>
      </c>
      <c r="T397" s="162" t="str">
        <f>MID(PAA[[#This Row],[Meta Proyecto de Inversión]],6,1)</f>
        <v>5</v>
      </c>
      <c r="U397" s="163" t="str">
        <f>IFERROR(VLOOKUP(N397,TD!$B$50:$F$54,2,0)," ")</f>
        <v>O230117</v>
      </c>
      <c r="V397" s="163" t="str">
        <f>IFERROR(VLOOKUP(N397,TD!$B$50:$F$54,3,0)," ")</f>
        <v>4503</v>
      </c>
      <c r="W397" s="163">
        <f>IFERROR(VLOOKUP(N397,TD!$B$50:$F$54,4,0)," ")</f>
        <v>20240255</v>
      </c>
      <c r="X397" s="162">
        <v>16</v>
      </c>
      <c r="Y397" s="163" t="str">
        <f>IFERROR(VLOOKUP(X397,TD!$J$51:$K$64,2,0)," ")</f>
        <v>Servicio de monitoreo y seguimiento para la gestión del riesgo</v>
      </c>
      <c r="Z397" s="164" t="str">
        <f t="shared" si="24"/>
        <v>16-Servicio de monitoreo y seguimiento para la gestión del riesgo</v>
      </c>
      <c r="AA397" s="162" t="s">
        <v>224</v>
      </c>
      <c r="AB397" s="163" t="str">
        <f>IFERROR(VLOOKUP(AA397,TD!$N$51:$O$66,2,0)," ")</f>
        <v>Servicio de monitoreo y seguimiento para la gestión del riesgo</v>
      </c>
      <c r="AC397" s="164" t="str">
        <f t="shared" si="25"/>
        <v>018_Servicio de monitoreo y seguimiento para la gestión del riesgo</v>
      </c>
      <c r="AD397" s="164" t="str">
        <f t="shared" si="26"/>
        <v>16-Servicio de monitoreo y seguimiento para la gestión del riesgo 018_Servicio de monitoreo y seguimiento para la gestión del riesgo</v>
      </c>
      <c r="AE397" s="163" t="str">
        <f t="shared" si="27"/>
        <v>O23011745032024025516018</v>
      </c>
      <c r="AF397" s="163" t="str">
        <f>IFERROR(VLOOKUP(AD397,TD!$J$66:$K$89,2,0)," ")</f>
        <v>PM/0131/0116/45030180255</v>
      </c>
      <c r="AG397" s="118" t="s">
        <v>385</v>
      </c>
      <c r="AH397" s="162" t="s">
        <v>193</v>
      </c>
      <c r="AI397" s="165" t="str">
        <f>CONCATENATE(PAA[[#This Row],[Id Interno]],"-",PAA[[#This Row],[tipo de Contrato (TH talento humano - B/S bienes y/o servicios)]],"-",S397,"-",T397,"-",PAA[[#This Row],[Objeto de la contratación]])</f>
        <v>20260376-TH-8173-5-Prestar servicios profesionales en las actividades de identificacion y caracterizacion  de escenarios  de riesgos a cargo de la Subdirección de Gestión del Riesgo._SGR</v>
      </c>
    </row>
    <row r="398" spans="2:35" ht="56" x14ac:dyDescent="0.35">
      <c r="B398" s="23">
        <v>20260377</v>
      </c>
      <c r="C398" s="99" t="s">
        <v>543</v>
      </c>
      <c r="D398" s="23" t="s">
        <v>105</v>
      </c>
      <c r="E398" s="23" t="s">
        <v>363</v>
      </c>
      <c r="F398" s="159" t="s">
        <v>144</v>
      </c>
      <c r="G398" s="160" t="s">
        <v>373</v>
      </c>
      <c r="H398" s="161">
        <v>10</v>
      </c>
      <c r="I398" s="161">
        <v>0</v>
      </c>
      <c r="J398" s="127">
        <v>55000000</v>
      </c>
      <c r="K398" s="88" t="s">
        <v>398</v>
      </c>
      <c r="L398" s="159" t="s">
        <v>156</v>
      </c>
      <c r="M398" s="162" t="s">
        <v>496</v>
      </c>
      <c r="N398" s="23" t="s">
        <v>198</v>
      </c>
      <c r="O398" s="150" t="s">
        <v>926</v>
      </c>
      <c r="P398" s="159" t="s">
        <v>348</v>
      </c>
      <c r="Q398" s="100">
        <v>80111600</v>
      </c>
      <c r="R398" s="162" t="s">
        <v>214</v>
      </c>
      <c r="S398" s="162" t="str">
        <f>MID(PAA[[#This Row],[Meta Proyecto de Inversión]],1,4)</f>
        <v>8173</v>
      </c>
      <c r="T398" s="162" t="str">
        <f>MID(PAA[[#This Row],[Meta Proyecto de Inversión]],6,1)</f>
        <v>5</v>
      </c>
      <c r="U398" s="163" t="str">
        <f>IFERROR(VLOOKUP(N398,TD!$B$50:$F$54,2,0)," ")</f>
        <v>O230117</v>
      </c>
      <c r="V398" s="163" t="str">
        <f>IFERROR(VLOOKUP(N398,TD!$B$50:$F$54,3,0)," ")</f>
        <v>4503</v>
      </c>
      <c r="W398" s="163">
        <f>IFERROR(VLOOKUP(N398,TD!$B$50:$F$54,4,0)," ")</f>
        <v>20240255</v>
      </c>
      <c r="X398" s="162">
        <v>16</v>
      </c>
      <c r="Y398" s="163" t="str">
        <f>IFERROR(VLOOKUP(X398,TD!$J$51:$K$64,2,0)," ")</f>
        <v>Servicio de monitoreo y seguimiento para la gestión del riesgo</v>
      </c>
      <c r="Z398" s="164" t="str">
        <f t="shared" si="24"/>
        <v>16-Servicio de monitoreo y seguimiento para la gestión del riesgo</v>
      </c>
      <c r="AA398" s="162" t="s">
        <v>224</v>
      </c>
      <c r="AB398" s="163" t="str">
        <f>IFERROR(VLOOKUP(AA398,TD!$N$51:$O$66,2,0)," ")</f>
        <v>Servicio de monitoreo y seguimiento para la gestión del riesgo</v>
      </c>
      <c r="AC398" s="164" t="str">
        <f t="shared" si="25"/>
        <v>018_Servicio de monitoreo y seguimiento para la gestión del riesgo</v>
      </c>
      <c r="AD398" s="164" t="str">
        <f t="shared" si="26"/>
        <v>16-Servicio de monitoreo y seguimiento para la gestión del riesgo 018_Servicio de monitoreo y seguimiento para la gestión del riesgo</v>
      </c>
      <c r="AE398" s="163" t="str">
        <f t="shared" si="27"/>
        <v>O23011745032024025516018</v>
      </c>
      <c r="AF398" s="163" t="str">
        <f>IFERROR(VLOOKUP(AD398,TD!$J$66:$K$89,2,0)," ")</f>
        <v>PM/0131/0116/45030180255</v>
      </c>
      <c r="AG398" s="118" t="s">
        <v>385</v>
      </c>
      <c r="AH398" s="162" t="s">
        <v>193</v>
      </c>
      <c r="AI398" s="165" t="str">
        <f>CONCATENATE(PAA[[#This Row],[Id Interno]],"-",PAA[[#This Row],[tipo de Contrato (TH talento humano - B/S bienes y/o servicios)]],"-",S398,"-",T398,"-",PAA[[#This Row],[Objeto de la contratación]])</f>
        <v>20260377-TH-8173-5-Prestar servicios profesionales en las actividades de identificacion y caracterizacion  de escenarios  de riesgos a cargo de la Subdirección de Gestión del Riesgo._SGR</v>
      </c>
    </row>
    <row r="399" spans="2:35" ht="56" x14ac:dyDescent="0.35">
      <c r="B399" s="23">
        <v>20260378</v>
      </c>
      <c r="C399" s="99" t="s">
        <v>543</v>
      </c>
      <c r="D399" s="23" t="s">
        <v>105</v>
      </c>
      <c r="E399" s="23" t="s">
        <v>363</v>
      </c>
      <c r="F399" s="159" t="s">
        <v>144</v>
      </c>
      <c r="G399" s="160" t="s">
        <v>373</v>
      </c>
      <c r="H399" s="161">
        <v>10</v>
      </c>
      <c r="I399" s="161">
        <v>0</v>
      </c>
      <c r="J399" s="127">
        <v>55000000</v>
      </c>
      <c r="K399" s="88" t="s">
        <v>398</v>
      </c>
      <c r="L399" s="159" t="s">
        <v>156</v>
      </c>
      <c r="M399" s="162" t="s">
        <v>496</v>
      </c>
      <c r="N399" s="23" t="s">
        <v>198</v>
      </c>
      <c r="O399" s="150" t="s">
        <v>926</v>
      </c>
      <c r="P399" s="159" t="s">
        <v>348</v>
      </c>
      <c r="Q399" s="100">
        <v>80111600</v>
      </c>
      <c r="R399" s="162" t="s">
        <v>214</v>
      </c>
      <c r="S399" s="162" t="str">
        <f>MID(PAA[[#This Row],[Meta Proyecto de Inversión]],1,4)</f>
        <v>8173</v>
      </c>
      <c r="T399" s="162" t="str">
        <f>MID(PAA[[#This Row],[Meta Proyecto de Inversión]],6,1)</f>
        <v>5</v>
      </c>
      <c r="U399" s="163" t="str">
        <f>IFERROR(VLOOKUP(N399,TD!$B$50:$F$54,2,0)," ")</f>
        <v>O230117</v>
      </c>
      <c r="V399" s="163" t="str">
        <f>IFERROR(VLOOKUP(N399,TD!$B$50:$F$54,3,0)," ")</f>
        <v>4503</v>
      </c>
      <c r="W399" s="163">
        <f>IFERROR(VLOOKUP(N399,TD!$B$50:$F$54,4,0)," ")</f>
        <v>20240255</v>
      </c>
      <c r="X399" s="162">
        <v>16</v>
      </c>
      <c r="Y399" s="163" t="str">
        <f>IFERROR(VLOOKUP(X399,TD!$J$51:$K$64,2,0)," ")</f>
        <v>Servicio de monitoreo y seguimiento para la gestión del riesgo</v>
      </c>
      <c r="Z399" s="164" t="str">
        <f t="shared" si="24"/>
        <v>16-Servicio de monitoreo y seguimiento para la gestión del riesgo</v>
      </c>
      <c r="AA399" s="162" t="s">
        <v>224</v>
      </c>
      <c r="AB399" s="163" t="str">
        <f>IFERROR(VLOOKUP(AA399,TD!$N$51:$O$66,2,0)," ")</f>
        <v>Servicio de monitoreo y seguimiento para la gestión del riesgo</v>
      </c>
      <c r="AC399" s="164" t="str">
        <f t="shared" si="25"/>
        <v>018_Servicio de monitoreo y seguimiento para la gestión del riesgo</v>
      </c>
      <c r="AD399" s="164" t="str">
        <f t="shared" si="26"/>
        <v>16-Servicio de monitoreo y seguimiento para la gestión del riesgo 018_Servicio de monitoreo y seguimiento para la gestión del riesgo</v>
      </c>
      <c r="AE399" s="163" t="str">
        <f t="shared" si="27"/>
        <v>O23011745032024025516018</v>
      </c>
      <c r="AF399" s="163" t="str">
        <f>IFERROR(VLOOKUP(AD399,TD!$J$66:$K$89,2,0)," ")</f>
        <v>PM/0131/0116/45030180255</v>
      </c>
      <c r="AG399" s="118" t="s">
        <v>385</v>
      </c>
      <c r="AH399" s="162" t="s">
        <v>193</v>
      </c>
      <c r="AI399" s="165" t="str">
        <f>CONCATENATE(PAA[[#This Row],[Id Interno]],"-",PAA[[#This Row],[tipo de Contrato (TH talento humano - B/S bienes y/o servicios)]],"-",S399,"-",T399,"-",PAA[[#This Row],[Objeto de la contratación]])</f>
        <v>20260378-TH-8173-5-Prestar servicios profesionales en las actividades de identificacion y caracterizacion  de escenarios  de riesgos a cargo de la Subdirección de Gestión del Riesgo._SGR</v>
      </c>
    </row>
    <row r="400" spans="2:35" ht="56" x14ac:dyDescent="0.35">
      <c r="B400" s="23">
        <v>20260379</v>
      </c>
      <c r="C400" s="99" t="s">
        <v>544</v>
      </c>
      <c r="D400" s="23" t="s">
        <v>105</v>
      </c>
      <c r="E400" s="23" t="s">
        <v>363</v>
      </c>
      <c r="F400" s="159" t="s">
        <v>144</v>
      </c>
      <c r="G400" s="160" t="s">
        <v>373</v>
      </c>
      <c r="H400" s="161">
        <v>8</v>
      </c>
      <c r="I400" s="161">
        <v>0</v>
      </c>
      <c r="J400" s="127">
        <v>72800000</v>
      </c>
      <c r="K400" s="88" t="s">
        <v>398</v>
      </c>
      <c r="L400" s="159" t="s">
        <v>156</v>
      </c>
      <c r="M400" s="162" t="s">
        <v>496</v>
      </c>
      <c r="N400" s="23" t="s">
        <v>198</v>
      </c>
      <c r="O400" s="150" t="s">
        <v>926</v>
      </c>
      <c r="P400" s="159" t="s">
        <v>348</v>
      </c>
      <c r="Q400" s="100">
        <v>80111600</v>
      </c>
      <c r="R400" s="162" t="s">
        <v>215</v>
      </c>
      <c r="S400" s="162" t="str">
        <f>MID(PAA[[#This Row],[Meta Proyecto de Inversión]],1,4)</f>
        <v>8173</v>
      </c>
      <c r="T400" s="162" t="str">
        <f>MID(PAA[[#This Row],[Meta Proyecto de Inversión]],6,1)</f>
        <v>6</v>
      </c>
      <c r="U400" s="163" t="str">
        <f>IFERROR(VLOOKUP(N400,TD!$B$50:$F$54,2,0)," ")</f>
        <v>O230117</v>
      </c>
      <c r="V400" s="163" t="str">
        <f>IFERROR(VLOOKUP(N400,TD!$B$50:$F$54,3,0)," ")</f>
        <v>4503</v>
      </c>
      <c r="W400" s="163">
        <f>IFERROR(VLOOKUP(N400,TD!$B$50:$F$54,4,0)," ")</f>
        <v>20240255</v>
      </c>
      <c r="X400" s="162">
        <v>16</v>
      </c>
      <c r="Y400" s="163" t="str">
        <f>IFERROR(VLOOKUP(X400,TD!$J$51:$K$64,2,0)," ")</f>
        <v>Servicio de monitoreo y seguimiento para la gestión del riesgo</v>
      </c>
      <c r="Z400" s="164" t="str">
        <f t="shared" si="24"/>
        <v>16-Servicio de monitoreo y seguimiento para la gestión del riesgo</v>
      </c>
      <c r="AA400" s="162" t="s">
        <v>224</v>
      </c>
      <c r="AB400" s="163" t="str">
        <f>IFERROR(VLOOKUP(AA400,TD!$N$51:$O$66,2,0)," ")</f>
        <v>Servicio de monitoreo y seguimiento para la gestión del riesgo</v>
      </c>
      <c r="AC400" s="164" t="str">
        <f t="shared" si="25"/>
        <v>018_Servicio de monitoreo y seguimiento para la gestión del riesgo</v>
      </c>
      <c r="AD400" s="164" t="str">
        <f t="shared" si="26"/>
        <v>16-Servicio de monitoreo y seguimiento para la gestión del riesgo 018_Servicio de monitoreo y seguimiento para la gestión del riesgo</v>
      </c>
      <c r="AE400" s="163" t="str">
        <f t="shared" si="27"/>
        <v>O23011745032024025516018</v>
      </c>
      <c r="AF400" s="163" t="str">
        <f>IFERROR(VLOOKUP(AD400,TD!$J$66:$K$89,2,0)," ")</f>
        <v>PM/0131/0116/45030180255</v>
      </c>
      <c r="AG400" s="118" t="s">
        <v>385</v>
      </c>
      <c r="AH400" s="162" t="s">
        <v>193</v>
      </c>
      <c r="AI400" s="165" t="str">
        <f>CONCATENATE(PAA[[#This Row],[Id Interno]],"-",PAA[[#This Row],[tipo de Contrato (TH talento humano - B/S bienes y/o servicios)]],"-",S400,"-",T400,"-",PAA[[#This Row],[Objeto de la contratación]])</f>
        <v>20260379-TH-8173-6-prestar servicios profesionales liderando las actividades de monitoreo del riesgo de la subdirecion  de gestión del riesgo_SGR</v>
      </c>
    </row>
    <row r="401" spans="2:35" ht="56" x14ac:dyDescent="0.35">
      <c r="B401" s="23">
        <v>20260380</v>
      </c>
      <c r="C401" s="99" t="s">
        <v>545</v>
      </c>
      <c r="D401" s="23" t="s">
        <v>105</v>
      </c>
      <c r="E401" s="23" t="s">
        <v>363</v>
      </c>
      <c r="F401" s="159" t="s">
        <v>144</v>
      </c>
      <c r="G401" s="160" t="s">
        <v>373</v>
      </c>
      <c r="H401" s="161">
        <v>10</v>
      </c>
      <c r="I401" s="161">
        <v>0</v>
      </c>
      <c r="J401" s="127">
        <v>55000000</v>
      </c>
      <c r="K401" s="88" t="s">
        <v>398</v>
      </c>
      <c r="L401" s="159" t="s">
        <v>156</v>
      </c>
      <c r="M401" s="162" t="s">
        <v>496</v>
      </c>
      <c r="N401" s="23" t="s">
        <v>198</v>
      </c>
      <c r="O401" s="150" t="s">
        <v>926</v>
      </c>
      <c r="P401" s="159" t="s">
        <v>348</v>
      </c>
      <c r="Q401" s="100">
        <v>80111600</v>
      </c>
      <c r="R401" s="162" t="s">
        <v>215</v>
      </c>
      <c r="S401" s="162" t="str">
        <f>MID(PAA[[#This Row],[Meta Proyecto de Inversión]],1,4)</f>
        <v>8173</v>
      </c>
      <c r="T401" s="162" t="str">
        <f>MID(PAA[[#This Row],[Meta Proyecto de Inversión]],6,1)</f>
        <v>6</v>
      </c>
      <c r="U401" s="163" t="str">
        <f>IFERROR(VLOOKUP(N401,TD!$B$50:$F$54,2,0)," ")</f>
        <v>O230117</v>
      </c>
      <c r="V401" s="163" t="str">
        <f>IFERROR(VLOOKUP(N401,TD!$B$50:$F$54,3,0)," ")</f>
        <v>4503</v>
      </c>
      <c r="W401" s="163">
        <f>IFERROR(VLOOKUP(N401,TD!$B$50:$F$54,4,0)," ")</f>
        <v>20240255</v>
      </c>
      <c r="X401" s="162">
        <v>16</v>
      </c>
      <c r="Y401" s="163" t="str">
        <f>IFERROR(VLOOKUP(X401,TD!$J$51:$K$64,2,0)," ")</f>
        <v>Servicio de monitoreo y seguimiento para la gestión del riesgo</v>
      </c>
      <c r="Z401" s="164" t="str">
        <f t="shared" si="24"/>
        <v>16-Servicio de monitoreo y seguimiento para la gestión del riesgo</v>
      </c>
      <c r="AA401" s="162" t="s">
        <v>224</v>
      </c>
      <c r="AB401" s="163" t="str">
        <f>IFERROR(VLOOKUP(AA401,TD!$N$51:$O$66,2,0)," ")</f>
        <v>Servicio de monitoreo y seguimiento para la gestión del riesgo</v>
      </c>
      <c r="AC401" s="164" t="str">
        <f t="shared" si="25"/>
        <v>018_Servicio de monitoreo y seguimiento para la gestión del riesgo</v>
      </c>
      <c r="AD401" s="164" t="str">
        <f t="shared" si="26"/>
        <v>16-Servicio de monitoreo y seguimiento para la gestión del riesgo 018_Servicio de monitoreo y seguimiento para la gestión del riesgo</v>
      </c>
      <c r="AE401" s="163" t="str">
        <f t="shared" si="27"/>
        <v>O23011745032024025516018</v>
      </c>
      <c r="AF401" s="163" t="str">
        <f>IFERROR(VLOOKUP(AD401,TD!$J$66:$K$89,2,0)," ")</f>
        <v>PM/0131/0116/45030180255</v>
      </c>
      <c r="AG401" s="118" t="s">
        <v>385</v>
      </c>
      <c r="AH401" s="162" t="s">
        <v>193</v>
      </c>
      <c r="AI401" s="165" t="str">
        <f>CONCATENATE(PAA[[#This Row],[Id Interno]],"-",PAA[[#This Row],[tipo de Contrato (TH talento humano - B/S bienes y/o servicios)]],"-",S401,"-",T401,"-",PAA[[#This Row],[Objeto de la contratación]])</f>
        <v>20260380-TH-8173-6-Prestar servicios profesionales en las actividades de monitoreo del riesgo para la Subdirección de Gestión del Riesgo._SGR</v>
      </c>
    </row>
    <row r="402" spans="2:35" ht="56" x14ac:dyDescent="0.35">
      <c r="B402" s="23">
        <v>20260381</v>
      </c>
      <c r="C402" s="99" t="s">
        <v>545</v>
      </c>
      <c r="D402" s="23" t="s">
        <v>105</v>
      </c>
      <c r="E402" s="23" t="s">
        <v>363</v>
      </c>
      <c r="F402" s="159" t="s">
        <v>144</v>
      </c>
      <c r="G402" s="160" t="s">
        <v>373</v>
      </c>
      <c r="H402" s="161">
        <v>10</v>
      </c>
      <c r="I402" s="161">
        <v>0</v>
      </c>
      <c r="J402" s="127">
        <v>60000000</v>
      </c>
      <c r="K402" s="88" t="s">
        <v>398</v>
      </c>
      <c r="L402" s="159" t="s">
        <v>156</v>
      </c>
      <c r="M402" s="162" t="s">
        <v>496</v>
      </c>
      <c r="N402" s="23" t="s">
        <v>198</v>
      </c>
      <c r="O402" s="150" t="s">
        <v>926</v>
      </c>
      <c r="P402" s="159" t="s">
        <v>348</v>
      </c>
      <c r="Q402" s="100">
        <v>80111600</v>
      </c>
      <c r="R402" s="162" t="s">
        <v>215</v>
      </c>
      <c r="S402" s="162" t="str">
        <f>MID(PAA[[#This Row],[Meta Proyecto de Inversión]],1,4)</f>
        <v>8173</v>
      </c>
      <c r="T402" s="162" t="str">
        <f>MID(PAA[[#This Row],[Meta Proyecto de Inversión]],6,1)</f>
        <v>6</v>
      </c>
      <c r="U402" s="163" t="str">
        <f>IFERROR(VLOOKUP(N402,TD!$B$50:$F$54,2,0)," ")</f>
        <v>O230117</v>
      </c>
      <c r="V402" s="163" t="str">
        <f>IFERROR(VLOOKUP(N402,TD!$B$50:$F$54,3,0)," ")</f>
        <v>4503</v>
      </c>
      <c r="W402" s="163">
        <f>IFERROR(VLOOKUP(N402,TD!$B$50:$F$54,4,0)," ")</f>
        <v>20240255</v>
      </c>
      <c r="X402" s="162">
        <v>16</v>
      </c>
      <c r="Y402" s="163" t="str">
        <f>IFERROR(VLOOKUP(X402,TD!$J$51:$K$64,2,0)," ")</f>
        <v>Servicio de monitoreo y seguimiento para la gestión del riesgo</v>
      </c>
      <c r="Z402" s="164" t="str">
        <f t="shared" si="24"/>
        <v>16-Servicio de monitoreo y seguimiento para la gestión del riesgo</v>
      </c>
      <c r="AA402" s="162" t="s">
        <v>224</v>
      </c>
      <c r="AB402" s="163" t="str">
        <f>IFERROR(VLOOKUP(AA402,TD!$N$51:$O$66,2,0)," ")</f>
        <v>Servicio de monitoreo y seguimiento para la gestión del riesgo</v>
      </c>
      <c r="AC402" s="164" t="str">
        <f t="shared" si="25"/>
        <v>018_Servicio de monitoreo y seguimiento para la gestión del riesgo</v>
      </c>
      <c r="AD402" s="164" t="str">
        <f t="shared" si="26"/>
        <v>16-Servicio de monitoreo y seguimiento para la gestión del riesgo 018_Servicio de monitoreo y seguimiento para la gestión del riesgo</v>
      </c>
      <c r="AE402" s="163" t="str">
        <f t="shared" si="27"/>
        <v>O23011745032024025516018</v>
      </c>
      <c r="AF402" s="163" t="str">
        <f>IFERROR(VLOOKUP(AD402,TD!$J$66:$K$89,2,0)," ")</f>
        <v>PM/0131/0116/45030180255</v>
      </c>
      <c r="AG402" s="118" t="s">
        <v>385</v>
      </c>
      <c r="AH402" s="162" t="s">
        <v>193</v>
      </c>
      <c r="AI402" s="165" t="str">
        <f>CONCATENATE(PAA[[#This Row],[Id Interno]],"-",PAA[[#This Row],[tipo de Contrato (TH talento humano - B/S bienes y/o servicios)]],"-",S402,"-",T402,"-",PAA[[#This Row],[Objeto de la contratación]])</f>
        <v>20260381-TH-8173-6-Prestar servicios profesionales en las actividades de monitoreo del riesgo para la Subdirección de Gestión del Riesgo._SGR</v>
      </c>
    </row>
    <row r="403" spans="2:35" ht="56" x14ac:dyDescent="0.35">
      <c r="B403" s="23">
        <v>20260382</v>
      </c>
      <c r="C403" s="99" t="s">
        <v>546</v>
      </c>
      <c r="D403" s="23" t="s">
        <v>105</v>
      </c>
      <c r="E403" s="23" t="s">
        <v>363</v>
      </c>
      <c r="F403" s="159" t="s">
        <v>145</v>
      </c>
      <c r="G403" s="160" t="s">
        <v>373</v>
      </c>
      <c r="H403" s="161">
        <v>10</v>
      </c>
      <c r="I403" s="161">
        <v>0</v>
      </c>
      <c r="J403" s="127">
        <v>40000000</v>
      </c>
      <c r="K403" s="88" t="s">
        <v>398</v>
      </c>
      <c r="L403" s="159" t="s">
        <v>156</v>
      </c>
      <c r="M403" s="162" t="s">
        <v>496</v>
      </c>
      <c r="N403" s="23" t="s">
        <v>198</v>
      </c>
      <c r="O403" s="150" t="s">
        <v>926</v>
      </c>
      <c r="P403" s="159" t="s">
        <v>348</v>
      </c>
      <c r="Q403" s="100">
        <v>80111600</v>
      </c>
      <c r="R403" s="162" t="s">
        <v>215</v>
      </c>
      <c r="S403" s="162" t="str">
        <f>MID(PAA[[#This Row],[Meta Proyecto de Inversión]],1,4)</f>
        <v>8173</v>
      </c>
      <c r="T403" s="162" t="str">
        <f>MID(PAA[[#This Row],[Meta Proyecto de Inversión]],6,1)</f>
        <v>6</v>
      </c>
      <c r="U403" s="163" t="str">
        <f>IFERROR(VLOOKUP(N403,TD!$B$50:$F$54,2,0)," ")</f>
        <v>O230117</v>
      </c>
      <c r="V403" s="163" t="str">
        <f>IFERROR(VLOOKUP(N403,TD!$B$50:$F$54,3,0)," ")</f>
        <v>4503</v>
      </c>
      <c r="W403" s="163">
        <f>IFERROR(VLOOKUP(N403,TD!$B$50:$F$54,4,0)," ")</f>
        <v>20240255</v>
      </c>
      <c r="X403" s="162">
        <v>16</v>
      </c>
      <c r="Y403" s="163" t="str">
        <f>IFERROR(VLOOKUP(X403,TD!$J$51:$K$64,2,0)," ")</f>
        <v>Servicio de monitoreo y seguimiento para la gestión del riesgo</v>
      </c>
      <c r="Z403" s="164" t="str">
        <f t="shared" si="24"/>
        <v>16-Servicio de monitoreo y seguimiento para la gestión del riesgo</v>
      </c>
      <c r="AA403" s="162" t="s">
        <v>224</v>
      </c>
      <c r="AB403" s="163" t="str">
        <f>IFERROR(VLOOKUP(AA403,TD!$N$51:$O$66,2,0)," ")</f>
        <v>Servicio de monitoreo y seguimiento para la gestión del riesgo</v>
      </c>
      <c r="AC403" s="164" t="str">
        <f t="shared" si="25"/>
        <v>018_Servicio de monitoreo y seguimiento para la gestión del riesgo</v>
      </c>
      <c r="AD403" s="164" t="str">
        <f t="shared" si="26"/>
        <v>16-Servicio de monitoreo y seguimiento para la gestión del riesgo 018_Servicio de monitoreo y seguimiento para la gestión del riesgo</v>
      </c>
      <c r="AE403" s="163" t="str">
        <f t="shared" si="27"/>
        <v>O23011745032024025516018</v>
      </c>
      <c r="AF403" s="163" t="str">
        <f>IFERROR(VLOOKUP(AD403,TD!$J$66:$K$89,2,0)," ")</f>
        <v>PM/0131/0116/45030180255</v>
      </c>
      <c r="AG403" s="118" t="s">
        <v>385</v>
      </c>
      <c r="AH403" s="162" t="s">
        <v>193</v>
      </c>
      <c r="AI403" s="165" t="str">
        <f>CONCATENATE(PAA[[#This Row],[Id Interno]],"-",PAA[[#This Row],[tipo de Contrato (TH talento humano - B/S bienes y/o servicios)]],"-",S403,"-",T403,"-",PAA[[#This Row],[Objeto de la contratación]])</f>
        <v>20260382-TH-8173-6-Prestar servicios  de apoyo en las actividades de monitoreo del riesgo para la Subdirección de Gestión del Riesgo._SGR</v>
      </c>
    </row>
    <row r="404" spans="2:35" ht="56" x14ac:dyDescent="0.35">
      <c r="B404" s="23">
        <v>20260383</v>
      </c>
      <c r="C404" s="99" t="s">
        <v>547</v>
      </c>
      <c r="D404" s="23" t="s">
        <v>105</v>
      </c>
      <c r="E404" s="23" t="s">
        <v>363</v>
      </c>
      <c r="F404" s="159" t="s">
        <v>144</v>
      </c>
      <c r="G404" s="160" t="s">
        <v>373</v>
      </c>
      <c r="H404" s="161">
        <v>8</v>
      </c>
      <c r="I404" s="161">
        <v>0</v>
      </c>
      <c r="J404" s="127">
        <v>72800000</v>
      </c>
      <c r="K404" s="88" t="s">
        <v>398</v>
      </c>
      <c r="L404" s="159" t="s">
        <v>156</v>
      </c>
      <c r="M404" s="162" t="s">
        <v>496</v>
      </c>
      <c r="N404" s="23" t="s">
        <v>198</v>
      </c>
      <c r="O404" s="150" t="s">
        <v>926</v>
      </c>
      <c r="P404" s="159" t="s">
        <v>348</v>
      </c>
      <c r="Q404" s="100">
        <v>80111600</v>
      </c>
      <c r="R404" s="162" t="s">
        <v>214</v>
      </c>
      <c r="S404" s="162" t="str">
        <f>MID(PAA[[#This Row],[Meta Proyecto de Inversión]],1,4)</f>
        <v>8173</v>
      </c>
      <c r="T404" s="162" t="str">
        <f>MID(PAA[[#This Row],[Meta Proyecto de Inversión]],6,1)</f>
        <v>5</v>
      </c>
      <c r="U404" s="163" t="str">
        <f>IFERROR(VLOOKUP(N404,TD!$B$50:$F$54,2,0)," ")</f>
        <v>O230117</v>
      </c>
      <c r="V404" s="163" t="str">
        <f>IFERROR(VLOOKUP(N404,TD!$B$50:$F$54,3,0)," ")</f>
        <v>4503</v>
      </c>
      <c r="W404" s="163">
        <f>IFERROR(VLOOKUP(N404,TD!$B$50:$F$54,4,0)," ")</f>
        <v>20240255</v>
      </c>
      <c r="X404" s="162">
        <v>16</v>
      </c>
      <c r="Y404" s="163" t="str">
        <f>IFERROR(VLOOKUP(X404,TD!$J$51:$K$64,2,0)," ")</f>
        <v>Servicio de monitoreo y seguimiento para la gestión del riesgo</v>
      </c>
      <c r="Z404" s="164" t="str">
        <f t="shared" si="24"/>
        <v>16-Servicio de monitoreo y seguimiento para la gestión del riesgo</v>
      </c>
      <c r="AA404" s="162" t="s">
        <v>224</v>
      </c>
      <c r="AB404" s="163" t="str">
        <f>IFERROR(VLOOKUP(AA404,TD!$N$51:$O$66,2,0)," ")</f>
        <v>Servicio de monitoreo y seguimiento para la gestión del riesgo</v>
      </c>
      <c r="AC404" s="164" t="str">
        <f t="shared" si="25"/>
        <v>018_Servicio de monitoreo y seguimiento para la gestión del riesgo</v>
      </c>
      <c r="AD404" s="164" t="str">
        <f t="shared" si="26"/>
        <v>16-Servicio de monitoreo y seguimiento para la gestión del riesgo 018_Servicio de monitoreo y seguimiento para la gestión del riesgo</v>
      </c>
      <c r="AE404" s="163" t="str">
        <f t="shared" si="27"/>
        <v>O23011745032024025516018</v>
      </c>
      <c r="AF404" s="163" t="str">
        <f>IFERROR(VLOOKUP(AD404,TD!$J$66:$K$89,2,0)," ")</f>
        <v>PM/0131/0116/45030180255</v>
      </c>
      <c r="AG404" s="118" t="s">
        <v>385</v>
      </c>
      <c r="AH404" s="162" t="s">
        <v>193</v>
      </c>
      <c r="AI404" s="165" t="str">
        <f>CONCATENATE(PAA[[#This Row],[Id Interno]],"-",PAA[[#This Row],[tipo de Contrato (TH talento humano - B/S bienes y/o servicios)]],"-",S404,"-",T404,"-",PAA[[#This Row],[Objeto de la contratación]])</f>
        <v>20260383-TH-8173-5-Prestar  servicios profesionales  liderando las actividades de proyeccion e innovacion para la Subdirección de Gestión del Riesgo._SGR</v>
      </c>
    </row>
    <row r="405" spans="2:35" ht="56" x14ac:dyDescent="0.35">
      <c r="B405" s="23">
        <v>20260384</v>
      </c>
      <c r="C405" s="99" t="s">
        <v>548</v>
      </c>
      <c r="D405" s="23" t="s">
        <v>105</v>
      </c>
      <c r="E405" s="23" t="s">
        <v>363</v>
      </c>
      <c r="F405" s="159" t="s">
        <v>144</v>
      </c>
      <c r="G405" s="160" t="s">
        <v>373</v>
      </c>
      <c r="H405" s="161">
        <v>10</v>
      </c>
      <c r="I405" s="161">
        <v>0</v>
      </c>
      <c r="J405" s="127">
        <v>80000000</v>
      </c>
      <c r="K405" s="88" t="s">
        <v>398</v>
      </c>
      <c r="L405" s="159" t="s">
        <v>156</v>
      </c>
      <c r="M405" s="162" t="s">
        <v>496</v>
      </c>
      <c r="N405" s="23" t="s">
        <v>198</v>
      </c>
      <c r="O405" s="150" t="s">
        <v>926</v>
      </c>
      <c r="P405" s="159" t="s">
        <v>348</v>
      </c>
      <c r="Q405" s="100">
        <v>80111600</v>
      </c>
      <c r="R405" s="162" t="s">
        <v>214</v>
      </c>
      <c r="S405" s="162" t="str">
        <f>MID(PAA[[#This Row],[Meta Proyecto de Inversión]],1,4)</f>
        <v>8173</v>
      </c>
      <c r="T405" s="162" t="str">
        <f>MID(PAA[[#This Row],[Meta Proyecto de Inversión]],6,1)</f>
        <v>5</v>
      </c>
      <c r="U405" s="163" t="str">
        <f>IFERROR(VLOOKUP(N405,TD!$B$50:$F$54,2,0)," ")</f>
        <v>O230117</v>
      </c>
      <c r="V405" s="163" t="str">
        <f>IFERROR(VLOOKUP(N405,TD!$B$50:$F$54,3,0)," ")</f>
        <v>4503</v>
      </c>
      <c r="W405" s="163">
        <f>IFERROR(VLOOKUP(N405,TD!$B$50:$F$54,4,0)," ")</f>
        <v>20240255</v>
      </c>
      <c r="X405" s="162">
        <v>16</v>
      </c>
      <c r="Y405" s="163" t="str">
        <f>IFERROR(VLOOKUP(X405,TD!$J$51:$K$64,2,0)," ")</f>
        <v>Servicio de monitoreo y seguimiento para la gestión del riesgo</v>
      </c>
      <c r="Z405" s="164" t="str">
        <f t="shared" si="24"/>
        <v>16-Servicio de monitoreo y seguimiento para la gestión del riesgo</v>
      </c>
      <c r="AA405" s="162" t="s">
        <v>224</v>
      </c>
      <c r="AB405" s="163" t="str">
        <f>IFERROR(VLOOKUP(AA405,TD!$N$51:$O$66,2,0)," ")</f>
        <v>Servicio de monitoreo y seguimiento para la gestión del riesgo</v>
      </c>
      <c r="AC405" s="164" t="str">
        <f t="shared" si="25"/>
        <v>018_Servicio de monitoreo y seguimiento para la gestión del riesgo</v>
      </c>
      <c r="AD405" s="164" t="str">
        <f t="shared" si="26"/>
        <v>16-Servicio de monitoreo y seguimiento para la gestión del riesgo 018_Servicio de monitoreo y seguimiento para la gestión del riesgo</v>
      </c>
      <c r="AE405" s="163" t="str">
        <f t="shared" si="27"/>
        <v>O23011745032024025516018</v>
      </c>
      <c r="AF405" s="163" t="str">
        <f>IFERROR(VLOOKUP(AD405,TD!$J$66:$K$89,2,0)," ")</f>
        <v>PM/0131/0116/45030180255</v>
      </c>
      <c r="AG405" s="118" t="s">
        <v>385</v>
      </c>
      <c r="AH405" s="162" t="s">
        <v>193</v>
      </c>
      <c r="AI405" s="165" t="str">
        <f>CONCATENATE(PAA[[#This Row],[Id Interno]],"-",PAA[[#This Row],[tipo de Contrato (TH talento humano - B/S bienes y/o servicios)]],"-",S405,"-",T405,"-",PAA[[#This Row],[Objeto de la contratación]])</f>
        <v>20260384-TH-8173-5-Prestar  servicios profesionales  en las actividades de proyeccion e innovacion para la Subdirección de Gestión del Riesgo._SGR</v>
      </c>
    </row>
    <row r="406" spans="2:35" ht="56" x14ac:dyDescent="0.35">
      <c r="B406" s="23">
        <v>20260385</v>
      </c>
      <c r="C406" s="99" t="s">
        <v>548</v>
      </c>
      <c r="D406" s="23" t="s">
        <v>105</v>
      </c>
      <c r="E406" s="23" t="s">
        <v>363</v>
      </c>
      <c r="F406" s="159" t="s">
        <v>144</v>
      </c>
      <c r="G406" s="160" t="s">
        <v>373</v>
      </c>
      <c r="H406" s="161">
        <v>8</v>
      </c>
      <c r="I406" s="161">
        <v>0</v>
      </c>
      <c r="J406" s="127">
        <v>48000000</v>
      </c>
      <c r="K406" s="88" t="s">
        <v>398</v>
      </c>
      <c r="L406" s="159" t="s">
        <v>156</v>
      </c>
      <c r="M406" s="162" t="s">
        <v>496</v>
      </c>
      <c r="N406" s="23" t="s">
        <v>198</v>
      </c>
      <c r="O406" s="150" t="s">
        <v>926</v>
      </c>
      <c r="P406" s="159" t="s">
        <v>348</v>
      </c>
      <c r="Q406" s="100">
        <v>80111600</v>
      </c>
      <c r="R406" s="162" t="s">
        <v>214</v>
      </c>
      <c r="S406" s="162" t="str">
        <f>MID(PAA[[#This Row],[Meta Proyecto de Inversión]],1,4)</f>
        <v>8173</v>
      </c>
      <c r="T406" s="162" t="str">
        <f>MID(PAA[[#This Row],[Meta Proyecto de Inversión]],6,1)</f>
        <v>5</v>
      </c>
      <c r="U406" s="163" t="str">
        <f>IFERROR(VLOOKUP(N406,TD!$B$50:$F$54,2,0)," ")</f>
        <v>O230117</v>
      </c>
      <c r="V406" s="163" t="str">
        <f>IFERROR(VLOOKUP(N406,TD!$B$50:$F$54,3,0)," ")</f>
        <v>4503</v>
      </c>
      <c r="W406" s="163">
        <f>IFERROR(VLOOKUP(N406,TD!$B$50:$F$54,4,0)," ")</f>
        <v>20240255</v>
      </c>
      <c r="X406" s="162">
        <v>16</v>
      </c>
      <c r="Y406" s="163" t="str">
        <f>IFERROR(VLOOKUP(X406,TD!$J$51:$K$64,2,0)," ")</f>
        <v>Servicio de monitoreo y seguimiento para la gestión del riesgo</v>
      </c>
      <c r="Z406" s="164" t="str">
        <f t="shared" si="24"/>
        <v>16-Servicio de monitoreo y seguimiento para la gestión del riesgo</v>
      </c>
      <c r="AA406" s="162" t="s">
        <v>224</v>
      </c>
      <c r="AB406" s="163" t="str">
        <f>IFERROR(VLOOKUP(AA406,TD!$N$51:$O$66,2,0)," ")</f>
        <v>Servicio de monitoreo y seguimiento para la gestión del riesgo</v>
      </c>
      <c r="AC406" s="164" t="str">
        <f t="shared" si="25"/>
        <v>018_Servicio de monitoreo y seguimiento para la gestión del riesgo</v>
      </c>
      <c r="AD406" s="164" t="str">
        <f t="shared" si="26"/>
        <v>16-Servicio de monitoreo y seguimiento para la gestión del riesgo 018_Servicio de monitoreo y seguimiento para la gestión del riesgo</v>
      </c>
      <c r="AE406" s="163" t="str">
        <f t="shared" si="27"/>
        <v>O23011745032024025516018</v>
      </c>
      <c r="AF406" s="163" t="str">
        <f>IFERROR(VLOOKUP(AD406,TD!$J$66:$K$89,2,0)," ")</f>
        <v>PM/0131/0116/45030180255</v>
      </c>
      <c r="AG406" s="118" t="s">
        <v>385</v>
      </c>
      <c r="AH406" s="162" t="s">
        <v>193</v>
      </c>
      <c r="AI406" s="165" t="str">
        <f>CONCATENATE(PAA[[#This Row],[Id Interno]],"-",PAA[[#This Row],[tipo de Contrato (TH talento humano - B/S bienes y/o servicios)]],"-",S406,"-",T406,"-",PAA[[#This Row],[Objeto de la contratación]])</f>
        <v>20260385-TH-8173-5-Prestar  servicios profesionales  en las actividades de proyeccion e innovacion para la Subdirección de Gestión del Riesgo._SGR</v>
      </c>
    </row>
    <row r="407" spans="2:35" ht="56" x14ac:dyDescent="0.35">
      <c r="B407" s="23">
        <v>20260386</v>
      </c>
      <c r="C407" s="99" t="s">
        <v>548</v>
      </c>
      <c r="D407" s="23" t="s">
        <v>105</v>
      </c>
      <c r="E407" s="23" t="s">
        <v>363</v>
      </c>
      <c r="F407" s="159" t="s">
        <v>144</v>
      </c>
      <c r="G407" s="160" t="s">
        <v>373</v>
      </c>
      <c r="H407" s="161">
        <v>6</v>
      </c>
      <c r="I407" s="161">
        <v>0</v>
      </c>
      <c r="J407" s="127">
        <v>54000000</v>
      </c>
      <c r="K407" s="88" t="s">
        <v>398</v>
      </c>
      <c r="L407" s="159" t="s">
        <v>156</v>
      </c>
      <c r="M407" s="162" t="s">
        <v>496</v>
      </c>
      <c r="N407" s="23" t="s">
        <v>198</v>
      </c>
      <c r="O407" s="150" t="s">
        <v>926</v>
      </c>
      <c r="P407" s="159" t="s">
        <v>348</v>
      </c>
      <c r="Q407" s="100">
        <v>80111600</v>
      </c>
      <c r="R407" s="162" t="s">
        <v>214</v>
      </c>
      <c r="S407" s="162" t="str">
        <f>MID(PAA[[#This Row],[Meta Proyecto de Inversión]],1,4)</f>
        <v>8173</v>
      </c>
      <c r="T407" s="162" t="str">
        <f>MID(PAA[[#This Row],[Meta Proyecto de Inversión]],6,1)</f>
        <v>5</v>
      </c>
      <c r="U407" s="163" t="str">
        <f>IFERROR(VLOOKUP(N407,TD!$B$50:$F$54,2,0)," ")</f>
        <v>O230117</v>
      </c>
      <c r="V407" s="163" t="str">
        <f>IFERROR(VLOOKUP(N407,TD!$B$50:$F$54,3,0)," ")</f>
        <v>4503</v>
      </c>
      <c r="W407" s="163">
        <f>IFERROR(VLOOKUP(N407,TD!$B$50:$F$54,4,0)," ")</f>
        <v>20240255</v>
      </c>
      <c r="X407" s="162">
        <v>16</v>
      </c>
      <c r="Y407" s="163" t="str">
        <f>IFERROR(VLOOKUP(X407,TD!$J$51:$K$64,2,0)," ")</f>
        <v>Servicio de monitoreo y seguimiento para la gestión del riesgo</v>
      </c>
      <c r="Z407" s="164" t="str">
        <f t="shared" si="24"/>
        <v>16-Servicio de monitoreo y seguimiento para la gestión del riesgo</v>
      </c>
      <c r="AA407" s="162" t="s">
        <v>224</v>
      </c>
      <c r="AB407" s="163" t="str">
        <f>IFERROR(VLOOKUP(AA407,TD!$N$51:$O$66,2,0)," ")</f>
        <v>Servicio de monitoreo y seguimiento para la gestión del riesgo</v>
      </c>
      <c r="AC407" s="164" t="str">
        <f t="shared" si="25"/>
        <v>018_Servicio de monitoreo y seguimiento para la gestión del riesgo</v>
      </c>
      <c r="AD407" s="164" t="str">
        <f t="shared" si="26"/>
        <v>16-Servicio de monitoreo y seguimiento para la gestión del riesgo 018_Servicio de monitoreo y seguimiento para la gestión del riesgo</v>
      </c>
      <c r="AE407" s="163" t="str">
        <f t="shared" si="27"/>
        <v>O23011745032024025516018</v>
      </c>
      <c r="AF407" s="163" t="str">
        <f>IFERROR(VLOOKUP(AD407,TD!$J$66:$K$89,2,0)," ")</f>
        <v>PM/0131/0116/45030180255</v>
      </c>
      <c r="AG407" s="118" t="s">
        <v>385</v>
      </c>
      <c r="AH407" s="162" t="s">
        <v>193</v>
      </c>
      <c r="AI407" s="165" t="str">
        <f>CONCATENATE(PAA[[#This Row],[Id Interno]],"-",PAA[[#This Row],[tipo de Contrato (TH talento humano - B/S bienes y/o servicios)]],"-",S407,"-",T407,"-",PAA[[#This Row],[Objeto de la contratación]])</f>
        <v>20260386-TH-8173-5-Prestar  servicios profesionales  en las actividades de proyeccion e innovacion para la Subdirección de Gestión del Riesgo._SGR</v>
      </c>
    </row>
    <row r="408" spans="2:35" ht="70" x14ac:dyDescent="0.35">
      <c r="B408" s="23">
        <v>20260387</v>
      </c>
      <c r="C408" s="99" t="s">
        <v>481</v>
      </c>
      <c r="D408" s="23" t="s">
        <v>78</v>
      </c>
      <c r="E408" s="23" t="s">
        <v>402</v>
      </c>
      <c r="F408" s="159" t="s">
        <v>124</v>
      </c>
      <c r="G408" s="160" t="s">
        <v>943</v>
      </c>
      <c r="H408" s="161">
        <v>8</v>
      </c>
      <c r="I408" s="161">
        <v>0</v>
      </c>
      <c r="J408" s="127">
        <v>817611040</v>
      </c>
      <c r="K408" s="88" t="s">
        <v>398</v>
      </c>
      <c r="L408" s="159" t="s">
        <v>156</v>
      </c>
      <c r="M408" s="162" t="s">
        <v>496</v>
      </c>
      <c r="N408" s="23" t="s">
        <v>198</v>
      </c>
      <c r="O408" s="150" t="s">
        <v>926</v>
      </c>
      <c r="P408" s="159" t="s">
        <v>348</v>
      </c>
      <c r="Q408" s="100" t="s">
        <v>521</v>
      </c>
      <c r="R408" s="162" t="s">
        <v>210</v>
      </c>
      <c r="S408" s="162" t="str">
        <f>MID(PAA[[#This Row],[Meta Proyecto de Inversión]],1,4)</f>
        <v>8173</v>
      </c>
      <c r="T408" s="162" t="str">
        <f>MID(PAA[[#This Row],[Meta Proyecto de Inversión]],6,1)</f>
        <v>1</v>
      </c>
      <c r="U408" s="163" t="str">
        <f>IFERROR(VLOOKUP(N408,TD!$B$50:$F$54,2,0)," ")</f>
        <v>O230117</v>
      </c>
      <c r="V408" s="163" t="str">
        <f>IFERROR(VLOOKUP(N408,TD!$B$50:$F$54,3,0)," ")</f>
        <v>4503</v>
      </c>
      <c r="W408" s="163">
        <f>IFERROR(VLOOKUP(N408,TD!$B$50:$F$54,4,0)," ")</f>
        <v>20240255</v>
      </c>
      <c r="X408" s="162" t="s">
        <v>166</v>
      </c>
      <c r="Y408" s="163" t="str">
        <f>IFERROR(VLOOKUP(X408,TD!$J$51:$K$64,2,0)," ")</f>
        <v>Servicio de capacitaciones en gestión del riesgo de incendios  a la ciudadania.</v>
      </c>
      <c r="Z408" s="164" t="str">
        <f t="shared" si="24"/>
        <v>05-Servicio de capacitaciones en gestión del riesgo de incendios  a la ciudadania.</v>
      </c>
      <c r="AA408" s="162" t="s">
        <v>223</v>
      </c>
      <c r="AB408" s="163" t="str">
        <f>IFERROR(VLOOKUP(AA408,TD!$N$51:$O$66,2,0)," ")</f>
        <v>Servicio prevención y control de incendios</v>
      </c>
      <c r="AC408" s="164" t="str">
        <f t="shared" si="25"/>
        <v>035_Servicio prevención y control de incendios</v>
      </c>
      <c r="AD408" s="164" t="str">
        <f t="shared" si="26"/>
        <v>05-Servicio de capacitaciones en gestión del riesgo de incendios  a la ciudadania. 035_Servicio prevención y control de incendios</v>
      </c>
      <c r="AE408" s="163" t="str">
        <f t="shared" si="27"/>
        <v>O23011745032024025505035</v>
      </c>
      <c r="AF408" s="163" t="str">
        <f>IFERROR(VLOOKUP(AD408,TD!$J$66:$K$89,2,0)," ")</f>
        <v>PM/0131/0105/45030350255</v>
      </c>
      <c r="AG408" s="118" t="s">
        <v>550</v>
      </c>
      <c r="AH408" s="162" t="s">
        <v>193</v>
      </c>
      <c r="AI408" s="165" t="str">
        <f>CONCATENATE(PAA[[#This Row],[Id Interno]],"-",PAA[[#This Row],[tipo de Contrato (TH talento humano - B/S bienes y/o servicios)]],"-",S408,"-",T408,"-",PAA[[#This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09" spans="2:35" ht="56" x14ac:dyDescent="0.35">
      <c r="B409" s="23">
        <v>20260388</v>
      </c>
      <c r="C409" s="99" t="s">
        <v>522</v>
      </c>
      <c r="D409" s="23" t="s">
        <v>83</v>
      </c>
      <c r="E409" s="23" t="s">
        <v>402</v>
      </c>
      <c r="F409" s="159" t="s">
        <v>101</v>
      </c>
      <c r="G409" s="160" t="s">
        <v>375</v>
      </c>
      <c r="H409" s="161">
        <v>3</v>
      </c>
      <c r="I409" s="161">
        <v>0</v>
      </c>
      <c r="J409" s="127">
        <v>80000000</v>
      </c>
      <c r="K409" s="88" t="s">
        <v>398</v>
      </c>
      <c r="L409" s="159" t="s">
        <v>156</v>
      </c>
      <c r="M409" s="162" t="s">
        <v>496</v>
      </c>
      <c r="N409" s="23" t="s">
        <v>198</v>
      </c>
      <c r="O409" s="150" t="s">
        <v>926</v>
      </c>
      <c r="P409" s="159" t="s">
        <v>348</v>
      </c>
      <c r="Q409" s="100" t="s">
        <v>1008</v>
      </c>
      <c r="R409" s="162" t="s">
        <v>210</v>
      </c>
      <c r="S409" s="162" t="str">
        <f>MID(PAA[[#This Row],[Meta Proyecto de Inversión]],1,4)</f>
        <v>8173</v>
      </c>
      <c r="T409" s="162" t="str">
        <f>MID(PAA[[#This Row],[Meta Proyecto de Inversión]],6,1)</f>
        <v>1</v>
      </c>
      <c r="U409" s="163" t="str">
        <f>IFERROR(VLOOKUP(N409,TD!$B$50:$F$54,2,0)," ")</f>
        <v>O230117</v>
      </c>
      <c r="V409" s="163" t="str">
        <f>IFERROR(VLOOKUP(N409,TD!$B$50:$F$54,3,0)," ")</f>
        <v>4503</v>
      </c>
      <c r="W409" s="163">
        <f>IFERROR(VLOOKUP(N409,TD!$B$50:$F$54,4,0)," ")</f>
        <v>20240255</v>
      </c>
      <c r="X409" s="162" t="s">
        <v>166</v>
      </c>
      <c r="Y409" s="163" t="str">
        <f>IFERROR(VLOOKUP(X409,TD!$J$51:$K$64,2,0)," ")</f>
        <v>Servicio de capacitaciones en gestión del riesgo de incendios  a la ciudadania.</v>
      </c>
      <c r="Z409" s="164" t="str">
        <f t="shared" si="24"/>
        <v>05-Servicio de capacitaciones en gestión del riesgo de incendios  a la ciudadania.</v>
      </c>
      <c r="AA409" s="162" t="s">
        <v>223</v>
      </c>
      <c r="AB409" s="163" t="str">
        <f>IFERROR(VLOOKUP(AA409,TD!$N$51:$O$66,2,0)," ")</f>
        <v>Servicio prevención y control de incendios</v>
      </c>
      <c r="AC409" s="164" t="str">
        <f t="shared" si="25"/>
        <v>035_Servicio prevención y control de incendios</v>
      </c>
      <c r="AD409" s="164" t="str">
        <f t="shared" si="26"/>
        <v>05-Servicio de capacitaciones en gestión del riesgo de incendios  a la ciudadania. 035_Servicio prevención y control de incendios</v>
      </c>
      <c r="AE409" s="163" t="str">
        <f t="shared" si="27"/>
        <v>O23011745032024025505035</v>
      </c>
      <c r="AF409" s="163" t="str">
        <f>IFERROR(VLOOKUP(AD409,TD!$J$66:$K$89,2,0)," ")</f>
        <v>PM/0131/0105/45030350255</v>
      </c>
      <c r="AG409" s="118" t="s">
        <v>549</v>
      </c>
      <c r="AH409" s="162" t="s">
        <v>193</v>
      </c>
      <c r="AI409" s="165" t="str">
        <f>CONCATENATE(PAA[[#This Row],[Id Interno]],"-",PAA[[#This Row],[tipo de Contrato (TH talento humano - B/S bienes y/o servicios)]],"-",S409,"-",T409,"-",PAA[[#This Row],[Objeto de la contratación]])</f>
        <v>20260388-BS-8173-1-Adquisición de suministros y elementos de identificación institucional para el fortalecimiento de los procesos misionales de la Subdirección de Gestión del Riesgo_SGR</v>
      </c>
    </row>
    <row r="410" spans="2:35" ht="56" x14ac:dyDescent="0.35">
      <c r="B410" s="23">
        <v>20260389</v>
      </c>
      <c r="C410" s="99" t="s">
        <v>964</v>
      </c>
      <c r="D410" s="23" t="s">
        <v>92</v>
      </c>
      <c r="E410" s="23" t="s">
        <v>402</v>
      </c>
      <c r="F410" s="159" t="s">
        <v>101</v>
      </c>
      <c r="G410" s="160" t="s">
        <v>375</v>
      </c>
      <c r="H410" s="161">
        <v>3</v>
      </c>
      <c r="I410" s="161">
        <v>0</v>
      </c>
      <c r="J410" s="127">
        <v>27000000</v>
      </c>
      <c r="K410" s="88" t="s">
        <v>398</v>
      </c>
      <c r="L410" s="159" t="s">
        <v>156</v>
      </c>
      <c r="M410" s="162" t="s">
        <v>496</v>
      </c>
      <c r="N410" s="23" t="s">
        <v>198</v>
      </c>
      <c r="O410" s="150" t="s">
        <v>926</v>
      </c>
      <c r="P410" s="159" t="s">
        <v>348</v>
      </c>
      <c r="Q410" s="100" t="s">
        <v>523</v>
      </c>
      <c r="R410" s="162" t="s">
        <v>210</v>
      </c>
      <c r="S410" s="162" t="str">
        <f>MID(PAA[[#This Row],[Meta Proyecto de Inversión]],1,4)</f>
        <v>8173</v>
      </c>
      <c r="T410" s="162" t="str">
        <f>MID(PAA[[#This Row],[Meta Proyecto de Inversión]],6,1)</f>
        <v>1</v>
      </c>
      <c r="U410" s="163" t="str">
        <f>IFERROR(VLOOKUP(N410,TD!$B$50:$F$54,2,0)," ")</f>
        <v>O230117</v>
      </c>
      <c r="V410" s="163" t="str">
        <f>IFERROR(VLOOKUP(N410,TD!$B$50:$F$54,3,0)," ")</f>
        <v>4503</v>
      </c>
      <c r="W410" s="163">
        <f>IFERROR(VLOOKUP(N410,TD!$B$50:$F$54,4,0)," ")</f>
        <v>20240255</v>
      </c>
      <c r="X410" s="162" t="s">
        <v>166</v>
      </c>
      <c r="Y410" s="163" t="str">
        <f>IFERROR(VLOOKUP(X410,TD!$J$51:$K$64,2,0)," ")</f>
        <v>Servicio de capacitaciones en gestión del riesgo de incendios  a la ciudadania.</v>
      </c>
      <c r="Z410" s="164" t="str">
        <f t="shared" si="24"/>
        <v>05-Servicio de capacitaciones en gestión del riesgo de incendios  a la ciudadania.</v>
      </c>
      <c r="AA410" s="162" t="s">
        <v>223</v>
      </c>
      <c r="AB410" s="163" t="str">
        <f>IFERROR(VLOOKUP(AA410,TD!$N$51:$O$66,2,0)," ")</f>
        <v>Servicio prevención y control de incendios</v>
      </c>
      <c r="AC410" s="164" t="str">
        <f t="shared" si="25"/>
        <v>035_Servicio prevención y control de incendios</v>
      </c>
      <c r="AD410" s="164" t="str">
        <f t="shared" si="26"/>
        <v>05-Servicio de capacitaciones en gestión del riesgo de incendios  a la ciudadania. 035_Servicio prevención y control de incendios</v>
      </c>
      <c r="AE410" s="163" t="str">
        <f t="shared" si="27"/>
        <v>O23011745032024025505035</v>
      </c>
      <c r="AF410" s="163" t="str">
        <f>IFERROR(VLOOKUP(AD410,TD!$J$66:$K$89,2,0)," ")</f>
        <v>PM/0131/0105/45030350255</v>
      </c>
      <c r="AG410" s="118" t="s">
        <v>901</v>
      </c>
      <c r="AH410" s="162" t="s">
        <v>193</v>
      </c>
      <c r="AI410" s="165" t="str">
        <f>CONCATENATE(PAA[[#This Row],[Id Interno]],"-",PAA[[#This Row],[tipo de Contrato (TH talento humano - B/S bienes y/o servicios)]],"-",S410,"-",T410,"-",PAA[[#This Row],[Objeto de la contratación]])</f>
        <v>20260389-BS-8173-1-Adquisición de materiales y elementos especializados para el desarrollo de actividades de reduccion del riesgo adelantados por la Subdirección de Gestión del Riesgo_SGR</v>
      </c>
    </row>
    <row r="411" spans="2:35" ht="56" x14ac:dyDescent="0.35">
      <c r="B411" s="23">
        <v>20260390</v>
      </c>
      <c r="C411" s="99" t="s">
        <v>524</v>
      </c>
      <c r="D411" s="23" t="s">
        <v>83</v>
      </c>
      <c r="E411" s="23" t="s">
        <v>402</v>
      </c>
      <c r="F411" s="159" t="s">
        <v>101</v>
      </c>
      <c r="G411" s="160" t="s">
        <v>375</v>
      </c>
      <c r="H411" s="161">
        <v>3</v>
      </c>
      <c r="I411" s="161">
        <v>0</v>
      </c>
      <c r="J411" s="127">
        <v>50000000</v>
      </c>
      <c r="K411" s="88" t="s">
        <v>398</v>
      </c>
      <c r="L411" s="159" t="s">
        <v>156</v>
      </c>
      <c r="M411" s="162" t="s">
        <v>496</v>
      </c>
      <c r="N411" s="23" t="s">
        <v>198</v>
      </c>
      <c r="O411" s="150" t="s">
        <v>926</v>
      </c>
      <c r="P411" s="159" t="s">
        <v>348</v>
      </c>
      <c r="Q411" s="100" t="s">
        <v>1009</v>
      </c>
      <c r="R411" s="162" t="s">
        <v>210</v>
      </c>
      <c r="S411" s="162" t="str">
        <f>MID(PAA[[#This Row],[Meta Proyecto de Inversión]],1,4)</f>
        <v>8173</v>
      </c>
      <c r="T411" s="162" t="str">
        <f>MID(PAA[[#This Row],[Meta Proyecto de Inversión]],6,1)</f>
        <v>1</v>
      </c>
      <c r="U411" s="163" t="str">
        <f>IFERROR(VLOOKUP(N411,TD!$B$50:$F$54,2,0)," ")</f>
        <v>O230117</v>
      </c>
      <c r="V411" s="163" t="str">
        <f>IFERROR(VLOOKUP(N411,TD!$B$50:$F$54,3,0)," ")</f>
        <v>4503</v>
      </c>
      <c r="W411" s="163">
        <f>IFERROR(VLOOKUP(N411,TD!$B$50:$F$54,4,0)," ")</f>
        <v>20240255</v>
      </c>
      <c r="X411" s="162" t="s">
        <v>166</v>
      </c>
      <c r="Y411" s="163" t="str">
        <f>IFERROR(VLOOKUP(X411,TD!$J$51:$K$64,2,0)," ")</f>
        <v>Servicio de capacitaciones en gestión del riesgo de incendios  a la ciudadania.</v>
      </c>
      <c r="Z411" s="164" t="str">
        <f t="shared" si="24"/>
        <v>05-Servicio de capacitaciones en gestión del riesgo de incendios  a la ciudadania.</v>
      </c>
      <c r="AA411" s="162" t="s">
        <v>223</v>
      </c>
      <c r="AB411" s="163" t="str">
        <f>IFERROR(VLOOKUP(AA411,TD!$N$51:$O$66,2,0)," ")</f>
        <v>Servicio prevención y control de incendios</v>
      </c>
      <c r="AC411" s="164" t="str">
        <f t="shared" si="25"/>
        <v>035_Servicio prevención y control de incendios</v>
      </c>
      <c r="AD411" s="164" t="str">
        <f t="shared" si="26"/>
        <v>05-Servicio de capacitaciones en gestión del riesgo de incendios  a la ciudadania. 035_Servicio prevención y control de incendios</v>
      </c>
      <c r="AE411" s="163" t="str">
        <f t="shared" si="27"/>
        <v>O23011745032024025505035</v>
      </c>
      <c r="AF411" s="163" t="str">
        <f>IFERROR(VLOOKUP(AD411,TD!$J$66:$K$89,2,0)," ")</f>
        <v>PM/0131/0105/45030350255</v>
      </c>
      <c r="AG411" s="118" t="s">
        <v>560</v>
      </c>
      <c r="AH411" s="162" t="s">
        <v>193</v>
      </c>
      <c r="AI411" s="165" t="str">
        <f>CONCATENATE(PAA[[#This Row],[Id Interno]],"-",PAA[[#This Row],[tipo de Contrato (TH talento humano - B/S bienes y/o servicios)]],"-",S411,"-",T411,"-",PAA[[#This Row],[Objeto de la contratación]])</f>
        <v>20260390-BS-8173-1-Adquisición de insumos y materias primas para la producción de materiales impresos en artes gráficas_ SGR.</v>
      </c>
    </row>
    <row r="412" spans="2:35" ht="56" x14ac:dyDescent="0.35">
      <c r="B412" s="23">
        <v>20260391</v>
      </c>
      <c r="C412" s="99" t="s">
        <v>567</v>
      </c>
      <c r="D412" s="23" t="s">
        <v>92</v>
      </c>
      <c r="E412" s="23" t="s">
        <v>402</v>
      </c>
      <c r="F412" s="159" t="s">
        <v>101</v>
      </c>
      <c r="G412" s="160" t="s">
        <v>375</v>
      </c>
      <c r="H412" s="161">
        <v>3</v>
      </c>
      <c r="I412" s="161">
        <v>0</v>
      </c>
      <c r="J412" s="127">
        <v>30000000</v>
      </c>
      <c r="K412" s="88" t="s">
        <v>398</v>
      </c>
      <c r="L412" s="159" t="s">
        <v>156</v>
      </c>
      <c r="M412" s="162" t="s">
        <v>496</v>
      </c>
      <c r="N412" s="23" t="s">
        <v>198</v>
      </c>
      <c r="O412" s="150" t="s">
        <v>926</v>
      </c>
      <c r="P412" s="159" t="s">
        <v>348</v>
      </c>
      <c r="Q412" s="100" t="s">
        <v>1010</v>
      </c>
      <c r="R412" s="162" t="s">
        <v>210</v>
      </c>
      <c r="S412" s="162" t="str">
        <f>MID(PAA[[#This Row],[Meta Proyecto de Inversión]],1,4)</f>
        <v>8173</v>
      </c>
      <c r="T412" s="162" t="str">
        <f>MID(PAA[[#This Row],[Meta Proyecto de Inversión]],6,1)</f>
        <v>1</v>
      </c>
      <c r="U412" s="163" t="str">
        <f>IFERROR(VLOOKUP(N412,TD!$B$50:$F$54,2,0)," ")</f>
        <v>O230117</v>
      </c>
      <c r="V412" s="163" t="str">
        <f>IFERROR(VLOOKUP(N412,TD!$B$50:$F$54,3,0)," ")</f>
        <v>4503</v>
      </c>
      <c r="W412" s="163">
        <f>IFERROR(VLOOKUP(N412,TD!$B$50:$F$54,4,0)," ")</f>
        <v>20240255</v>
      </c>
      <c r="X412" s="162" t="s">
        <v>166</v>
      </c>
      <c r="Y412" s="163" t="str">
        <f>IFERROR(VLOOKUP(X412,TD!$J$51:$K$64,2,0)," ")</f>
        <v>Servicio de capacitaciones en gestión del riesgo de incendios  a la ciudadania.</v>
      </c>
      <c r="Z412" s="164" t="str">
        <f t="shared" si="24"/>
        <v>05-Servicio de capacitaciones en gestión del riesgo de incendios  a la ciudadania.</v>
      </c>
      <c r="AA412" s="162" t="s">
        <v>223</v>
      </c>
      <c r="AB412" s="163" t="str">
        <f>IFERROR(VLOOKUP(AA412,TD!$N$51:$O$66,2,0)," ")</f>
        <v>Servicio prevención y control de incendios</v>
      </c>
      <c r="AC412" s="164" t="str">
        <f t="shared" si="25"/>
        <v>035_Servicio prevención y control de incendios</v>
      </c>
      <c r="AD412" s="164" t="str">
        <f t="shared" si="26"/>
        <v>05-Servicio de capacitaciones en gestión del riesgo de incendios  a la ciudadania. 035_Servicio prevención y control de incendios</v>
      </c>
      <c r="AE412" s="163" t="str">
        <f t="shared" si="27"/>
        <v>O23011745032024025505035</v>
      </c>
      <c r="AF412" s="163" t="str">
        <f>IFERROR(VLOOKUP(AD412,TD!$J$66:$K$89,2,0)," ")</f>
        <v>PM/0131/0105/45030350255</v>
      </c>
      <c r="AG412" s="118" t="s">
        <v>80</v>
      </c>
      <c r="AH412" s="162" t="s">
        <v>193</v>
      </c>
      <c r="AI412" s="165" t="str">
        <f>CONCATENATE(PAA[[#This Row],[Id Interno]],"-",PAA[[#This Row],[tipo de Contrato (TH talento humano - B/S bienes y/o servicios)]],"-",S412,"-",T412,"-",PAA[[#This Row],[Objeto de la contratación]])</f>
        <v>20260391-BS-8173-1-Adquisición de elementos y equipos necesarios para fortalecer las capacidades técnicas y operativas de los equipos especializados de la subdirecion de gestion del riesgo_SGR.</v>
      </c>
    </row>
    <row r="413" spans="2:35" ht="56" x14ac:dyDescent="0.35">
      <c r="B413" s="23">
        <v>20260392</v>
      </c>
      <c r="C413" s="99" t="s">
        <v>657</v>
      </c>
      <c r="D413" s="23" t="s">
        <v>78</v>
      </c>
      <c r="E413" s="23" t="s">
        <v>402</v>
      </c>
      <c r="F413" s="159" t="s">
        <v>89</v>
      </c>
      <c r="G413" s="160" t="s">
        <v>373</v>
      </c>
      <c r="H413" s="161">
        <v>12</v>
      </c>
      <c r="I413" s="161">
        <v>0</v>
      </c>
      <c r="J413" s="127">
        <v>1447882000</v>
      </c>
      <c r="K413" s="88" t="s">
        <v>397</v>
      </c>
      <c r="L413" s="159" t="s">
        <v>155</v>
      </c>
      <c r="M413" s="162" t="s">
        <v>422</v>
      </c>
      <c r="N413" s="23" t="s">
        <v>197</v>
      </c>
      <c r="O413" s="150" t="s">
        <v>925</v>
      </c>
      <c r="P413" s="159" t="s">
        <v>348</v>
      </c>
      <c r="Q413" s="100" t="s">
        <v>750</v>
      </c>
      <c r="R413" s="162" t="s">
        <v>207</v>
      </c>
      <c r="S413" s="162" t="str">
        <f>MID(PAA[[#This Row],[Meta Proyecto de Inversión]],1,4)</f>
        <v>8126</v>
      </c>
      <c r="T413" s="162" t="str">
        <f>MID(PAA[[#This Row],[Meta Proyecto de Inversión]],6,1)</f>
        <v>8</v>
      </c>
      <c r="U413" s="163" t="str">
        <f>IFERROR(VLOOKUP(N413,TD!$B$50:$F$54,2,0)," ")</f>
        <v>O230117</v>
      </c>
      <c r="V413" s="163" t="str">
        <f>IFERROR(VLOOKUP(N413,TD!$B$50:$F$54,3,0)," ")</f>
        <v>4599</v>
      </c>
      <c r="W413" s="163">
        <f>IFERROR(VLOOKUP(N413,TD!$B$50:$F$54,4,0)," ")</f>
        <v>20240207</v>
      </c>
      <c r="X413" s="162" t="s">
        <v>174</v>
      </c>
      <c r="Y413" s="163" t="str">
        <f>IFERROR(VLOOKUP(X413,TD!$J$51:$K$64,2,0)," ")</f>
        <v>Infraestructura física, mantenimiento y dotación (Sedes construidas, mantenidas reforzadas)</v>
      </c>
      <c r="Z413" s="164" t="str">
        <f t="shared" si="24"/>
        <v>08-Infraestructura física, mantenimiento y dotación (Sedes construidas, mantenidas reforzadas)</v>
      </c>
      <c r="AA413" s="162" t="s">
        <v>227</v>
      </c>
      <c r="AB413" s="163" t="str">
        <f>IFERROR(VLOOKUP(AA413,TD!$N$51:$O$66,2,0)," ")</f>
        <v>Sedes mantenidas</v>
      </c>
      <c r="AC413" s="164" t="str">
        <f t="shared" si="25"/>
        <v>016_Sedes mantenidas</v>
      </c>
      <c r="AD413" s="164" t="str">
        <f t="shared" si="26"/>
        <v>08-Infraestructura física, mantenimiento y dotación (Sedes construidas, mantenidas reforzadas) 016_Sedes mantenidas</v>
      </c>
      <c r="AE413" s="163" t="str">
        <f t="shared" si="27"/>
        <v>O23011745992024020708016</v>
      </c>
      <c r="AF413" s="163" t="str">
        <f>IFERROR(VLOOKUP(AD413,TD!$J$66:$K$89,2,0)," ")</f>
        <v>PM/0131/0108/45990160207</v>
      </c>
      <c r="AG413" s="118" t="s">
        <v>132</v>
      </c>
      <c r="AH413" s="162" t="s">
        <v>193</v>
      </c>
      <c r="AI413" s="165" t="str">
        <f>CONCATENATE(PAA[[#This Row],[Id Interno]],"-",PAA[[#This Row],[tipo de Contrato (TH talento humano - B/S bienes y/o servicios)]],"-",S413,"-",T413,"-",PAA[[#This Row],[Objeto de la contratación]])</f>
        <v>20260392-BS-8126-8-Prestar el servicio de vigilancia y seguridad privada en la modalidad de vigilancia fija, según especificaciones técnicas, en las instalaciones donde la UAE Especial Cuerpo Oficial de Bomberos requiera-SGC</v>
      </c>
    </row>
    <row r="414" spans="2:35" ht="42" x14ac:dyDescent="0.35">
      <c r="B414" s="23">
        <v>20260393</v>
      </c>
      <c r="C414" s="99" t="s">
        <v>658</v>
      </c>
      <c r="D414" s="23" t="s">
        <v>78</v>
      </c>
      <c r="E414" s="23" t="s">
        <v>402</v>
      </c>
      <c r="F414" s="159" t="s">
        <v>97</v>
      </c>
      <c r="G414" s="160" t="s">
        <v>373</v>
      </c>
      <c r="H414" s="161">
        <v>18</v>
      </c>
      <c r="I414" s="161">
        <v>0</v>
      </c>
      <c r="J414" s="127">
        <v>4336206000</v>
      </c>
      <c r="K414" s="88" t="s">
        <v>397</v>
      </c>
      <c r="L414" s="159" t="s">
        <v>155</v>
      </c>
      <c r="M414" s="162" t="s">
        <v>422</v>
      </c>
      <c r="N414" s="23" t="s">
        <v>198</v>
      </c>
      <c r="O414" s="150" t="s">
        <v>926</v>
      </c>
      <c r="P414" s="159" t="s">
        <v>551</v>
      </c>
      <c r="Q414" s="100" t="s">
        <v>751</v>
      </c>
      <c r="R414" s="162" t="s">
        <v>216</v>
      </c>
      <c r="S414" s="162" t="str">
        <f>MID(PAA[[#This Row],[Meta Proyecto de Inversión]],1,4)</f>
        <v>8173</v>
      </c>
      <c r="T414" s="162" t="str">
        <f>MID(PAA[[#This Row],[Meta Proyecto de Inversión]],6,1)</f>
        <v>7</v>
      </c>
      <c r="U414" s="163" t="str">
        <f>IFERROR(VLOOKUP(N414,TD!$B$50:$F$54,2,0)," ")</f>
        <v>O230117</v>
      </c>
      <c r="V414" s="163" t="str">
        <f>IFERROR(VLOOKUP(N414,TD!$B$50:$F$54,3,0)," ")</f>
        <v>4503</v>
      </c>
      <c r="W414" s="163">
        <f>IFERROR(VLOOKUP(N414,TD!$B$50:$F$54,4,0)," ")</f>
        <v>20240255</v>
      </c>
      <c r="X414" s="162">
        <v>14</v>
      </c>
      <c r="Y414" s="163" t="str">
        <f>IFERROR(VLOOKUP(X414,TD!$J$51:$K$64,2,0)," ")</f>
        <v xml:space="preserve">Infraestructura física misional construida mantenida y dotada </v>
      </c>
      <c r="Z414" s="164" t="str">
        <f t="shared" si="24"/>
        <v xml:space="preserve">14-Infraestructura física misional construida mantenida y dotada </v>
      </c>
      <c r="AA414" s="162" t="s">
        <v>225</v>
      </c>
      <c r="AB414" s="163" t="str">
        <f>IFERROR(VLOOKUP(AA414,TD!$N$51:$O$66,2,0)," ")</f>
        <v>Estaciones de bomberos adecuadas</v>
      </c>
      <c r="AC414" s="164" t="str">
        <f t="shared" si="25"/>
        <v>014_Estaciones de bomberos adecuadas</v>
      </c>
      <c r="AD414" s="164" t="str">
        <f t="shared" si="26"/>
        <v>14-Infraestructura física misional construida mantenida y dotada  014_Estaciones de bomberos adecuadas</v>
      </c>
      <c r="AE414" s="163" t="str">
        <f t="shared" si="27"/>
        <v>O23011745032024025514014</v>
      </c>
      <c r="AF414" s="163" t="str">
        <f>IFERROR(VLOOKUP(AD414,TD!$J$66:$K$89,2,0)," ")</f>
        <v>PM/0131/0114/45030140255</v>
      </c>
      <c r="AG414" s="118" t="s">
        <v>94</v>
      </c>
      <c r="AH414" s="162" t="s">
        <v>193</v>
      </c>
      <c r="AI414" s="165" t="str">
        <f>CONCATENATE(PAA[[#This Row],[Id Interno]],"-",PAA[[#This Row],[tipo de Contrato (TH talento humano - B/S bienes y/o servicios)]],"-",S414,"-",T414,"-",PAA[[#This Row],[Objeto de la contratación]])</f>
        <v>20260393-BS-8173-7-Construcción de la estación de bomberos Caobos Salazar  B13 - de la UAE Cuerpo Oficial de Bomberos de Bogotá – SGC</v>
      </c>
    </row>
    <row r="415" spans="2:35" ht="70" x14ac:dyDescent="0.35">
      <c r="B415" s="23">
        <v>20260394</v>
      </c>
      <c r="C415" s="99" t="s">
        <v>659</v>
      </c>
      <c r="D415" s="23" t="s">
        <v>100</v>
      </c>
      <c r="E415" s="23" t="s">
        <v>402</v>
      </c>
      <c r="F415" s="159" t="s">
        <v>131</v>
      </c>
      <c r="G415" s="160" t="s">
        <v>373</v>
      </c>
      <c r="H415" s="161">
        <v>18</v>
      </c>
      <c r="I415" s="161">
        <v>0</v>
      </c>
      <c r="J415" s="127">
        <v>831592000</v>
      </c>
      <c r="K415" s="88" t="s">
        <v>397</v>
      </c>
      <c r="L415" s="159" t="s">
        <v>155</v>
      </c>
      <c r="M415" s="162" t="s">
        <v>422</v>
      </c>
      <c r="N415" s="23" t="s">
        <v>198</v>
      </c>
      <c r="O415" s="150" t="s">
        <v>926</v>
      </c>
      <c r="P415" s="159" t="s">
        <v>551</v>
      </c>
      <c r="Q415" s="100" t="s">
        <v>752</v>
      </c>
      <c r="R415" s="162" t="s">
        <v>216</v>
      </c>
      <c r="S415" s="162" t="str">
        <f>MID(PAA[[#This Row],[Meta Proyecto de Inversión]],1,4)</f>
        <v>8173</v>
      </c>
      <c r="T415" s="162" t="str">
        <f>MID(PAA[[#This Row],[Meta Proyecto de Inversión]],6,1)</f>
        <v>7</v>
      </c>
      <c r="U415" s="163" t="str">
        <f>IFERROR(VLOOKUP(N415,TD!$B$50:$F$54,2,0)," ")</f>
        <v>O230117</v>
      </c>
      <c r="V415" s="163" t="str">
        <f>IFERROR(VLOOKUP(N415,TD!$B$50:$F$54,3,0)," ")</f>
        <v>4503</v>
      </c>
      <c r="W415" s="163">
        <f>IFERROR(VLOOKUP(N415,TD!$B$50:$F$54,4,0)," ")</f>
        <v>20240255</v>
      </c>
      <c r="X415" s="162">
        <v>14</v>
      </c>
      <c r="Y415" s="163" t="str">
        <f>IFERROR(VLOOKUP(X415,TD!$J$51:$K$64,2,0)," ")</f>
        <v xml:space="preserve">Infraestructura física misional construida mantenida y dotada </v>
      </c>
      <c r="Z415" s="164" t="str">
        <f t="shared" si="24"/>
        <v xml:space="preserve">14-Infraestructura física misional construida mantenida y dotada </v>
      </c>
      <c r="AA415" s="162" t="s">
        <v>225</v>
      </c>
      <c r="AB415" s="163" t="str">
        <f>IFERROR(VLOOKUP(AA415,TD!$N$51:$O$66,2,0)," ")</f>
        <v>Estaciones de bomberos adecuadas</v>
      </c>
      <c r="AC415" s="164" t="str">
        <f t="shared" si="25"/>
        <v>014_Estaciones de bomberos adecuadas</v>
      </c>
      <c r="AD415" s="164" t="str">
        <f t="shared" si="26"/>
        <v>14-Infraestructura física misional construida mantenida y dotada  014_Estaciones de bomberos adecuadas</v>
      </c>
      <c r="AE415" s="163" t="str">
        <f t="shared" si="27"/>
        <v>O23011745032024025514014</v>
      </c>
      <c r="AF415" s="163" t="str">
        <f>IFERROR(VLOOKUP(AD415,TD!$J$66:$K$89,2,0)," ")</f>
        <v>PM/0131/0114/45030140255</v>
      </c>
      <c r="AG415" s="118" t="s">
        <v>94</v>
      </c>
      <c r="AH415" s="162" t="s">
        <v>193</v>
      </c>
      <c r="AI415" s="165" t="str">
        <f>CONCATENATE(PAA[[#This Row],[Id Interno]],"-",PAA[[#This Row],[tipo de Contrato (TH talento humano - B/S bienes y/o servicios)]],"-",S415,"-",T415,"-",PAA[[#This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16" spans="2:35" ht="42" x14ac:dyDescent="0.35">
      <c r="B416" s="23">
        <v>20260395</v>
      </c>
      <c r="C416" s="99" t="s">
        <v>660</v>
      </c>
      <c r="D416" s="23" t="s">
        <v>105</v>
      </c>
      <c r="E416" s="23" t="s">
        <v>363</v>
      </c>
      <c r="F416" s="159" t="s">
        <v>144</v>
      </c>
      <c r="G416" s="160" t="s">
        <v>373</v>
      </c>
      <c r="H416" s="161">
        <v>11</v>
      </c>
      <c r="I416" s="161">
        <v>0</v>
      </c>
      <c r="J416" s="127">
        <v>81104000</v>
      </c>
      <c r="K416" s="88" t="s">
        <v>398</v>
      </c>
      <c r="L416" s="159" t="s">
        <v>155</v>
      </c>
      <c r="M416" s="162" t="s">
        <v>422</v>
      </c>
      <c r="N416" s="23" t="s">
        <v>198</v>
      </c>
      <c r="O416" s="150" t="s">
        <v>926</v>
      </c>
      <c r="P416" s="159" t="s">
        <v>348</v>
      </c>
      <c r="Q416" s="100" t="s">
        <v>753</v>
      </c>
      <c r="R416" s="162" t="s">
        <v>216</v>
      </c>
      <c r="S416" s="162" t="str">
        <f>MID(PAA[[#This Row],[Meta Proyecto de Inversión]],1,4)</f>
        <v>8173</v>
      </c>
      <c r="T416" s="162" t="str">
        <f>MID(PAA[[#This Row],[Meta Proyecto de Inversión]],6,1)</f>
        <v>7</v>
      </c>
      <c r="U416" s="163" t="str">
        <f>IFERROR(VLOOKUP(N416,TD!$B$50:$F$54,2,0)," ")</f>
        <v>O230117</v>
      </c>
      <c r="V416" s="163" t="str">
        <f>IFERROR(VLOOKUP(N416,TD!$B$50:$F$54,3,0)," ")</f>
        <v>4503</v>
      </c>
      <c r="W416" s="163">
        <f>IFERROR(VLOOKUP(N416,TD!$B$50:$F$54,4,0)," ")</f>
        <v>20240255</v>
      </c>
      <c r="X416" s="162">
        <v>14</v>
      </c>
      <c r="Y416" s="163" t="str">
        <f>IFERROR(VLOOKUP(X416,TD!$J$51:$K$64,2,0)," ")</f>
        <v xml:space="preserve">Infraestructura física misional construida mantenida y dotada </v>
      </c>
      <c r="Z416" s="164" t="str">
        <f t="shared" si="24"/>
        <v xml:space="preserve">14-Infraestructura física misional construida mantenida y dotada </v>
      </c>
      <c r="AA416" s="162" t="s">
        <v>225</v>
      </c>
      <c r="AB416" s="163" t="str">
        <f>IFERROR(VLOOKUP(AA416,TD!$N$51:$O$66,2,0)," ")</f>
        <v>Estaciones de bomberos adecuadas</v>
      </c>
      <c r="AC416" s="164" t="str">
        <f t="shared" si="25"/>
        <v>014_Estaciones de bomberos adecuadas</v>
      </c>
      <c r="AD416" s="164" t="str">
        <f t="shared" si="26"/>
        <v>14-Infraestructura física misional construida mantenida y dotada  014_Estaciones de bomberos adecuadas</v>
      </c>
      <c r="AE416" s="163" t="str">
        <f t="shared" si="27"/>
        <v>O23011745032024025514014</v>
      </c>
      <c r="AF416" s="163" t="str">
        <f>IFERROR(VLOOKUP(AD416,TD!$J$66:$K$89,2,0)," ")</f>
        <v>PM/0131/0114/45030140255</v>
      </c>
      <c r="AG416" s="118" t="s">
        <v>385</v>
      </c>
      <c r="AH416" s="162" t="s">
        <v>193</v>
      </c>
      <c r="AI416" s="165" t="str">
        <f>CONCATENATE(PAA[[#This Row],[Id Interno]],"-",PAA[[#This Row],[tipo de Contrato (TH talento humano - B/S bienes y/o servicios)]],"-",S416,"-",T416,"-",PAA[[#This Row],[Objeto de la contratación]])</f>
        <v>20260395-TH-8173-7-Prestación de servicios profesionales para apoyar a la supervisión con las actividades técnicas del Área de Infraestructura de la Subdirección de Gestión Corporativa-SGC</v>
      </c>
    </row>
    <row r="417" spans="2:35" ht="56" x14ac:dyDescent="0.35">
      <c r="B417" s="23">
        <v>20260396</v>
      </c>
      <c r="C417" s="99" t="s">
        <v>661</v>
      </c>
      <c r="D417" s="23" t="s">
        <v>105</v>
      </c>
      <c r="E417" s="23" t="s">
        <v>363</v>
      </c>
      <c r="F417" s="159" t="s">
        <v>144</v>
      </c>
      <c r="G417" s="160" t="s">
        <v>373</v>
      </c>
      <c r="H417" s="161">
        <v>11</v>
      </c>
      <c r="I417" s="161">
        <v>0</v>
      </c>
      <c r="J417" s="127">
        <v>99000000</v>
      </c>
      <c r="K417" s="88" t="s">
        <v>398</v>
      </c>
      <c r="L417" s="159" t="s">
        <v>155</v>
      </c>
      <c r="M417" s="162" t="s">
        <v>422</v>
      </c>
      <c r="N417" s="23" t="s">
        <v>198</v>
      </c>
      <c r="O417" s="150" t="s">
        <v>926</v>
      </c>
      <c r="P417" s="159" t="s">
        <v>348</v>
      </c>
      <c r="Q417" s="100" t="s">
        <v>753</v>
      </c>
      <c r="R417" s="162" t="s">
        <v>216</v>
      </c>
      <c r="S417" s="162" t="str">
        <f>MID(PAA[[#This Row],[Meta Proyecto de Inversión]],1,4)</f>
        <v>8173</v>
      </c>
      <c r="T417" s="162" t="str">
        <f>MID(PAA[[#This Row],[Meta Proyecto de Inversión]],6,1)</f>
        <v>7</v>
      </c>
      <c r="U417" s="163" t="str">
        <f>IFERROR(VLOOKUP(N417,TD!$B$50:$F$54,2,0)," ")</f>
        <v>O230117</v>
      </c>
      <c r="V417" s="163" t="str">
        <f>IFERROR(VLOOKUP(N417,TD!$B$50:$F$54,3,0)," ")</f>
        <v>4503</v>
      </c>
      <c r="W417" s="163">
        <f>IFERROR(VLOOKUP(N417,TD!$B$50:$F$54,4,0)," ")</f>
        <v>20240255</v>
      </c>
      <c r="X417" s="162">
        <v>14</v>
      </c>
      <c r="Y417" s="163" t="str">
        <f>IFERROR(VLOOKUP(X417,TD!$J$51:$K$64,2,0)," ")</f>
        <v xml:space="preserve">Infraestructura física misional construida mantenida y dotada </v>
      </c>
      <c r="Z417" s="164" t="str">
        <f t="shared" si="24"/>
        <v xml:space="preserve">14-Infraestructura física misional construida mantenida y dotada </v>
      </c>
      <c r="AA417" s="162" t="s">
        <v>225</v>
      </c>
      <c r="AB417" s="163" t="str">
        <f>IFERROR(VLOOKUP(AA417,TD!$N$51:$O$66,2,0)," ")</f>
        <v>Estaciones de bomberos adecuadas</v>
      </c>
      <c r="AC417" s="164" t="str">
        <f t="shared" si="25"/>
        <v>014_Estaciones de bomberos adecuadas</v>
      </c>
      <c r="AD417" s="164" t="str">
        <f t="shared" si="26"/>
        <v>14-Infraestructura física misional construida mantenida y dotada  014_Estaciones de bomberos adecuadas</v>
      </c>
      <c r="AE417" s="163" t="str">
        <f t="shared" si="27"/>
        <v>O23011745032024025514014</v>
      </c>
      <c r="AF417" s="163" t="str">
        <f>IFERROR(VLOOKUP(AD417,TD!$J$66:$K$89,2,0)," ")</f>
        <v>PM/0131/0114/45030140255</v>
      </c>
      <c r="AG417" s="118" t="s">
        <v>385</v>
      </c>
      <c r="AH417" s="162" t="s">
        <v>193</v>
      </c>
      <c r="AI417" s="165" t="str">
        <f>CONCATENATE(PAA[[#This Row],[Id Interno]],"-",PAA[[#This Row],[tipo de Contrato (TH talento humano - B/S bienes y/o servicios)]],"-",S417,"-",T417,"-",PAA[[#This Row],[Objeto de la contratación]])</f>
        <v>20260396-TH-8173-7-Prestación de servicios profesionales para apoyar las actividades de estructuración de procesos contractuales del Área de Infraestructura de la Subdirección de Gestión Corporativa-SGC</v>
      </c>
    </row>
    <row r="418" spans="2:35" ht="56" x14ac:dyDescent="0.35">
      <c r="B418" s="23">
        <v>20260397</v>
      </c>
      <c r="C418" s="99" t="s">
        <v>662</v>
      </c>
      <c r="D418" s="23" t="s">
        <v>105</v>
      </c>
      <c r="E418" s="23" t="s">
        <v>363</v>
      </c>
      <c r="F418" s="159" t="s">
        <v>144</v>
      </c>
      <c r="G418" s="160" t="s">
        <v>373</v>
      </c>
      <c r="H418" s="161">
        <v>11</v>
      </c>
      <c r="I418" s="161">
        <v>0</v>
      </c>
      <c r="J418" s="127">
        <v>56772000</v>
      </c>
      <c r="K418" s="88" t="s">
        <v>398</v>
      </c>
      <c r="L418" s="159" t="s">
        <v>155</v>
      </c>
      <c r="M418" s="162" t="s">
        <v>422</v>
      </c>
      <c r="N418" s="23" t="s">
        <v>197</v>
      </c>
      <c r="O418" s="150" t="s">
        <v>925</v>
      </c>
      <c r="P418" s="159" t="s">
        <v>348</v>
      </c>
      <c r="Q418" s="100" t="s">
        <v>753</v>
      </c>
      <c r="R418" s="162" t="s">
        <v>207</v>
      </c>
      <c r="S418" s="162" t="str">
        <f>MID(PAA[[#This Row],[Meta Proyecto de Inversión]],1,4)</f>
        <v>8126</v>
      </c>
      <c r="T418" s="162" t="str">
        <f>MID(PAA[[#This Row],[Meta Proyecto de Inversión]],6,1)</f>
        <v>8</v>
      </c>
      <c r="U418" s="163" t="str">
        <f>IFERROR(VLOOKUP(N418,TD!$B$50:$F$54,2,0)," ")</f>
        <v>O230117</v>
      </c>
      <c r="V418" s="163" t="str">
        <f>IFERROR(VLOOKUP(N418,TD!$B$50:$F$54,3,0)," ")</f>
        <v>4599</v>
      </c>
      <c r="W418" s="163">
        <f>IFERROR(VLOOKUP(N418,TD!$B$50:$F$54,4,0)," ")</f>
        <v>20240207</v>
      </c>
      <c r="X418" s="162" t="s">
        <v>174</v>
      </c>
      <c r="Y418" s="163" t="str">
        <f>IFERROR(VLOOKUP(X418,TD!$J$51:$K$64,2,0)," ")</f>
        <v>Infraestructura física, mantenimiento y dotación (Sedes construidas, mantenidas reforzadas)</v>
      </c>
      <c r="Z418" s="164" t="str">
        <f t="shared" si="24"/>
        <v>08-Infraestructura física, mantenimiento y dotación (Sedes construidas, mantenidas reforzadas)</v>
      </c>
      <c r="AA418" s="162" t="s">
        <v>227</v>
      </c>
      <c r="AB418" s="163" t="str">
        <f>IFERROR(VLOOKUP(AA418,TD!$N$51:$O$66,2,0)," ")</f>
        <v>Sedes mantenidas</v>
      </c>
      <c r="AC418" s="164" t="str">
        <f t="shared" si="25"/>
        <v>016_Sedes mantenidas</v>
      </c>
      <c r="AD418" s="164" t="str">
        <f t="shared" si="26"/>
        <v>08-Infraestructura física, mantenimiento y dotación (Sedes construidas, mantenidas reforzadas) 016_Sedes mantenidas</v>
      </c>
      <c r="AE418" s="163" t="str">
        <f t="shared" si="27"/>
        <v>O23011745992024020708016</v>
      </c>
      <c r="AF418" s="163" t="str">
        <f>IFERROR(VLOOKUP(AD418,TD!$J$66:$K$89,2,0)," ")</f>
        <v>PM/0131/0108/45990160207</v>
      </c>
      <c r="AG418" s="118" t="s">
        <v>385</v>
      </c>
      <c r="AH418" s="162" t="s">
        <v>193</v>
      </c>
      <c r="AI418" s="165" t="str">
        <f>CONCATENATE(PAA[[#This Row],[Id Interno]],"-",PAA[[#This Row],[tipo de Contrato (TH talento humano - B/S bienes y/o servicios)]],"-",S418,"-",T418,"-",PAA[[#This Row],[Objeto de la contratación]])</f>
        <v>20260397-TH-8126-8-Prestar los servicios profesionales en las actividades asociadas del área de infraestructura que contribuyan para la implementación de procesos y procedimientos para la adecuada prestación del servicio-SGC.</v>
      </c>
    </row>
    <row r="419" spans="2:35" ht="56" x14ac:dyDescent="0.35">
      <c r="B419" s="23">
        <v>20260398</v>
      </c>
      <c r="C419" s="99" t="s">
        <v>663</v>
      </c>
      <c r="D419" s="23" t="s">
        <v>105</v>
      </c>
      <c r="E419" s="23" t="s">
        <v>363</v>
      </c>
      <c r="F419" s="159" t="s">
        <v>144</v>
      </c>
      <c r="G419" s="160" t="s">
        <v>373</v>
      </c>
      <c r="H419" s="161">
        <v>10</v>
      </c>
      <c r="I419" s="161">
        <v>0</v>
      </c>
      <c r="J419" s="127">
        <v>70000000</v>
      </c>
      <c r="K419" s="88" t="s">
        <v>398</v>
      </c>
      <c r="L419" s="159" t="s">
        <v>155</v>
      </c>
      <c r="M419" s="162" t="s">
        <v>422</v>
      </c>
      <c r="N419" s="23" t="s">
        <v>197</v>
      </c>
      <c r="O419" s="150" t="s">
        <v>925</v>
      </c>
      <c r="P419" s="159" t="s">
        <v>348</v>
      </c>
      <c r="Q419" s="100" t="s">
        <v>753</v>
      </c>
      <c r="R419" s="162" t="s">
        <v>208</v>
      </c>
      <c r="S419" s="162" t="str">
        <f>MID(PAA[[#This Row],[Meta Proyecto de Inversión]],1,4)</f>
        <v>8126</v>
      </c>
      <c r="T419" s="162" t="str">
        <f>MID(PAA[[#This Row],[Meta Proyecto de Inversión]],6,1)</f>
        <v>9</v>
      </c>
      <c r="U419" s="163" t="str">
        <f>IFERROR(VLOOKUP(N419,TD!$B$50:$F$54,2,0)," ")</f>
        <v>O230117</v>
      </c>
      <c r="V419" s="163" t="str">
        <f>IFERROR(VLOOKUP(N419,TD!$B$50:$F$54,3,0)," ")</f>
        <v>4599</v>
      </c>
      <c r="W419" s="163">
        <f>IFERROR(VLOOKUP(N419,TD!$B$50:$F$54,4,0)," ")</f>
        <v>20240207</v>
      </c>
      <c r="X419" s="162" t="s">
        <v>174</v>
      </c>
      <c r="Y419" s="163" t="str">
        <f>IFERROR(VLOOKUP(X419,TD!$J$51:$K$64,2,0)," ")</f>
        <v>Infraestructura física, mantenimiento y dotación (Sedes construidas, mantenidas reforzadas)</v>
      </c>
      <c r="Z419" s="164" t="str">
        <f t="shared" si="24"/>
        <v>08-Infraestructura física, mantenimiento y dotación (Sedes construidas, mantenidas reforzadas)</v>
      </c>
      <c r="AA419" s="162" t="s">
        <v>227</v>
      </c>
      <c r="AB419" s="163" t="str">
        <f>IFERROR(VLOOKUP(AA419,TD!$N$51:$O$66,2,0)," ")</f>
        <v>Sedes mantenidas</v>
      </c>
      <c r="AC419" s="164" t="str">
        <f t="shared" si="25"/>
        <v>016_Sedes mantenidas</v>
      </c>
      <c r="AD419" s="164" t="str">
        <f t="shared" si="26"/>
        <v>08-Infraestructura física, mantenimiento y dotación (Sedes construidas, mantenidas reforzadas) 016_Sedes mantenidas</v>
      </c>
      <c r="AE419" s="163" t="str">
        <f t="shared" si="27"/>
        <v>O23011745992024020708016</v>
      </c>
      <c r="AF419" s="163" t="str">
        <f>IFERROR(VLOOKUP(AD419,TD!$J$66:$K$89,2,0)," ")</f>
        <v>PM/0131/0108/45990160207</v>
      </c>
      <c r="AG419" s="118" t="s">
        <v>385</v>
      </c>
      <c r="AH419" s="162" t="s">
        <v>193</v>
      </c>
      <c r="AI419" s="165" t="str">
        <f>CONCATENATE(PAA[[#This Row],[Id Interno]],"-",PAA[[#This Row],[tipo de Contrato (TH talento humano - B/S bienes y/o servicios)]],"-",S419,"-",T419,"-",PAA[[#This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20" spans="2:35" ht="56" x14ac:dyDescent="0.35">
      <c r="B420" s="23">
        <v>20260399</v>
      </c>
      <c r="C420" s="99" t="s">
        <v>664</v>
      </c>
      <c r="D420" s="23" t="s">
        <v>105</v>
      </c>
      <c r="E420" s="23" t="s">
        <v>363</v>
      </c>
      <c r="F420" s="159" t="s">
        <v>145</v>
      </c>
      <c r="G420" s="160" t="s">
        <v>373</v>
      </c>
      <c r="H420" s="161">
        <v>11</v>
      </c>
      <c r="I420" s="161">
        <v>0</v>
      </c>
      <c r="J420" s="127">
        <v>36128000</v>
      </c>
      <c r="K420" s="88" t="s">
        <v>398</v>
      </c>
      <c r="L420" s="159" t="s">
        <v>155</v>
      </c>
      <c r="M420" s="162" t="s">
        <v>422</v>
      </c>
      <c r="N420" s="23" t="s">
        <v>197</v>
      </c>
      <c r="O420" s="150" t="s">
        <v>925</v>
      </c>
      <c r="P420" s="159" t="s">
        <v>348</v>
      </c>
      <c r="Q420" s="100" t="s">
        <v>753</v>
      </c>
      <c r="R420" s="162" t="s">
        <v>208</v>
      </c>
      <c r="S420" s="162" t="str">
        <f>MID(PAA[[#This Row],[Meta Proyecto de Inversión]],1,4)</f>
        <v>8126</v>
      </c>
      <c r="T420" s="162" t="str">
        <f>MID(PAA[[#This Row],[Meta Proyecto de Inversión]],6,1)</f>
        <v>9</v>
      </c>
      <c r="U420" s="163" t="str">
        <f>IFERROR(VLOOKUP(N420,TD!$B$50:$F$54,2,0)," ")</f>
        <v>O230117</v>
      </c>
      <c r="V420" s="163" t="str">
        <f>IFERROR(VLOOKUP(N420,TD!$B$50:$F$54,3,0)," ")</f>
        <v>4599</v>
      </c>
      <c r="W420" s="163">
        <f>IFERROR(VLOOKUP(N420,TD!$B$50:$F$54,4,0)," ")</f>
        <v>20240207</v>
      </c>
      <c r="X420" s="162" t="s">
        <v>174</v>
      </c>
      <c r="Y420" s="163" t="str">
        <f>IFERROR(VLOOKUP(X420,TD!$J$51:$K$64,2,0)," ")</f>
        <v>Infraestructura física, mantenimiento y dotación (Sedes construidas, mantenidas reforzadas)</v>
      </c>
      <c r="Z420" s="164" t="str">
        <f t="shared" si="24"/>
        <v>08-Infraestructura física, mantenimiento y dotación (Sedes construidas, mantenidas reforzadas)</v>
      </c>
      <c r="AA420" s="162" t="s">
        <v>227</v>
      </c>
      <c r="AB420" s="163" t="str">
        <f>IFERROR(VLOOKUP(AA420,TD!$N$51:$O$66,2,0)," ")</f>
        <v>Sedes mantenidas</v>
      </c>
      <c r="AC420" s="164" t="str">
        <f t="shared" si="25"/>
        <v>016_Sedes mantenidas</v>
      </c>
      <c r="AD420" s="164" t="str">
        <f t="shared" si="26"/>
        <v>08-Infraestructura física, mantenimiento y dotación (Sedes construidas, mantenidas reforzadas) 016_Sedes mantenidas</v>
      </c>
      <c r="AE420" s="163" t="str">
        <f t="shared" si="27"/>
        <v>O23011745992024020708016</v>
      </c>
      <c r="AF420" s="163" t="str">
        <f>IFERROR(VLOOKUP(AD420,TD!$J$66:$K$89,2,0)," ")</f>
        <v>PM/0131/0108/45990160207</v>
      </c>
      <c r="AG420" s="118" t="s">
        <v>385</v>
      </c>
      <c r="AH420" s="162" t="s">
        <v>193</v>
      </c>
      <c r="AI420" s="165" t="str">
        <f>CONCATENATE(PAA[[#This Row],[Id Interno]],"-",PAA[[#This Row],[tipo de Contrato (TH talento humano - B/S bienes y/o servicios)]],"-",S420,"-",T420,"-",PAA[[#This Row],[Objeto de la contratación]])</f>
        <v>20260399-TH-8126-9-Prestación de servicios de apoyo a la gestión en la ejecución de los planes y programas de servicio al ciudadano a cargo de la Subdirección de Gestión Corporativa.-SGC</v>
      </c>
    </row>
    <row r="421" spans="2:35" ht="56" x14ac:dyDescent="0.35">
      <c r="B421" s="23">
        <v>20260400</v>
      </c>
      <c r="C421" s="99" t="s">
        <v>665</v>
      </c>
      <c r="D421" s="23" t="s">
        <v>105</v>
      </c>
      <c r="E421" s="23" t="s">
        <v>363</v>
      </c>
      <c r="F421" s="159" t="s">
        <v>144</v>
      </c>
      <c r="G421" s="160" t="s">
        <v>373</v>
      </c>
      <c r="H421" s="161">
        <v>11</v>
      </c>
      <c r="I421" s="161">
        <v>0</v>
      </c>
      <c r="J421" s="127">
        <v>100272000</v>
      </c>
      <c r="K421" s="88" t="s">
        <v>398</v>
      </c>
      <c r="L421" s="159" t="s">
        <v>155</v>
      </c>
      <c r="M421" s="162" t="s">
        <v>422</v>
      </c>
      <c r="N421" s="23" t="s">
        <v>197</v>
      </c>
      <c r="O421" s="150" t="s">
        <v>925</v>
      </c>
      <c r="P421" s="159" t="s">
        <v>348</v>
      </c>
      <c r="Q421" s="100" t="s">
        <v>753</v>
      </c>
      <c r="R421" s="162" t="s">
        <v>208</v>
      </c>
      <c r="S421" s="162" t="str">
        <f>MID(PAA[[#This Row],[Meta Proyecto de Inversión]],1,4)</f>
        <v>8126</v>
      </c>
      <c r="T421" s="162" t="str">
        <f>MID(PAA[[#This Row],[Meta Proyecto de Inversión]],6,1)</f>
        <v>9</v>
      </c>
      <c r="U421" s="163" t="str">
        <f>IFERROR(VLOOKUP(N421,TD!$B$50:$F$54,2,0)," ")</f>
        <v>O230117</v>
      </c>
      <c r="V421" s="163" t="str">
        <f>IFERROR(VLOOKUP(N421,TD!$B$50:$F$54,3,0)," ")</f>
        <v>4599</v>
      </c>
      <c r="W421" s="163">
        <f>IFERROR(VLOOKUP(N421,TD!$B$50:$F$54,4,0)," ")</f>
        <v>20240207</v>
      </c>
      <c r="X421" s="162" t="s">
        <v>174</v>
      </c>
      <c r="Y421" s="163" t="str">
        <f>IFERROR(VLOOKUP(X421,TD!$J$51:$K$64,2,0)," ")</f>
        <v>Infraestructura física, mantenimiento y dotación (Sedes construidas, mantenidas reforzadas)</v>
      </c>
      <c r="Z421" s="164" t="str">
        <f t="shared" si="24"/>
        <v>08-Infraestructura física, mantenimiento y dotación (Sedes construidas, mantenidas reforzadas)</v>
      </c>
      <c r="AA421" s="162" t="s">
        <v>227</v>
      </c>
      <c r="AB421" s="163" t="str">
        <f>IFERROR(VLOOKUP(AA421,TD!$N$51:$O$66,2,0)," ")</f>
        <v>Sedes mantenidas</v>
      </c>
      <c r="AC421" s="164" t="str">
        <f t="shared" si="25"/>
        <v>016_Sedes mantenidas</v>
      </c>
      <c r="AD421" s="164" t="str">
        <f t="shared" si="26"/>
        <v>08-Infraestructura física, mantenimiento y dotación (Sedes construidas, mantenidas reforzadas) 016_Sedes mantenidas</v>
      </c>
      <c r="AE421" s="163" t="str">
        <f t="shared" si="27"/>
        <v>O23011745992024020708016</v>
      </c>
      <c r="AF421" s="163" t="str">
        <f>IFERROR(VLOOKUP(AD421,TD!$J$66:$K$89,2,0)," ")</f>
        <v>PM/0131/0108/45990160207</v>
      </c>
      <c r="AG421" s="118" t="s">
        <v>385</v>
      </c>
      <c r="AH421" s="162" t="s">
        <v>193</v>
      </c>
      <c r="AI421" s="165" t="str">
        <f>CONCATENATE(PAA[[#This Row],[Id Interno]],"-",PAA[[#This Row],[tipo de Contrato (TH talento humano - B/S bienes y/o servicios)]],"-",S421,"-",T421,"-",PAA[[#This Row],[Objeto de la contratación]])</f>
        <v>20260400-TH-8126-9-Prestación de servicios profesionales para articular la gestión en la ejecución de los planes y programas de servicio al ciudadano a cargo de la Subdirección de Gestión Corporativa.-SGC</v>
      </c>
    </row>
    <row r="422" spans="2:35" ht="56" x14ac:dyDescent="0.35">
      <c r="B422" s="23">
        <v>20260401</v>
      </c>
      <c r="C422" s="99" t="s">
        <v>664</v>
      </c>
      <c r="D422" s="23" t="s">
        <v>105</v>
      </c>
      <c r="E422" s="23" t="s">
        <v>363</v>
      </c>
      <c r="F422" s="159" t="s">
        <v>145</v>
      </c>
      <c r="G422" s="160" t="s">
        <v>373</v>
      </c>
      <c r="H422" s="161">
        <v>11</v>
      </c>
      <c r="I422" s="161">
        <v>0</v>
      </c>
      <c r="J422" s="127">
        <v>36128000</v>
      </c>
      <c r="K422" s="88" t="s">
        <v>398</v>
      </c>
      <c r="L422" s="159" t="s">
        <v>155</v>
      </c>
      <c r="M422" s="162" t="s">
        <v>422</v>
      </c>
      <c r="N422" s="23" t="s">
        <v>197</v>
      </c>
      <c r="O422" s="150" t="s">
        <v>925</v>
      </c>
      <c r="P422" s="159" t="s">
        <v>348</v>
      </c>
      <c r="Q422" s="100" t="s">
        <v>753</v>
      </c>
      <c r="R422" s="162" t="s">
        <v>208</v>
      </c>
      <c r="S422" s="162" t="str">
        <f>MID(PAA[[#This Row],[Meta Proyecto de Inversión]],1,4)</f>
        <v>8126</v>
      </c>
      <c r="T422" s="162" t="str">
        <f>MID(PAA[[#This Row],[Meta Proyecto de Inversión]],6,1)</f>
        <v>9</v>
      </c>
      <c r="U422" s="163" t="str">
        <f>IFERROR(VLOOKUP(N422,TD!$B$50:$F$54,2,0)," ")</f>
        <v>O230117</v>
      </c>
      <c r="V422" s="163" t="str">
        <f>IFERROR(VLOOKUP(N422,TD!$B$50:$F$54,3,0)," ")</f>
        <v>4599</v>
      </c>
      <c r="W422" s="163">
        <f>IFERROR(VLOOKUP(N422,TD!$B$50:$F$54,4,0)," ")</f>
        <v>20240207</v>
      </c>
      <c r="X422" s="162" t="s">
        <v>174</v>
      </c>
      <c r="Y422" s="163" t="str">
        <f>IFERROR(VLOOKUP(X422,TD!$J$51:$K$64,2,0)," ")</f>
        <v>Infraestructura física, mantenimiento y dotación (Sedes construidas, mantenidas reforzadas)</v>
      </c>
      <c r="Z422" s="164" t="str">
        <f t="shared" si="24"/>
        <v>08-Infraestructura física, mantenimiento y dotación (Sedes construidas, mantenidas reforzadas)</v>
      </c>
      <c r="AA422" s="162" t="s">
        <v>227</v>
      </c>
      <c r="AB422" s="163" t="str">
        <f>IFERROR(VLOOKUP(AA422,TD!$N$51:$O$66,2,0)," ")</f>
        <v>Sedes mantenidas</v>
      </c>
      <c r="AC422" s="164" t="str">
        <f t="shared" si="25"/>
        <v>016_Sedes mantenidas</v>
      </c>
      <c r="AD422" s="164" t="str">
        <f t="shared" si="26"/>
        <v>08-Infraestructura física, mantenimiento y dotación (Sedes construidas, mantenidas reforzadas) 016_Sedes mantenidas</v>
      </c>
      <c r="AE422" s="163" t="str">
        <f t="shared" si="27"/>
        <v>O23011745992024020708016</v>
      </c>
      <c r="AF422" s="163" t="str">
        <f>IFERROR(VLOOKUP(AD422,TD!$J$66:$K$89,2,0)," ")</f>
        <v>PM/0131/0108/45990160207</v>
      </c>
      <c r="AG422" s="118" t="s">
        <v>385</v>
      </c>
      <c r="AH422" s="162" t="s">
        <v>193</v>
      </c>
      <c r="AI422" s="165" t="str">
        <f>CONCATENATE(PAA[[#This Row],[Id Interno]],"-",PAA[[#This Row],[tipo de Contrato (TH talento humano - B/S bienes y/o servicios)]],"-",S422,"-",T422,"-",PAA[[#This Row],[Objeto de la contratación]])</f>
        <v>20260401-TH-8126-9-Prestación de servicios de apoyo a la gestión en la ejecución de los planes y programas de servicio al ciudadano a cargo de la Subdirección de Gestión Corporativa.-SGC</v>
      </c>
    </row>
    <row r="423" spans="2:35" ht="56" x14ac:dyDescent="0.35">
      <c r="B423" s="23">
        <v>20260402</v>
      </c>
      <c r="C423" s="99" t="s">
        <v>664</v>
      </c>
      <c r="D423" s="23" t="s">
        <v>105</v>
      </c>
      <c r="E423" s="23" t="s">
        <v>363</v>
      </c>
      <c r="F423" s="159" t="s">
        <v>145</v>
      </c>
      <c r="G423" s="160" t="s">
        <v>373</v>
      </c>
      <c r="H423" s="161">
        <v>11</v>
      </c>
      <c r="I423" s="161">
        <v>0</v>
      </c>
      <c r="J423" s="127">
        <v>36128000</v>
      </c>
      <c r="K423" s="88" t="s">
        <v>398</v>
      </c>
      <c r="L423" s="159" t="s">
        <v>155</v>
      </c>
      <c r="M423" s="162" t="s">
        <v>422</v>
      </c>
      <c r="N423" s="23" t="s">
        <v>197</v>
      </c>
      <c r="O423" s="150" t="s">
        <v>925</v>
      </c>
      <c r="P423" s="159" t="s">
        <v>348</v>
      </c>
      <c r="Q423" s="100" t="s">
        <v>753</v>
      </c>
      <c r="R423" s="162" t="s">
        <v>208</v>
      </c>
      <c r="S423" s="162" t="str">
        <f>MID(PAA[[#This Row],[Meta Proyecto de Inversión]],1,4)</f>
        <v>8126</v>
      </c>
      <c r="T423" s="162" t="str">
        <f>MID(PAA[[#This Row],[Meta Proyecto de Inversión]],6,1)</f>
        <v>9</v>
      </c>
      <c r="U423" s="163" t="str">
        <f>IFERROR(VLOOKUP(N423,TD!$B$50:$F$54,2,0)," ")</f>
        <v>O230117</v>
      </c>
      <c r="V423" s="163" t="str">
        <f>IFERROR(VLOOKUP(N423,TD!$B$50:$F$54,3,0)," ")</f>
        <v>4599</v>
      </c>
      <c r="W423" s="163">
        <f>IFERROR(VLOOKUP(N423,TD!$B$50:$F$54,4,0)," ")</f>
        <v>20240207</v>
      </c>
      <c r="X423" s="162" t="s">
        <v>174</v>
      </c>
      <c r="Y423" s="163" t="str">
        <f>IFERROR(VLOOKUP(X423,TD!$J$51:$K$64,2,0)," ")</f>
        <v>Infraestructura física, mantenimiento y dotación (Sedes construidas, mantenidas reforzadas)</v>
      </c>
      <c r="Z423" s="164" t="str">
        <f t="shared" si="24"/>
        <v>08-Infraestructura física, mantenimiento y dotación (Sedes construidas, mantenidas reforzadas)</v>
      </c>
      <c r="AA423" s="162" t="s">
        <v>227</v>
      </c>
      <c r="AB423" s="163" t="str">
        <f>IFERROR(VLOOKUP(AA423,TD!$N$51:$O$66,2,0)," ")</f>
        <v>Sedes mantenidas</v>
      </c>
      <c r="AC423" s="164" t="str">
        <f t="shared" si="25"/>
        <v>016_Sedes mantenidas</v>
      </c>
      <c r="AD423" s="164" t="str">
        <f t="shared" si="26"/>
        <v>08-Infraestructura física, mantenimiento y dotación (Sedes construidas, mantenidas reforzadas) 016_Sedes mantenidas</v>
      </c>
      <c r="AE423" s="163" t="str">
        <f t="shared" si="27"/>
        <v>O23011745992024020708016</v>
      </c>
      <c r="AF423" s="163" t="str">
        <f>IFERROR(VLOOKUP(AD423,TD!$J$66:$K$89,2,0)," ")</f>
        <v>PM/0131/0108/45990160207</v>
      </c>
      <c r="AG423" s="118" t="s">
        <v>385</v>
      </c>
      <c r="AH423" s="162" t="s">
        <v>193</v>
      </c>
      <c r="AI423" s="165" t="str">
        <f>CONCATENATE(PAA[[#This Row],[Id Interno]],"-",PAA[[#This Row],[tipo de Contrato (TH talento humano - B/S bienes y/o servicios)]],"-",S423,"-",T423,"-",PAA[[#This Row],[Objeto de la contratación]])</f>
        <v>20260402-TH-8126-9-Prestación de servicios de apoyo a la gestión en la ejecución de los planes y programas de servicio al ciudadano a cargo de la Subdirección de Gestión Corporativa.-SGC</v>
      </c>
    </row>
    <row r="424" spans="2:35" ht="56" x14ac:dyDescent="0.35">
      <c r="B424" s="23">
        <v>20260403</v>
      </c>
      <c r="C424" s="99" t="s">
        <v>664</v>
      </c>
      <c r="D424" s="23" t="s">
        <v>105</v>
      </c>
      <c r="E424" s="23" t="s">
        <v>363</v>
      </c>
      <c r="F424" s="159" t="s">
        <v>145</v>
      </c>
      <c r="G424" s="160" t="s">
        <v>373</v>
      </c>
      <c r="H424" s="161">
        <v>11</v>
      </c>
      <c r="I424" s="161">
        <v>0</v>
      </c>
      <c r="J424" s="127">
        <v>36128000</v>
      </c>
      <c r="K424" s="88" t="s">
        <v>398</v>
      </c>
      <c r="L424" s="159" t="s">
        <v>155</v>
      </c>
      <c r="M424" s="162" t="s">
        <v>422</v>
      </c>
      <c r="N424" s="23" t="s">
        <v>197</v>
      </c>
      <c r="O424" s="150" t="s">
        <v>925</v>
      </c>
      <c r="P424" s="159" t="s">
        <v>348</v>
      </c>
      <c r="Q424" s="100" t="s">
        <v>753</v>
      </c>
      <c r="R424" s="162" t="s">
        <v>208</v>
      </c>
      <c r="S424" s="162" t="str">
        <f>MID(PAA[[#This Row],[Meta Proyecto de Inversión]],1,4)</f>
        <v>8126</v>
      </c>
      <c r="T424" s="162" t="str">
        <f>MID(PAA[[#This Row],[Meta Proyecto de Inversión]],6,1)</f>
        <v>9</v>
      </c>
      <c r="U424" s="163" t="str">
        <f>IFERROR(VLOOKUP(N424,TD!$B$50:$F$54,2,0)," ")</f>
        <v>O230117</v>
      </c>
      <c r="V424" s="163" t="str">
        <f>IFERROR(VLOOKUP(N424,TD!$B$50:$F$54,3,0)," ")</f>
        <v>4599</v>
      </c>
      <c r="W424" s="163">
        <f>IFERROR(VLOOKUP(N424,TD!$B$50:$F$54,4,0)," ")</f>
        <v>20240207</v>
      </c>
      <c r="X424" s="162" t="s">
        <v>174</v>
      </c>
      <c r="Y424" s="163" t="str">
        <f>IFERROR(VLOOKUP(X424,TD!$J$51:$K$64,2,0)," ")</f>
        <v>Infraestructura física, mantenimiento y dotación (Sedes construidas, mantenidas reforzadas)</v>
      </c>
      <c r="Z424" s="164" t="str">
        <f t="shared" si="24"/>
        <v>08-Infraestructura física, mantenimiento y dotación (Sedes construidas, mantenidas reforzadas)</v>
      </c>
      <c r="AA424" s="162" t="s">
        <v>227</v>
      </c>
      <c r="AB424" s="163" t="str">
        <f>IFERROR(VLOOKUP(AA424,TD!$N$51:$O$66,2,0)," ")</f>
        <v>Sedes mantenidas</v>
      </c>
      <c r="AC424" s="164" t="str">
        <f t="shared" si="25"/>
        <v>016_Sedes mantenidas</v>
      </c>
      <c r="AD424" s="164" t="str">
        <f t="shared" si="26"/>
        <v>08-Infraestructura física, mantenimiento y dotación (Sedes construidas, mantenidas reforzadas) 016_Sedes mantenidas</v>
      </c>
      <c r="AE424" s="163" t="str">
        <f t="shared" si="27"/>
        <v>O23011745992024020708016</v>
      </c>
      <c r="AF424" s="163" t="str">
        <f>IFERROR(VLOOKUP(AD424,TD!$J$66:$K$89,2,0)," ")</f>
        <v>PM/0131/0108/45990160207</v>
      </c>
      <c r="AG424" s="118" t="s">
        <v>385</v>
      </c>
      <c r="AH424" s="162" t="s">
        <v>193</v>
      </c>
      <c r="AI424" s="165" t="str">
        <f>CONCATENATE(PAA[[#This Row],[Id Interno]],"-",PAA[[#This Row],[tipo de Contrato (TH talento humano - B/S bienes y/o servicios)]],"-",S424,"-",T424,"-",PAA[[#This Row],[Objeto de la contratación]])</f>
        <v>20260403-TH-8126-9-Prestación de servicios de apoyo a la gestión en la ejecución de los planes y programas de servicio al ciudadano a cargo de la Subdirección de Gestión Corporativa.-SGC</v>
      </c>
    </row>
    <row r="425" spans="2:35" ht="56" x14ac:dyDescent="0.35">
      <c r="B425" s="23">
        <v>20260404</v>
      </c>
      <c r="C425" s="99" t="s">
        <v>664</v>
      </c>
      <c r="D425" s="23" t="s">
        <v>105</v>
      </c>
      <c r="E425" s="23" t="s">
        <v>363</v>
      </c>
      <c r="F425" s="159" t="s">
        <v>145</v>
      </c>
      <c r="G425" s="160" t="s">
        <v>373</v>
      </c>
      <c r="H425" s="161">
        <v>11</v>
      </c>
      <c r="I425" s="161">
        <v>0</v>
      </c>
      <c r="J425" s="127">
        <v>36128000</v>
      </c>
      <c r="K425" s="88" t="s">
        <v>398</v>
      </c>
      <c r="L425" s="159" t="s">
        <v>155</v>
      </c>
      <c r="M425" s="162" t="s">
        <v>422</v>
      </c>
      <c r="N425" s="23" t="s">
        <v>197</v>
      </c>
      <c r="O425" s="150" t="s">
        <v>925</v>
      </c>
      <c r="P425" s="159" t="s">
        <v>348</v>
      </c>
      <c r="Q425" s="53" t="s">
        <v>753</v>
      </c>
      <c r="R425" s="162" t="s">
        <v>208</v>
      </c>
      <c r="S425" s="162" t="str">
        <f>MID(PAA[[#This Row],[Meta Proyecto de Inversión]],1,4)</f>
        <v>8126</v>
      </c>
      <c r="T425" s="162" t="str">
        <f>MID(PAA[[#This Row],[Meta Proyecto de Inversión]],6,1)</f>
        <v>9</v>
      </c>
      <c r="U425" s="163" t="str">
        <f>IFERROR(VLOOKUP(N425,TD!$B$50:$F$54,2,0)," ")</f>
        <v>O230117</v>
      </c>
      <c r="V425" s="163" t="str">
        <f>IFERROR(VLOOKUP(N425,TD!$B$50:$F$54,3,0)," ")</f>
        <v>4599</v>
      </c>
      <c r="W425" s="163">
        <f>IFERROR(VLOOKUP(N425,TD!$B$50:$F$54,4,0)," ")</f>
        <v>20240207</v>
      </c>
      <c r="X425" s="162" t="s">
        <v>174</v>
      </c>
      <c r="Y425" s="163" t="str">
        <f>IFERROR(VLOOKUP(X425,TD!$J$51:$K$64,2,0)," ")</f>
        <v>Infraestructura física, mantenimiento y dotación (Sedes construidas, mantenidas reforzadas)</v>
      </c>
      <c r="Z425" s="164" t="str">
        <f t="shared" si="24"/>
        <v>08-Infraestructura física, mantenimiento y dotación (Sedes construidas, mantenidas reforzadas)</v>
      </c>
      <c r="AA425" s="162" t="s">
        <v>227</v>
      </c>
      <c r="AB425" s="163" t="str">
        <f>IFERROR(VLOOKUP(AA425,TD!$N$51:$O$66,2,0)," ")</f>
        <v>Sedes mantenidas</v>
      </c>
      <c r="AC425" s="164" t="str">
        <f t="shared" si="25"/>
        <v>016_Sedes mantenidas</v>
      </c>
      <c r="AD425" s="164" t="str">
        <f t="shared" si="26"/>
        <v>08-Infraestructura física, mantenimiento y dotación (Sedes construidas, mantenidas reforzadas) 016_Sedes mantenidas</v>
      </c>
      <c r="AE425" s="163" t="str">
        <f t="shared" si="27"/>
        <v>O23011745992024020708016</v>
      </c>
      <c r="AF425" s="163" t="str">
        <f>IFERROR(VLOOKUP(AD425,TD!$J$66:$K$89,2,0)," ")</f>
        <v>PM/0131/0108/45990160207</v>
      </c>
      <c r="AG425" s="118" t="s">
        <v>385</v>
      </c>
      <c r="AH425" s="162" t="s">
        <v>193</v>
      </c>
      <c r="AI425" s="165" t="str">
        <f>CONCATENATE(PAA[[#This Row],[Id Interno]],"-",PAA[[#This Row],[tipo de Contrato (TH talento humano - B/S bienes y/o servicios)]],"-",S425,"-",T425,"-",PAA[[#This Row],[Objeto de la contratación]])</f>
        <v>20260404-TH-8126-9-Prestación de servicios de apoyo a la gestión en la ejecución de los planes y programas de servicio al ciudadano a cargo de la Subdirección de Gestión Corporativa.-SGC</v>
      </c>
    </row>
    <row r="426" spans="2:35" ht="56" x14ac:dyDescent="0.35">
      <c r="B426" s="23">
        <v>20260405</v>
      </c>
      <c r="C426" s="99" t="s">
        <v>664</v>
      </c>
      <c r="D426" s="23" t="s">
        <v>105</v>
      </c>
      <c r="E426" s="23" t="s">
        <v>363</v>
      </c>
      <c r="F426" s="159" t="s">
        <v>145</v>
      </c>
      <c r="G426" s="160" t="s">
        <v>373</v>
      </c>
      <c r="H426" s="161">
        <v>11</v>
      </c>
      <c r="I426" s="161">
        <v>0</v>
      </c>
      <c r="J426" s="127">
        <v>36128000</v>
      </c>
      <c r="K426" s="88" t="s">
        <v>398</v>
      </c>
      <c r="L426" s="159" t="s">
        <v>155</v>
      </c>
      <c r="M426" s="162" t="s">
        <v>422</v>
      </c>
      <c r="N426" s="23" t="s">
        <v>197</v>
      </c>
      <c r="O426" s="150" t="s">
        <v>925</v>
      </c>
      <c r="P426" s="159" t="s">
        <v>348</v>
      </c>
      <c r="Q426" s="53" t="s">
        <v>753</v>
      </c>
      <c r="R426" s="162" t="s">
        <v>208</v>
      </c>
      <c r="S426" s="162" t="str">
        <f>MID(PAA[[#This Row],[Meta Proyecto de Inversión]],1,4)</f>
        <v>8126</v>
      </c>
      <c r="T426" s="162" t="str">
        <f>MID(PAA[[#This Row],[Meta Proyecto de Inversión]],6,1)</f>
        <v>9</v>
      </c>
      <c r="U426" s="163" t="str">
        <f>IFERROR(VLOOKUP(N426,TD!$B$50:$F$54,2,0)," ")</f>
        <v>O230117</v>
      </c>
      <c r="V426" s="163" t="str">
        <f>IFERROR(VLOOKUP(N426,TD!$B$50:$F$54,3,0)," ")</f>
        <v>4599</v>
      </c>
      <c r="W426" s="163">
        <f>IFERROR(VLOOKUP(N426,TD!$B$50:$F$54,4,0)," ")</f>
        <v>20240207</v>
      </c>
      <c r="X426" s="162" t="s">
        <v>174</v>
      </c>
      <c r="Y426" s="163" t="str">
        <f>IFERROR(VLOOKUP(X426,TD!$J$51:$K$64,2,0)," ")</f>
        <v>Infraestructura física, mantenimiento y dotación (Sedes construidas, mantenidas reforzadas)</v>
      </c>
      <c r="Z426" s="164" t="str">
        <f t="shared" si="24"/>
        <v>08-Infraestructura física, mantenimiento y dotación (Sedes construidas, mantenidas reforzadas)</v>
      </c>
      <c r="AA426" s="162" t="s">
        <v>227</v>
      </c>
      <c r="AB426" s="163" t="str">
        <f>IFERROR(VLOOKUP(AA426,TD!$N$51:$O$66,2,0)," ")</f>
        <v>Sedes mantenidas</v>
      </c>
      <c r="AC426" s="164" t="str">
        <f t="shared" si="25"/>
        <v>016_Sedes mantenidas</v>
      </c>
      <c r="AD426" s="164" t="str">
        <f t="shared" si="26"/>
        <v>08-Infraestructura física, mantenimiento y dotación (Sedes construidas, mantenidas reforzadas) 016_Sedes mantenidas</v>
      </c>
      <c r="AE426" s="163" t="str">
        <f t="shared" si="27"/>
        <v>O23011745992024020708016</v>
      </c>
      <c r="AF426" s="163" t="str">
        <f>IFERROR(VLOOKUP(AD426,TD!$J$66:$K$89,2,0)," ")</f>
        <v>PM/0131/0108/45990160207</v>
      </c>
      <c r="AG426" s="118" t="s">
        <v>385</v>
      </c>
      <c r="AH426" s="162" t="s">
        <v>193</v>
      </c>
      <c r="AI426" s="165" t="str">
        <f>CONCATENATE(PAA[[#This Row],[Id Interno]],"-",PAA[[#This Row],[tipo de Contrato (TH talento humano - B/S bienes y/o servicios)]],"-",S426,"-",T426,"-",PAA[[#This Row],[Objeto de la contratación]])</f>
        <v>20260405-TH-8126-9-Prestación de servicios de apoyo a la gestión en la ejecución de los planes y programas de servicio al ciudadano a cargo de la Subdirección de Gestión Corporativa.-SGC</v>
      </c>
    </row>
    <row r="427" spans="2:35" ht="56" x14ac:dyDescent="0.35">
      <c r="B427" s="23">
        <v>20260406</v>
      </c>
      <c r="C427" s="99" t="s">
        <v>664</v>
      </c>
      <c r="D427" s="23" t="s">
        <v>105</v>
      </c>
      <c r="E427" s="23" t="s">
        <v>363</v>
      </c>
      <c r="F427" s="159" t="s">
        <v>145</v>
      </c>
      <c r="G427" s="160" t="s">
        <v>373</v>
      </c>
      <c r="H427" s="161">
        <v>11</v>
      </c>
      <c r="I427" s="161">
        <v>0</v>
      </c>
      <c r="J427" s="127">
        <v>36128000</v>
      </c>
      <c r="K427" s="88" t="s">
        <v>398</v>
      </c>
      <c r="L427" s="159" t="s">
        <v>155</v>
      </c>
      <c r="M427" s="162" t="s">
        <v>422</v>
      </c>
      <c r="N427" s="23" t="s">
        <v>197</v>
      </c>
      <c r="O427" s="150" t="s">
        <v>925</v>
      </c>
      <c r="P427" s="159" t="s">
        <v>348</v>
      </c>
      <c r="Q427" s="53" t="s">
        <v>753</v>
      </c>
      <c r="R427" s="162" t="s">
        <v>208</v>
      </c>
      <c r="S427" s="162" t="str">
        <f>MID(PAA[[#This Row],[Meta Proyecto de Inversión]],1,4)</f>
        <v>8126</v>
      </c>
      <c r="T427" s="162" t="str">
        <f>MID(PAA[[#This Row],[Meta Proyecto de Inversión]],6,1)</f>
        <v>9</v>
      </c>
      <c r="U427" s="163" t="str">
        <f>IFERROR(VLOOKUP(N427,TD!$B$50:$F$54,2,0)," ")</f>
        <v>O230117</v>
      </c>
      <c r="V427" s="163" t="str">
        <f>IFERROR(VLOOKUP(N427,TD!$B$50:$F$54,3,0)," ")</f>
        <v>4599</v>
      </c>
      <c r="W427" s="163">
        <f>IFERROR(VLOOKUP(N427,TD!$B$50:$F$54,4,0)," ")</f>
        <v>20240207</v>
      </c>
      <c r="X427" s="162" t="s">
        <v>174</v>
      </c>
      <c r="Y427" s="163" t="str">
        <f>IFERROR(VLOOKUP(X427,TD!$J$51:$K$64,2,0)," ")</f>
        <v>Infraestructura física, mantenimiento y dotación (Sedes construidas, mantenidas reforzadas)</v>
      </c>
      <c r="Z427" s="164" t="str">
        <f t="shared" si="24"/>
        <v>08-Infraestructura física, mantenimiento y dotación (Sedes construidas, mantenidas reforzadas)</v>
      </c>
      <c r="AA427" s="162" t="s">
        <v>227</v>
      </c>
      <c r="AB427" s="163" t="str">
        <f>IFERROR(VLOOKUP(AA427,TD!$N$51:$O$66,2,0)," ")</f>
        <v>Sedes mantenidas</v>
      </c>
      <c r="AC427" s="164" t="str">
        <f t="shared" si="25"/>
        <v>016_Sedes mantenidas</v>
      </c>
      <c r="AD427" s="164" t="str">
        <f t="shared" si="26"/>
        <v>08-Infraestructura física, mantenimiento y dotación (Sedes construidas, mantenidas reforzadas) 016_Sedes mantenidas</v>
      </c>
      <c r="AE427" s="163" t="str">
        <f t="shared" si="27"/>
        <v>O23011745992024020708016</v>
      </c>
      <c r="AF427" s="163" t="str">
        <f>IFERROR(VLOOKUP(AD427,TD!$J$66:$K$89,2,0)," ")</f>
        <v>PM/0131/0108/45990160207</v>
      </c>
      <c r="AG427" s="118" t="s">
        <v>385</v>
      </c>
      <c r="AH427" s="162" t="s">
        <v>193</v>
      </c>
      <c r="AI427" s="165" t="str">
        <f>CONCATENATE(PAA[[#This Row],[Id Interno]],"-",PAA[[#This Row],[tipo de Contrato (TH talento humano - B/S bienes y/o servicios)]],"-",S427,"-",T427,"-",PAA[[#This Row],[Objeto de la contratación]])</f>
        <v>20260406-TH-8126-9-Prestación de servicios de apoyo a la gestión en la ejecución de los planes y programas de servicio al ciudadano a cargo de la Subdirección de Gestión Corporativa.-SGC</v>
      </c>
    </row>
    <row r="428" spans="2:35" ht="56" x14ac:dyDescent="0.35">
      <c r="B428" s="23">
        <v>20260407</v>
      </c>
      <c r="C428" s="99" t="s">
        <v>664</v>
      </c>
      <c r="D428" s="23" t="s">
        <v>105</v>
      </c>
      <c r="E428" s="23" t="s">
        <v>363</v>
      </c>
      <c r="F428" s="159" t="s">
        <v>145</v>
      </c>
      <c r="G428" s="160" t="s">
        <v>373</v>
      </c>
      <c r="H428" s="161">
        <v>11</v>
      </c>
      <c r="I428" s="161">
        <v>0</v>
      </c>
      <c r="J428" s="127">
        <v>36128000</v>
      </c>
      <c r="K428" s="88" t="s">
        <v>398</v>
      </c>
      <c r="L428" s="159" t="s">
        <v>155</v>
      </c>
      <c r="M428" s="162" t="s">
        <v>422</v>
      </c>
      <c r="N428" s="23" t="s">
        <v>197</v>
      </c>
      <c r="O428" s="150" t="s">
        <v>925</v>
      </c>
      <c r="P428" s="159" t="s">
        <v>348</v>
      </c>
      <c r="Q428" s="53" t="s">
        <v>753</v>
      </c>
      <c r="R428" s="162" t="s">
        <v>208</v>
      </c>
      <c r="S428" s="162" t="str">
        <f>MID(PAA[[#This Row],[Meta Proyecto de Inversión]],1,4)</f>
        <v>8126</v>
      </c>
      <c r="T428" s="162" t="str">
        <f>MID(PAA[[#This Row],[Meta Proyecto de Inversión]],6,1)</f>
        <v>9</v>
      </c>
      <c r="U428" s="163" t="str">
        <f>IFERROR(VLOOKUP(N428,TD!$B$50:$F$54,2,0)," ")</f>
        <v>O230117</v>
      </c>
      <c r="V428" s="163" t="str">
        <f>IFERROR(VLOOKUP(N428,TD!$B$50:$F$54,3,0)," ")</f>
        <v>4599</v>
      </c>
      <c r="W428" s="163">
        <f>IFERROR(VLOOKUP(N428,TD!$B$50:$F$54,4,0)," ")</f>
        <v>20240207</v>
      </c>
      <c r="X428" s="162" t="s">
        <v>174</v>
      </c>
      <c r="Y428" s="163" t="str">
        <f>IFERROR(VLOOKUP(X428,TD!$J$51:$K$64,2,0)," ")</f>
        <v>Infraestructura física, mantenimiento y dotación (Sedes construidas, mantenidas reforzadas)</v>
      </c>
      <c r="Z428" s="164" t="str">
        <f t="shared" si="24"/>
        <v>08-Infraestructura física, mantenimiento y dotación (Sedes construidas, mantenidas reforzadas)</v>
      </c>
      <c r="AA428" s="162" t="s">
        <v>227</v>
      </c>
      <c r="AB428" s="163" t="str">
        <f>IFERROR(VLOOKUP(AA428,TD!$N$51:$O$66,2,0)," ")</f>
        <v>Sedes mantenidas</v>
      </c>
      <c r="AC428" s="164" t="str">
        <f t="shared" si="25"/>
        <v>016_Sedes mantenidas</v>
      </c>
      <c r="AD428" s="164" t="str">
        <f t="shared" si="26"/>
        <v>08-Infraestructura física, mantenimiento y dotación (Sedes construidas, mantenidas reforzadas) 016_Sedes mantenidas</v>
      </c>
      <c r="AE428" s="163" t="str">
        <f t="shared" si="27"/>
        <v>O23011745992024020708016</v>
      </c>
      <c r="AF428" s="163" t="str">
        <f>IFERROR(VLOOKUP(AD428,TD!$J$66:$K$89,2,0)," ")</f>
        <v>PM/0131/0108/45990160207</v>
      </c>
      <c r="AG428" s="118" t="s">
        <v>385</v>
      </c>
      <c r="AH428" s="162" t="s">
        <v>193</v>
      </c>
      <c r="AI428" s="165" t="str">
        <f>CONCATENATE(PAA[[#This Row],[Id Interno]],"-",PAA[[#This Row],[tipo de Contrato (TH talento humano - B/S bienes y/o servicios)]],"-",S428,"-",T428,"-",PAA[[#This Row],[Objeto de la contratación]])</f>
        <v>20260407-TH-8126-9-Prestación de servicios de apoyo a la gestión en la ejecución de los planes y programas de servicio al ciudadano a cargo de la Subdirección de Gestión Corporativa.-SGC</v>
      </c>
    </row>
    <row r="429" spans="2:35" ht="56" x14ac:dyDescent="0.35">
      <c r="B429" s="23">
        <v>20260408</v>
      </c>
      <c r="C429" s="99" t="s">
        <v>666</v>
      </c>
      <c r="D429" s="23" t="s">
        <v>105</v>
      </c>
      <c r="E429" s="23" t="s">
        <v>363</v>
      </c>
      <c r="F429" s="159" t="s">
        <v>144</v>
      </c>
      <c r="G429" s="160" t="s">
        <v>373</v>
      </c>
      <c r="H429" s="161">
        <v>11</v>
      </c>
      <c r="I429" s="161">
        <v>0</v>
      </c>
      <c r="J429" s="127">
        <v>88000000</v>
      </c>
      <c r="K429" s="88" t="s">
        <v>398</v>
      </c>
      <c r="L429" s="159" t="s">
        <v>155</v>
      </c>
      <c r="M429" s="162" t="s">
        <v>422</v>
      </c>
      <c r="N429" s="23" t="s">
        <v>197</v>
      </c>
      <c r="O429" s="150" t="s">
        <v>925</v>
      </c>
      <c r="P429" s="159" t="s">
        <v>348</v>
      </c>
      <c r="Q429" s="53" t="s">
        <v>753</v>
      </c>
      <c r="R429" s="162" t="s">
        <v>208</v>
      </c>
      <c r="S429" s="162" t="str">
        <f>MID(PAA[[#This Row],[Meta Proyecto de Inversión]],1,4)</f>
        <v>8126</v>
      </c>
      <c r="T429" s="162" t="str">
        <f>MID(PAA[[#This Row],[Meta Proyecto de Inversión]],6,1)</f>
        <v>9</v>
      </c>
      <c r="U429" s="163" t="str">
        <f>IFERROR(VLOOKUP(N429,TD!$B$50:$F$54,2,0)," ")</f>
        <v>O230117</v>
      </c>
      <c r="V429" s="163" t="str">
        <f>IFERROR(VLOOKUP(N429,TD!$B$50:$F$54,3,0)," ")</f>
        <v>4599</v>
      </c>
      <c r="W429" s="163">
        <f>IFERROR(VLOOKUP(N429,TD!$B$50:$F$54,4,0)," ")</f>
        <v>20240207</v>
      </c>
      <c r="X429" s="162" t="s">
        <v>174</v>
      </c>
      <c r="Y429" s="163" t="str">
        <f>IFERROR(VLOOKUP(X429,TD!$J$51:$K$64,2,0)," ")</f>
        <v>Infraestructura física, mantenimiento y dotación (Sedes construidas, mantenidas reforzadas)</v>
      </c>
      <c r="Z429" s="164" t="str">
        <f t="shared" si="24"/>
        <v>08-Infraestructura física, mantenimiento y dotación (Sedes construidas, mantenidas reforzadas)</v>
      </c>
      <c r="AA429" s="162" t="s">
        <v>227</v>
      </c>
      <c r="AB429" s="163" t="str">
        <f>IFERROR(VLOOKUP(AA429,TD!$N$51:$O$66,2,0)," ")</f>
        <v>Sedes mantenidas</v>
      </c>
      <c r="AC429" s="164" t="str">
        <f t="shared" si="25"/>
        <v>016_Sedes mantenidas</v>
      </c>
      <c r="AD429" s="164" t="str">
        <f t="shared" si="26"/>
        <v>08-Infraestructura física, mantenimiento y dotación (Sedes construidas, mantenidas reforzadas) 016_Sedes mantenidas</v>
      </c>
      <c r="AE429" s="163" t="str">
        <f t="shared" si="27"/>
        <v>O23011745992024020708016</v>
      </c>
      <c r="AF429" s="163" t="str">
        <f>IFERROR(VLOOKUP(AD429,TD!$J$66:$K$89,2,0)," ")</f>
        <v>PM/0131/0108/45990160207</v>
      </c>
      <c r="AG429" s="118" t="s">
        <v>385</v>
      </c>
      <c r="AH429" s="162" t="s">
        <v>193</v>
      </c>
      <c r="AI429" s="165" t="str">
        <f>CONCATENATE(PAA[[#This Row],[Id Interno]],"-",PAA[[#This Row],[tipo de Contrato (TH talento humano - B/S bienes y/o servicios)]],"-",S429,"-",T429,"-",PAA[[#This Row],[Objeto de la contratación]])</f>
        <v>20260408-TH-8126-9-Prestación de servicios profesionales en la Subdirección de Gestión Corporativa adelantando las actividades necesarias para la ejecución del programa y los procesos de seguros de la Entidad-SGC</v>
      </c>
    </row>
    <row r="430" spans="2:35" ht="56" x14ac:dyDescent="0.35">
      <c r="B430" s="23">
        <v>20260409</v>
      </c>
      <c r="C430" s="99" t="s">
        <v>667</v>
      </c>
      <c r="D430" s="23" t="s">
        <v>105</v>
      </c>
      <c r="E430" s="23" t="s">
        <v>363</v>
      </c>
      <c r="F430" s="159" t="s">
        <v>145</v>
      </c>
      <c r="G430" s="160" t="s">
        <v>373</v>
      </c>
      <c r="H430" s="161">
        <v>11</v>
      </c>
      <c r="I430" s="161">
        <v>0</v>
      </c>
      <c r="J430" s="127">
        <v>47187000</v>
      </c>
      <c r="K430" s="88" t="s">
        <v>398</v>
      </c>
      <c r="L430" s="159" t="s">
        <v>155</v>
      </c>
      <c r="M430" s="162" t="s">
        <v>422</v>
      </c>
      <c r="N430" s="23" t="s">
        <v>197</v>
      </c>
      <c r="O430" s="150" t="s">
        <v>925</v>
      </c>
      <c r="P430" s="159" t="s">
        <v>348</v>
      </c>
      <c r="Q430" s="53" t="s">
        <v>753</v>
      </c>
      <c r="R430" s="162" t="s">
        <v>208</v>
      </c>
      <c r="S430" s="162" t="str">
        <f>MID(PAA[[#This Row],[Meta Proyecto de Inversión]],1,4)</f>
        <v>8126</v>
      </c>
      <c r="T430" s="162" t="str">
        <f>MID(PAA[[#This Row],[Meta Proyecto de Inversión]],6,1)</f>
        <v>9</v>
      </c>
      <c r="U430" s="163" t="str">
        <f>IFERROR(VLOOKUP(N430,TD!$B$50:$F$54,2,0)," ")</f>
        <v>O230117</v>
      </c>
      <c r="V430" s="163" t="str">
        <f>IFERROR(VLOOKUP(N430,TD!$B$50:$F$54,3,0)," ")</f>
        <v>4599</v>
      </c>
      <c r="W430" s="163">
        <f>IFERROR(VLOOKUP(N430,TD!$B$50:$F$54,4,0)," ")</f>
        <v>20240207</v>
      </c>
      <c r="X430" s="162" t="s">
        <v>174</v>
      </c>
      <c r="Y430" s="163" t="str">
        <f>IFERROR(VLOOKUP(X430,TD!$J$51:$K$64,2,0)," ")</f>
        <v>Infraestructura física, mantenimiento y dotación (Sedes construidas, mantenidas reforzadas)</v>
      </c>
      <c r="Z430" s="164" t="str">
        <f t="shared" si="24"/>
        <v>08-Infraestructura física, mantenimiento y dotación (Sedes construidas, mantenidas reforzadas)</v>
      </c>
      <c r="AA430" s="162" t="s">
        <v>227</v>
      </c>
      <c r="AB430" s="163" t="str">
        <f>IFERROR(VLOOKUP(AA430,TD!$N$51:$O$66,2,0)," ")</f>
        <v>Sedes mantenidas</v>
      </c>
      <c r="AC430" s="164" t="str">
        <f t="shared" si="25"/>
        <v>016_Sedes mantenidas</v>
      </c>
      <c r="AD430" s="164" t="str">
        <f t="shared" si="26"/>
        <v>08-Infraestructura física, mantenimiento y dotación (Sedes construidas, mantenidas reforzadas) 016_Sedes mantenidas</v>
      </c>
      <c r="AE430" s="163" t="str">
        <f t="shared" si="27"/>
        <v>O23011745992024020708016</v>
      </c>
      <c r="AF430" s="163" t="str">
        <f>IFERROR(VLOOKUP(AD430,TD!$J$66:$K$89,2,0)," ")</f>
        <v>PM/0131/0108/45990160207</v>
      </c>
      <c r="AG430" s="118" t="s">
        <v>385</v>
      </c>
      <c r="AH430" s="162" t="s">
        <v>193</v>
      </c>
      <c r="AI430" s="165" t="str">
        <f>CONCATENATE(PAA[[#This Row],[Id Interno]],"-",PAA[[#This Row],[tipo de Contrato (TH talento humano - B/S bienes y/o servicios)]],"-",S430,"-",T430,"-",PAA[[#This Row],[Objeto de la contratación]])</f>
        <v>20260409-TH-8126-9-Prestación de servicios de apoyo en la gestión de seguros de la Subdirección de Gestión Corporativa. –SGC</v>
      </c>
    </row>
    <row r="431" spans="2:35" ht="56" x14ac:dyDescent="0.35">
      <c r="B431" s="23">
        <v>20260410</v>
      </c>
      <c r="C431" s="99" t="s">
        <v>668</v>
      </c>
      <c r="D431" s="23" t="s">
        <v>105</v>
      </c>
      <c r="E431" s="23" t="s">
        <v>363</v>
      </c>
      <c r="F431" s="159" t="s">
        <v>144</v>
      </c>
      <c r="G431" s="160" t="s">
        <v>373</v>
      </c>
      <c r="H431" s="161">
        <v>11</v>
      </c>
      <c r="I431" s="161">
        <v>0</v>
      </c>
      <c r="J431" s="127">
        <v>56772000</v>
      </c>
      <c r="K431" s="88" t="s">
        <v>398</v>
      </c>
      <c r="L431" s="159" t="s">
        <v>155</v>
      </c>
      <c r="M431" s="162" t="s">
        <v>422</v>
      </c>
      <c r="N431" s="23" t="s">
        <v>197</v>
      </c>
      <c r="O431" s="150" t="s">
        <v>925</v>
      </c>
      <c r="P431" s="159" t="s">
        <v>348</v>
      </c>
      <c r="Q431" s="53" t="s">
        <v>753</v>
      </c>
      <c r="R431" s="162" t="s">
        <v>208</v>
      </c>
      <c r="S431" s="162" t="str">
        <f>MID(PAA[[#This Row],[Meta Proyecto de Inversión]],1,4)</f>
        <v>8126</v>
      </c>
      <c r="T431" s="162" t="str">
        <f>MID(PAA[[#This Row],[Meta Proyecto de Inversión]],6,1)</f>
        <v>9</v>
      </c>
      <c r="U431" s="163" t="str">
        <f>IFERROR(VLOOKUP(N431,TD!$B$50:$F$54,2,0)," ")</f>
        <v>O230117</v>
      </c>
      <c r="V431" s="163" t="str">
        <f>IFERROR(VLOOKUP(N431,TD!$B$50:$F$54,3,0)," ")</f>
        <v>4599</v>
      </c>
      <c r="W431" s="163">
        <f>IFERROR(VLOOKUP(N431,TD!$B$50:$F$54,4,0)," ")</f>
        <v>20240207</v>
      </c>
      <c r="X431" s="162" t="s">
        <v>174</v>
      </c>
      <c r="Y431" s="163" t="str">
        <f>IFERROR(VLOOKUP(X431,TD!$J$51:$K$64,2,0)," ")</f>
        <v>Infraestructura física, mantenimiento y dotación (Sedes construidas, mantenidas reforzadas)</v>
      </c>
      <c r="Z431" s="164" t="str">
        <f t="shared" si="24"/>
        <v>08-Infraestructura física, mantenimiento y dotación (Sedes construidas, mantenidas reforzadas)</v>
      </c>
      <c r="AA431" s="162" t="s">
        <v>227</v>
      </c>
      <c r="AB431" s="163" t="str">
        <f>IFERROR(VLOOKUP(AA431,TD!$N$51:$O$66,2,0)," ")</f>
        <v>Sedes mantenidas</v>
      </c>
      <c r="AC431" s="164" t="str">
        <f t="shared" si="25"/>
        <v>016_Sedes mantenidas</v>
      </c>
      <c r="AD431" s="164" t="str">
        <f t="shared" si="26"/>
        <v>08-Infraestructura física, mantenimiento y dotación (Sedes construidas, mantenidas reforzadas) 016_Sedes mantenidas</v>
      </c>
      <c r="AE431" s="163" t="str">
        <f t="shared" si="27"/>
        <v>O23011745992024020708016</v>
      </c>
      <c r="AF431" s="163" t="str">
        <f>IFERROR(VLOOKUP(AD431,TD!$J$66:$K$89,2,0)," ")</f>
        <v>PM/0131/0108/45990160207</v>
      </c>
      <c r="AG431" s="118" t="s">
        <v>385</v>
      </c>
      <c r="AH431" s="162" t="s">
        <v>193</v>
      </c>
      <c r="AI431" s="165" t="str">
        <f>CONCATENATE(PAA[[#This Row],[Id Interno]],"-",PAA[[#This Row],[tipo de Contrato (TH talento humano - B/S bienes y/o servicios)]],"-",S431,"-",T431,"-",PAA[[#This Row],[Objeto de la contratación]])</f>
        <v>20260410-TH-8126-9-Prestación de servicios profesionales para apoyar a la Subdirección de Gestión Corporativa aplicando los procesos y procedimientos de seguros e inventarios -SGC</v>
      </c>
    </row>
    <row r="432" spans="2:35" ht="56" x14ac:dyDescent="0.35">
      <c r="B432" s="23">
        <v>20260411</v>
      </c>
      <c r="C432" s="99" t="s">
        <v>669</v>
      </c>
      <c r="D432" s="23" t="s">
        <v>105</v>
      </c>
      <c r="E432" s="23" t="s">
        <v>363</v>
      </c>
      <c r="F432" s="159" t="s">
        <v>145</v>
      </c>
      <c r="G432" s="160" t="s">
        <v>373</v>
      </c>
      <c r="H432" s="161">
        <v>11</v>
      </c>
      <c r="I432" s="161">
        <v>0</v>
      </c>
      <c r="J432" s="127">
        <v>36128000</v>
      </c>
      <c r="K432" s="88" t="s">
        <v>398</v>
      </c>
      <c r="L432" s="159" t="s">
        <v>155</v>
      </c>
      <c r="M432" s="162" t="s">
        <v>422</v>
      </c>
      <c r="N432" s="23" t="s">
        <v>197</v>
      </c>
      <c r="O432" s="150" t="s">
        <v>925</v>
      </c>
      <c r="P432" s="159" t="s">
        <v>348</v>
      </c>
      <c r="Q432" s="53" t="s">
        <v>753</v>
      </c>
      <c r="R432" s="162" t="s">
        <v>208</v>
      </c>
      <c r="S432" s="162" t="str">
        <f>MID(PAA[[#This Row],[Meta Proyecto de Inversión]],1,4)</f>
        <v>8126</v>
      </c>
      <c r="T432" s="162" t="str">
        <f>MID(PAA[[#This Row],[Meta Proyecto de Inversión]],6,1)</f>
        <v>9</v>
      </c>
      <c r="U432" s="163" t="str">
        <f>IFERROR(VLOOKUP(N432,TD!$B$50:$F$54,2,0)," ")</f>
        <v>O230117</v>
      </c>
      <c r="V432" s="163" t="str">
        <f>IFERROR(VLOOKUP(N432,TD!$B$50:$F$54,3,0)," ")</f>
        <v>4599</v>
      </c>
      <c r="W432" s="163">
        <f>IFERROR(VLOOKUP(N432,TD!$B$50:$F$54,4,0)," ")</f>
        <v>20240207</v>
      </c>
      <c r="X432" s="162" t="s">
        <v>174</v>
      </c>
      <c r="Y432" s="163" t="str">
        <f>IFERROR(VLOOKUP(X432,TD!$J$51:$K$64,2,0)," ")</f>
        <v>Infraestructura física, mantenimiento y dotación (Sedes construidas, mantenidas reforzadas)</v>
      </c>
      <c r="Z432" s="164" t="str">
        <f t="shared" si="24"/>
        <v>08-Infraestructura física, mantenimiento y dotación (Sedes construidas, mantenidas reforzadas)</v>
      </c>
      <c r="AA432" s="162" t="s">
        <v>227</v>
      </c>
      <c r="AB432" s="163" t="str">
        <f>IFERROR(VLOOKUP(AA432,TD!$N$51:$O$66,2,0)," ")</f>
        <v>Sedes mantenidas</v>
      </c>
      <c r="AC432" s="164" t="str">
        <f t="shared" si="25"/>
        <v>016_Sedes mantenidas</v>
      </c>
      <c r="AD432" s="164" t="str">
        <f t="shared" si="26"/>
        <v>08-Infraestructura física, mantenimiento y dotación (Sedes construidas, mantenidas reforzadas) 016_Sedes mantenidas</v>
      </c>
      <c r="AE432" s="163" t="str">
        <f t="shared" si="27"/>
        <v>O23011745992024020708016</v>
      </c>
      <c r="AF432" s="163" t="str">
        <f>IFERROR(VLOOKUP(AD432,TD!$J$66:$K$89,2,0)," ")</f>
        <v>PM/0131/0108/45990160207</v>
      </c>
      <c r="AG432" s="118" t="s">
        <v>385</v>
      </c>
      <c r="AH432" s="162" t="s">
        <v>193</v>
      </c>
      <c r="AI432" s="165" t="str">
        <f>CONCATENATE(PAA[[#This Row],[Id Interno]],"-",PAA[[#This Row],[tipo de Contrato (TH talento humano - B/S bienes y/o servicios)]],"-",S432,"-",T432,"-",PAA[[#This Row],[Objeto de la contratación]])</f>
        <v>20260411-TH-8126-9-Prestación de servicios de apoyo a la gestión de seguros de la Subdirección de Gestión Corporativa. –SGC</v>
      </c>
    </row>
    <row r="433" spans="2:35" ht="56" x14ac:dyDescent="0.35">
      <c r="B433" s="99">
        <v>20260412</v>
      </c>
      <c r="C433" s="99" t="s">
        <v>670</v>
      </c>
      <c r="D433" s="99" t="s">
        <v>105</v>
      </c>
      <c r="E433" s="99" t="s">
        <v>363</v>
      </c>
      <c r="F433" s="160" t="s">
        <v>144</v>
      </c>
      <c r="G433" s="160" t="s">
        <v>373</v>
      </c>
      <c r="H433" s="166">
        <v>4</v>
      </c>
      <c r="I433" s="166">
        <v>0</v>
      </c>
      <c r="J433" s="118">
        <v>29491924</v>
      </c>
      <c r="K433" s="126" t="s">
        <v>398</v>
      </c>
      <c r="L433" s="160" t="s">
        <v>155</v>
      </c>
      <c r="M433" s="167" t="s">
        <v>422</v>
      </c>
      <c r="N433" s="99" t="s">
        <v>197</v>
      </c>
      <c r="O433" s="150" t="s">
        <v>925</v>
      </c>
      <c r="P433" s="160" t="s">
        <v>348</v>
      </c>
      <c r="Q433" s="128" t="s">
        <v>753</v>
      </c>
      <c r="R433" s="167" t="s">
        <v>208</v>
      </c>
      <c r="S433" s="162" t="str">
        <f>MID(PAA[[#This Row],[Meta Proyecto de Inversión]],1,4)</f>
        <v>8126</v>
      </c>
      <c r="T433" s="162" t="str">
        <f>MID(PAA[[#This Row],[Meta Proyecto de Inversión]],6,1)</f>
        <v>9</v>
      </c>
      <c r="U433" s="168" t="str">
        <f>IFERROR(VLOOKUP(N433,TD!$B$50:$F$54,2,0)," ")</f>
        <v>O230117</v>
      </c>
      <c r="V433" s="168" t="str">
        <f>IFERROR(VLOOKUP(N433,TD!$B$50:$F$54,3,0)," ")</f>
        <v>4599</v>
      </c>
      <c r="W433" s="168">
        <f>IFERROR(VLOOKUP(N433,TD!$B$50:$F$54,4,0)," ")</f>
        <v>20240207</v>
      </c>
      <c r="X433" s="167" t="s">
        <v>174</v>
      </c>
      <c r="Y433" s="168" t="str">
        <f>IFERROR(VLOOKUP(X433,TD!$J$51:$K$64,2,0)," ")</f>
        <v>Infraestructura física, mantenimiento y dotación (Sedes construidas, mantenidas reforzadas)</v>
      </c>
      <c r="Z433" s="164" t="str">
        <f t="shared" si="24"/>
        <v>08-Infraestructura física, mantenimiento y dotación (Sedes construidas, mantenidas reforzadas)</v>
      </c>
      <c r="AA433" s="167" t="s">
        <v>227</v>
      </c>
      <c r="AB433" s="168" t="str">
        <f>IFERROR(VLOOKUP(AA433,TD!$N$51:$O$66,2,0)," ")</f>
        <v>Sedes mantenidas</v>
      </c>
      <c r="AC433" s="164" t="str">
        <f t="shared" si="25"/>
        <v>016_Sedes mantenidas</v>
      </c>
      <c r="AD433" s="164" t="str">
        <f t="shared" si="26"/>
        <v>08-Infraestructura física, mantenimiento y dotación (Sedes construidas, mantenidas reforzadas) 016_Sedes mantenidas</v>
      </c>
      <c r="AE433" s="168" t="str">
        <f t="shared" si="27"/>
        <v>O23011745992024020708016</v>
      </c>
      <c r="AF433" s="168" t="str">
        <f>IFERROR(VLOOKUP(AD433,TD!$J$66:$K$89,2,0)," ")</f>
        <v>PM/0131/0108/45990160207</v>
      </c>
      <c r="AG433" s="118" t="s">
        <v>385</v>
      </c>
      <c r="AH433" s="167" t="s">
        <v>193</v>
      </c>
      <c r="AI433" s="169" t="str">
        <f>CONCATENATE(PAA[[#This Row],[Id Interno]],"-",PAA[[#This Row],[tipo de Contrato (TH talento humano - B/S bienes y/o servicios)]],"-",S433,"-",T433,"-",PAA[[#This Row],[Objeto de la contratación]])</f>
        <v>20260412-TH-8126-9-Prestación de servicios profesionales en la Subdirección de Gestión Corporativa en las actividades relacionadas con MIPG-SGC</v>
      </c>
    </row>
    <row r="434" spans="2:35" ht="56" x14ac:dyDescent="0.35">
      <c r="B434" s="23">
        <v>20260414</v>
      </c>
      <c r="C434" s="99" t="s">
        <v>672</v>
      </c>
      <c r="D434" s="23" t="s">
        <v>105</v>
      </c>
      <c r="E434" s="23" t="s">
        <v>363</v>
      </c>
      <c r="F434" s="159" t="s">
        <v>145</v>
      </c>
      <c r="G434" s="160" t="s">
        <v>373</v>
      </c>
      <c r="H434" s="161">
        <v>11</v>
      </c>
      <c r="I434" s="161">
        <v>0</v>
      </c>
      <c r="J434" s="127">
        <v>30966000</v>
      </c>
      <c r="K434" s="88" t="s">
        <v>398</v>
      </c>
      <c r="L434" s="159" t="s">
        <v>155</v>
      </c>
      <c r="M434" s="162" t="s">
        <v>422</v>
      </c>
      <c r="N434" s="23" t="s">
        <v>197</v>
      </c>
      <c r="O434" s="150" t="s">
        <v>925</v>
      </c>
      <c r="P434" s="159" t="s">
        <v>348</v>
      </c>
      <c r="Q434" s="53" t="s">
        <v>753</v>
      </c>
      <c r="R434" s="162" t="s">
        <v>208</v>
      </c>
      <c r="S434" s="162" t="str">
        <f>MID(PAA[[#This Row],[Meta Proyecto de Inversión]],1,4)</f>
        <v>8126</v>
      </c>
      <c r="T434" s="162" t="str">
        <f>MID(PAA[[#This Row],[Meta Proyecto de Inversión]],6,1)</f>
        <v>9</v>
      </c>
      <c r="U434" s="163" t="str">
        <f>IFERROR(VLOOKUP(N434,TD!$B$50:$F$54,2,0)," ")</f>
        <v>O230117</v>
      </c>
      <c r="V434" s="163" t="str">
        <f>IFERROR(VLOOKUP(N434,TD!$B$50:$F$54,3,0)," ")</f>
        <v>4599</v>
      </c>
      <c r="W434" s="163">
        <f>IFERROR(VLOOKUP(N434,TD!$B$50:$F$54,4,0)," ")</f>
        <v>20240207</v>
      </c>
      <c r="X434" s="162" t="s">
        <v>174</v>
      </c>
      <c r="Y434" s="163" t="str">
        <f>IFERROR(VLOOKUP(X434,TD!$J$51:$K$64,2,0)," ")</f>
        <v>Infraestructura física, mantenimiento y dotación (Sedes construidas, mantenidas reforzadas)</v>
      </c>
      <c r="Z434" s="164" t="str">
        <f t="shared" si="24"/>
        <v>08-Infraestructura física, mantenimiento y dotación (Sedes construidas, mantenidas reforzadas)</v>
      </c>
      <c r="AA434" s="162" t="s">
        <v>227</v>
      </c>
      <c r="AB434" s="163" t="str">
        <f>IFERROR(VLOOKUP(AA434,TD!$N$51:$O$66,2,0)," ")</f>
        <v>Sedes mantenidas</v>
      </c>
      <c r="AC434" s="164" t="str">
        <f t="shared" si="25"/>
        <v>016_Sedes mantenidas</v>
      </c>
      <c r="AD434" s="164" t="str">
        <f t="shared" si="26"/>
        <v>08-Infraestructura física, mantenimiento y dotación (Sedes construidas, mantenidas reforzadas) 016_Sedes mantenidas</v>
      </c>
      <c r="AE434" s="163" t="str">
        <f t="shared" si="27"/>
        <v>O23011745992024020708016</v>
      </c>
      <c r="AF434" s="163" t="str">
        <f>IFERROR(VLOOKUP(AD434,TD!$J$66:$K$89,2,0)," ")</f>
        <v>PM/0131/0108/45990160207</v>
      </c>
      <c r="AG434" s="118" t="s">
        <v>385</v>
      </c>
      <c r="AH434" s="162" t="s">
        <v>193</v>
      </c>
      <c r="AI434" s="165" t="str">
        <f>CONCATENATE(PAA[[#This Row],[Id Interno]],"-",PAA[[#This Row],[tipo de Contrato (TH talento humano - B/S bienes y/o servicios)]],"-",S434,"-",T434,"-",PAA[[#This Row],[Objeto de la contratación]])</f>
        <v>20260414-TH-8126-9-Prestación de servicios de apoyo a la gestión del proceso de inventarios de la Subdirección de Gestión Corporativa.-SGC</v>
      </c>
    </row>
    <row r="435" spans="2:35" ht="56" x14ac:dyDescent="0.35">
      <c r="B435" s="23">
        <v>20260415</v>
      </c>
      <c r="C435" s="99" t="s">
        <v>672</v>
      </c>
      <c r="D435" s="23" t="s">
        <v>105</v>
      </c>
      <c r="E435" s="23" t="s">
        <v>363</v>
      </c>
      <c r="F435" s="159" t="s">
        <v>145</v>
      </c>
      <c r="G435" s="160" t="s">
        <v>373</v>
      </c>
      <c r="H435" s="161">
        <v>11</v>
      </c>
      <c r="I435" s="161">
        <v>0</v>
      </c>
      <c r="J435" s="127">
        <v>30966000</v>
      </c>
      <c r="K435" s="88" t="s">
        <v>398</v>
      </c>
      <c r="L435" s="159" t="s">
        <v>155</v>
      </c>
      <c r="M435" s="162" t="s">
        <v>422</v>
      </c>
      <c r="N435" s="23" t="s">
        <v>197</v>
      </c>
      <c r="O435" s="150" t="s">
        <v>925</v>
      </c>
      <c r="P435" s="159" t="s">
        <v>348</v>
      </c>
      <c r="Q435" s="53" t="s">
        <v>753</v>
      </c>
      <c r="R435" s="162" t="s">
        <v>208</v>
      </c>
      <c r="S435" s="162" t="str">
        <f>MID(PAA[[#This Row],[Meta Proyecto de Inversión]],1,4)</f>
        <v>8126</v>
      </c>
      <c r="T435" s="162" t="str">
        <f>MID(PAA[[#This Row],[Meta Proyecto de Inversión]],6,1)</f>
        <v>9</v>
      </c>
      <c r="U435" s="163" t="str">
        <f>IFERROR(VLOOKUP(N435,TD!$B$50:$F$54,2,0)," ")</f>
        <v>O230117</v>
      </c>
      <c r="V435" s="163" t="str">
        <f>IFERROR(VLOOKUP(N435,TD!$B$50:$F$54,3,0)," ")</f>
        <v>4599</v>
      </c>
      <c r="W435" s="163">
        <f>IFERROR(VLOOKUP(N435,TD!$B$50:$F$54,4,0)," ")</f>
        <v>20240207</v>
      </c>
      <c r="X435" s="162" t="s">
        <v>174</v>
      </c>
      <c r="Y435" s="163" t="str">
        <f>IFERROR(VLOOKUP(X435,TD!$J$51:$K$64,2,0)," ")</f>
        <v>Infraestructura física, mantenimiento y dotación (Sedes construidas, mantenidas reforzadas)</v>
      </c>
      <c r="Z435" s="164" t="str">
        <f t="shared" si="24"/>
        <v>08-Infraestructura física, mantenimiento y dotación (Sedes construidas, mantenidas reforzadas)</v>
      </c>
      <c r="AA435" s="162" t="s">
        <v>227</v>
      </c>
      <c r="AB435" s="163" t="str">
        <f>IFERROR(VLOOKUP(AA435,TD!$N$51:$O$66,2,0)," ")</f>
        <v>Sedes mantenidas</v>
      </c>
      <c r="AC435" s="164" t="str">
        <f t="shared" si="25"/>
        <v>016_Sedes mantenidas</v>
      </c>
      <c r="AD435" s="164" t="str">
        <f t="shared" si="26"/>
        <v>08-Infraestructura física, mantenimiento y dotación (Sedes construidas, mantenidas reforzadas) 016_Sedes mantenidas</v>
      </c>
      <c r="AE435" s="163" t="str">
        <f t="shared" si="27"/>
        <v>O23011745992024020708016</v>
      </c>
      <c r="AF435" s="163" t="str">
        <f>IFERROR(VLOOKUP(AD435,TD!$J$66:$K$89,2,0)," ")</f>
        <v>PM/0131/0108/45990160207</v>
      </c>
      <c r="AG435" s="118" t="s">
        <v>385</v>
      </c>
      <c r="AH435" s="162" t="s">
        <v>193</v>
      </c>
      <c r="AI435" s="165" t="str">
        <f>CONCATENATE(PAA[[#This Row],[Id Interno]],"-",PAA[[#This Row],[tipo de Contrato (TH talento humano - B/S bienes y/o servicios)]],"-",S435,"-",T435,"-",PAA[[#This Row],[Objeto de la contratación]])</f>
        <v>20260415-TH-8126-9-Prestación de servicios de apoyo a la gestión del proceso de inventarios de la Subdirección de Gestión Corporativa.-SGC</v>
      </c>
    </row>
    <row r="436" spans="2:35" ht="56" x14ac:dyDescent="0.35">
      <c r="B436" s="23">
        <v>20260416</v>
      </c>
      <c r="C436" s="99" t="s">
        <v>672</v>
      </c>
      <c r="D436" s="23" t="s">
        <v>105</v>
      </c>
      <c r="E436" s="23" t="s">
        <v>363</v>
      </c>
      <c r="F436" s="159" t="s">
        <v>145</v>
      </c>
      <c r="G436" s="160" t="s">
        <v>373</v>
      </c>
      <c r="H436" s="161">
        <v>11</v>
      </c>
      <c r="I436" s="161">
        <v>0</v>
      </c>
      <c r="J436" s="127">
        <v>30966000</v>
      </c>
      <c r="K436" s="88" t="s">
        <v>398</v>
      </c>
      <c r="L436" s="159" t="s">
        <v>155</v>
      </c>
      <c r="M436" s="162" t="s">
        <v>422</v>
      </c>
      <c r="N436" s="23" t="s">
        <v>197</v>
      </c>
      <c r="O436" s="150" t="s">
        <v>925</v>
      </c>
      <c r="P436" s="159" t="s">
        <v>348</v>
      </c>
      <c r="Q436" s="53" t="s">
        <v>753</v>
      </c>
      <c r="R436" s="162" t="s">
        <v>208</v>
      </c>
      <c r="S436" s="162" t="str">
        <f>MID(PAA[[#This Row],[Meta Proyecto de Inversión]],1,4)</f>
        <v>8126</v>
      </c>
      <c r="T436" s="162" t="str">
        <f>MID(PAA[[#This Row],[Meta Proyecto de Inversión]],6,1)</f>
        <v>9</v>
      </c>
      <c r="U436" s="163" t="str">
        <f>IFERROR(VLOOKUP(N436,TD!$B$50:$F$54,2,0)," ")</f>
        <v>O230117</v>
      </c>
      <c r="V436" s="163" t="str">
        <f>IFERROR(VLOOKUP(N436,TD!$B$50:$F$54,3,0)," ")</f>
        <v>4599</v>
      </c>
      <c r="W436" s="163">
        <f>IFERROR(VLOOKUP(N436,TD!$B$50:$F$54,4,0)," ")</f>
        <v>20240207</v>
      </c>
      <c r="X436" s="162" t="s">
        <v>174</v>
      </c>
      <c r="Y436" s="163" t="str">
        <f>IFERROR(VLOOKUP(X436,TD!$J$51:$K$64,2,0)," ")</f>
        <v>Infraestructura física, mantenimiento y dotación (Sedes construidas, mantenidas reforzadas)</v>
      </c>
      <c r="Z436" s="164" t="str">
        <f t="shared" si="24"/>
        <v>08-Infraestructura física, mantenimiento y dotación (Sedes construidas, mantenidas reforzadas)</v>
      </c>
      <c r="AA436" s="162" t="s">
        <v>227</v>
      </c>
      <c r="AB436" s="163" t="str">
        <f>IFERROR(VLOOKUP(AA436,TD!$N$51:$O$66,2,0)," ")</f>
        <v>Sedes mantenidas</v>
      </c>
      <c r="AC436" s="164" t="str">
        <f t="shared" si="25"/>
        <v>016_Sedes mantenidas</v>
      </c>
      <c r="AD436" s="164" t="str">
        <f t="shared" si="26"/>
        <v>08-Infraestructura física, mantenimiento y dotación (Sedes construidas, mantenidas reforzadas) 016_Sedes mantenidas</v>
      </c>
      <c r="AE436" s="163" t="str">
        <f t="shared" si="27"/>
        <v>O23011745992024020708016</v>
      </c>
      <c r="AF436" s="163" t="str">
        <f>IFERROR(VLOOKUP(AD436,TD!$J$66:$K$89,2,0)," ")</f>
        <v>PM/0131/0108/45990160207</v>
      </c>
      <c r="AG436" s="118" t="s">
        <v>385</v>
      </c>
      <c r="AH436" s="162" t="s">
        <v>193</v>
      </c>
      <c r="AI436" s="165" t="str">
        <f>CONCATENATE(PAA[[#This Row],[Id Interno]],"-",PAA[[#This Row],[tipo de Contrato (TH talento humano - B/S bienes y/o servicios)]],"-",S436,"-",T436,"-",PAA[[#This Row],[Objeto de la contratación]])</f>
        <v>20260416-TH-8126-9-Prestación de servicios de apoyo a la gestión del proceso de inventarios de la Subdirección de Gestión Corporativa.-SGC</v>
      </c>
    </row>
    <row r="437" spans="2:35" ht="56" x14ac:dyDescent="0.35">
      <c r="B437" s="23">
        <v>20260417</v>
      </c>
      <c r="C437" s="99" t="s">
        <v>673</v>
      </c>
      <c r="D437" s="23" t="s">
        <v>105</v>
      </c>
      <c r="E437" s="23" t="s">
        <v>363</v>
      </c>
      <c r="F437" s="159" t="s">
        <v>144</v>
      </c>
      <c r="G437" s="160" t="s">
        <v>373</v>
      </c>
      <c r="H437" s="161">
        <v>11</v>
      </c>
      <c r="I437" s="161">
        <v>0</v>
      </c>
      <c r="J437" s="127">
        <v>102034000</v>
      </c>
      <c r="K437" s="88" t="s">
        <v>398</v>
      </c>
      <c r="L437" s="159" t="s">
        <v>155</v>
      </c>
      <c r="M437" s="162" t="s">
        <v>422</v>
      </c>
      <c r="N437" s="23" t="s">
        <v>197</v>
      </c>
      <c r="O437" s="150" t="s">
        <v>925</v>
      </c>
      <c r="P437" s="159" t="s">
        <v>348</v>
      </c>
      <c r="Q437" s="53" t="s">
        <v>753</v>
      </c>
      <c r="R437" s="162" t="s">
        <v>208</v>
      </c>
      <c r="S437" s="162" t="str">
        <f>MID(PAA[[#This Row],[Meta Proyecto de Inversión]],1,4)</f>
        <v>8126</v>
      </c>
      <c r="T437" s="162" t="str">
        <f>MID(PAA[[#This Row],[Meta Proyecto de Inversión]],6,1)</f>
        <v>9</v>
      </c>
      <c r="U437" s="163" t="str">
        <f>IFERROR(VLOOKUP(N437,TD!$B$50:$F$54,2,0)," ")</f>
        <v>O230117</v>
      </c>
      <c r="V437" s="163" t="str">
        <f>IFERROR(VLOOKUP(N437,TD!$B$50:$F$54,3,0)," ")</f>
        <v>4599</v>
      </c>
      <c r="W437" s="163">
        <f>IFERROR(VLOOKUP(N437,TD!$B$50:$F$54,4,0)," ")</f>
        <v>20240207</v>
      </c>
      <c r="X437" s="162" t="s">
        <v>174</v>
      </c>
      <c r="Y437" s="163" t="str">
        <f>IFERROR(VLOOKUP(X437,TD!$J$51:$K$64,2,0)," ")</f>
        <v>Infraestructura física, mantenimiento y dotación (Sedes construidas, mantenidas reforzadas)</v>
      </c>
      <c r="Z437" s="164" t="str">
        <f t="shared" si="24"/>
        <v>08-Infraestructura física, mantenimiento y dotación (Sedes construidas, mantenidas reforzadas)</v>
      </c>
      <c r="AA437" s="162" t="s">
        <v>227</v>
      </c>
      <c r="AB437" s="163" t="str">
        <f>IFERROR(VLOOKUP(AA437,TD!$N$51:$O$66,2,0)," ")</f>
        <v>Sedes mantenidas</v>
      </c>
      <c r="AC437" s="164" t="str">
        <f t="shared" si="25"/>
        <v>016_Sedes mantenidas</v>
      </c>
      <c r="AD437" s="164" t="str">
        <f t="shared" si="26"/>
        <v>08-Infraestructura física, mantenimiento y dotación (Sedes construidas, mantenidas reforzadas) 016_Sedes mantenidas</v>
      </c>
      <c r="AE437" s="163" t="str">
        <f t="shared" si="27"/>
        <v>O23011745992024020708016</v>
      </c>
      <c r="AF437" s="163" t="str">
        <f>IFERROR(VLOOKUP(AD437,TD!$J$66:$K$89,2,0)," ")</f>
        <v>PM/0131/0108/45990160207</v>
      </c>
      <c r="AG437" s="118" t="s">
        <v>385</v>
      </c>
      <c r="AH437" s="162" t="s">
        <v>193</v>
      </c>
      <c r="AI437" s="165" t="str">
        <f>CONCATENATE(PAA[[#This Row],[Id Interno]],"-",PAA[[#This Row],[tipo de Contrato (TH talento humano - B/S bienes y/o servicios)]],"-",S437,"-",T437,"-",PAA[[#This Row],[Objeto de la contratación]])</f>
        <v>20260417-TH-8126-9-Prestar servicios profesionales en la Subdirección de Gestión Corporativa en lo relacionado con los procesos de inventarios, almacén y bajas-SGC</v>
      </c>
    </row>
    <row r="438" spans="2:35" ht="56" x14ac:dyDescent="0.35">
      <c r="B438" s="23">
        <v>20260418</v>
      </c>
      <c r="C438" s="99" t="s">
        <v>674</v>
      </c>
      <c r="D438" s="23" t="s">
        <v>105</v>
      </c>
      <c r="E438" s="23" t="s">
        <v>363</v>
      </c>
      <c r="F438" s="159" t="s">
        <v>144</v>
      </c>
      <c r="G438" s="160" t="s">
        <v>373</v>
      </c>
      <c r="H438" s="161">
        <v>11</v>
      </c>
      <c r="I438" s="161">
        <v>0</v>
      </c>
      <c r="J438" s="127">
        <v>82390000</v>
      </c>
      <c r="K438" s="88" t="s">
        <v>398</v>
      </c>
      <c r="L438" s="159" t="s">
        <v>155</v>
      </c>
      <c r="M438" s="162" t="s">
        <v>422</v>
      </c>
      <c r="N438" s="23" t="s">
        <v>197</v>
      </c>
      <c r="O438" s="150" t="s">
        <v>925</v>
      </c>
      <c r="P438" s="159" t="s">
        <v>348</v>
      </c>
      <c r="Q438" s="53" t="s">
        <v>753</v>
      </c>
      <c r="R438" s="162" t="s">
        <v>208</v>
      </c>
      <c r="S438" s="162" t="str">
        <f>MID(PAA[[#This Row],[Meta Proyecto de Inversión]],1,4)</f>
        <v>8126</v>
      </c>
      <c r="T438" s="162" t="str">
        <f>MID(PAA[[#This Row],[Meta Proyecto de Inversión]],6,1)</f>
        <v>9</v>
      </c>
      <c r="U438" s="163" t="str">
        <f>IFERROR(VLOOKUP(N438,TD!$B$50:$F$54,2,0)," ")</f>
        <v>O230117</v>
      </c>
      <c r="V438" s="163" t="str">
        <f>IFERROR(VLOOKUP(N438,TD!$B$50:$F$54,3,0)," ")</f>
        <v>4599</v>
      </c>
      <c r="W438" s="163">
        <f>IFERROR(VLOOKUP(N438,TD!$B$50:$F$54,4,0)," ")</f>
        <v>20240207</v>
      </c>
      <c r="X438" s="162" t="s">
        <v>174</v>
      </c>
      <c r="Y438" s="163" t="str">
        <f>IFERROR(VLOOKUP(X438,TD!$J$51:$K$64,2,0)," ")</f>
        <v>Infraestructura física, mantenimiento y dotación (Sedes construidas, mantenidas reforzadas)</v>
      </c>
      <c r="Z438" s="164" t="str">
        <f t="shared" si="24"/>
        <v>08-Infraestructura física, mantenimiento y dotación (Sedes construidas, mantenidas reforzadas)</v>
      </c>
      <c r="AA438" s="162" t="s">
        <v>227</v>
      </c>
      <c r="AB438" s="163" t="str">
        <f>IFERROR(VLOOKUP(AA438,TD!$N$51:$O$66,2,0)," ")</f>
        <v>Sedes mantenidas</v>
      </c>
      <c r="AC438" s="164" t="str">
        <f t="shared" si="25"/>
        <v>016_Sedes mantenidas</v>
      </c>
      <c r="AD438" s="164" t="str">
        <f t="shared" si="26"/>
        <v>08-Infraestructura física, mantenimiento y dotación (Sedes construidas, mantenidas reforzadas) 016_Sedes mantenidas</v>
      </c>
      <c r="AE438" s="163" t="str">
        <f t="shared" si="27"/>
        <v>O23011745992024020708016</v>
      </c>
      <c r="AF438" s="163" t="str">
        <f>IFERROR(VLOOKUP(AD438,TD!$J$66:$K$89,2,0)," ")</f>
        <v>PM/0131/0108/45990160207</v>
      </c>
      <c r="AG438" s="118" t="s">
        <v>385</v>
      </c>
      <c r="AH438" s="162" t="s">
        <v>193</v>
      </c>
      <c r="AI438" s="165" t="str">
        <f>CONCATENATE(PAA[[#This Row],[Id Interno]],"-",PAA[[#This Row],[tipo de Contrato (TH talento humano - B/S bienes y/o servicios)]],"-",S438,"-",T438,"-",PAA[[#This Row],[Objeto de la contratación]])</f>
        <v>20260418-TH-8126-9-Prestar servicios profesionales para desarrollar e implementar sistemas de información, brindar soporte, mantenimiento y generar interoperabilidad con la Subdirección de Gestión Corporativa -SGC</v>
      </c>
    </row>
    <row r="439" spans="2:35" ht="56" x14ac:dyDescent="0.35">
      <c r="B439" s="23">
        <v>20260419</v>
      </c>
      <c r="C439" s="99" t="s">
        <v>675</v>
      </c>
      <c r="D439" s="23" t="s">
        <v>105</v>
      </c>
      <c r="E439" s="23" t="s">
        <v>363</v>
      </c>
      <c r="F439" s="159" t="s">
        <v>144</v>
      </c>
      <c r="G439" s="160" t="s">
        <v>373</v>
      </c>
      <c r="H439" s="161">
        <v>11</v>
      </c>
      <c r="I439" s="161">
        <v>0</v>
      </c>
      <c r="J439" s="127">
        <v>75204000</v>
      </c>
      <c r="K439" s="88" t="s">
        <v>398</v>
      </c>
      <c r="L439" s="159" t="s">
        <v>155</v>
      </c>
      <c r="M439" s="162" t="s">
        <v>422</v>
      </c>
      <c r="N439" s="23" t="s">
        <v>197</v>
      </c>
      <c r="O439" s="150" t="s">
        <v>925</v>
      </c>
      <c r="P439" s="159" t="s">
        <v>348</v>
      </c>
      <c r="Q439" s="53" t="s">
        <v>753</v>
      </c>
      <c r="R439" s="162" t="s">
        <v>208</v>
      </c>
      <c r="S439" s="162" t="str">
        <f>MID(PAA[[#This Row],[Meta Proyecto de Inversión]],1,4)</f>
        <v>8126</v>
      </c>
      <c r="T439" s="162" t="str">
        <f>MID(PAA[[#This Row],[Meta Proyecto de Inversión]],6,1)</f>
        <v>9</v>
      </c>
      <c r="U439" s="163" t="str">
        <f>IFERROR(VLOOKUP(N439,TD!$B$50:$F$54,2,0)," ")</f>
        <v>O230117</v>
      </c>
      <c r="V439" s="163" t="str">
        <f>IFERROR(VLOOKUP(N439,TD!$B$50:$F$54,3,0)," ")</f>
        <v>4599</v>
      </c>
      <c r="W439" s="163">
        <f>IFERROR(VLOOKUP(N439,TD!$B$50:$F$54,4,0)," ")</f>
        <v>20240207</v>
      </c>
      <c r="X439" s="162" t="s">
        <v>174</v>
      </c>
      <c r="Y439" s="163" t="str">
        <f>IFERROR(VLOOKUP(X439,TD!$J$51:$K$64,2,0)," ")</f>
        <v>Infraestructura física, mantenimiento y dotación (Sedes construidas, mantenidas reforzadas)</v>
      </c>
      <c r="Z439" s="164" t="str">
        <f t="shared" si="24"/>
        <v>08-Infraestructura física, mantenimiento y dotación (Sedes construidas, mantenidas reforzadas)</v>
      </c>
      <c r="AA439" s="162" t="s">
        <v>227</v>
      </c>
      <c r="AB439" s="163" t="str">
        <f>IFERROR(VLOOKUP(AA439,TD!$N$51:$O$66,2,0)," ")</f>
        <v>Sedes mantenidas</v>
      </c>
      <c r="AC439" s="164" t="str">
        <f t="shared" si="25"/>
        <v>016_Sedes mantenidas</v>
      </c>
      <c r="AD439" s="164" t="str">
        <f t="shared" si="26"/>
        <v>08-Infraestructura física, mantenimiento y dotación (Sedes construidas, mantenidas reforzadas) 016_Sedes mantenidas</v>
      </c>
      <c r="AE439" s="163" t="str">
        <f t="shared" si="27"/>
        <v>O23011745992024020708016</v>
      </c>
      <c r="AF439" s="163" t="str">
        <f>IFERROR(VLOOKUP(AD439,TD!$J$66:$K$89,2,0)," ")</f>
        <v>PM/0131/0108/45990160207</v>
      </c>
      <c r="AG439" s="118" t="s">
        <v>385</v>
      </c>
      <c r="AH439" s="162" t="s">
        <v>193</v>
      </c>
      <c r="AI439" s="165" t="str">
        <f>CONCATENATE(PAA[[#This Row],[Id Interno]],"-",PAA[[#This Row],[tipo de Contrato (TH talento humano - B/S bienes y/o servicios)]],"-",S439,"-",T439,"-",PAA[[#This Row],[Objeto de la contratación]])</f>
        <v>20260419-TH-8126-9-Prestación de servicios profesionales para la ejecución de los procesos contables que se desarrollan en el Área Financiera de la UAE Cuerpo Oficial de Bomberos asignados. -SGC</v>
      </c>
    </row>
    <row r="440" spans="2:35" ht="56" x14ac:dyDescent="0.35">
      <c r="B440" s="23">
        <v>20260420</v>
      </c>
      <c r="C440" s="99" t="s">
        <v>676</v>
      </c>
      <c r="D440" s="23" t="s">
        <v>105</v>
      </c>
      <c r="E440" s="23" t="s">
        <v>363</v>
      </c>
      <c r="F440" s="159" t="s">
        <v>145</v>
      </c>
      <c r="G440" s="160" t="s">
        <v>373</v>
      </c>
      <c r="H440" s="161">
        <v>11</v>
      </c>
      <c r="I440" s="161">
        <v>0</v>
      </c>
      <c r="J440" s="127">
        <v>30966000</v>
      </c>
      <c r="K440" s="88" t="s">
        <v>398</v>
      </c>
      <c r="L440" s="159" t="s">
        <v>155</v>
      </c>
      <c r="M440" s="162" t="s">
        <v>422</v>
      </c>
      <c r="N440" s="23" t="s">
        <v>197</v>
      </c>
      <c r="O440" s="150" t="s">
        <v>925</v>
      </c>
      <c r="P440" s="159" t="s">
        <v>348</v>
      </c>
      <c r="Q440" s="53" t="s">
        <v>753</v>
      </c>
      <c r="R440" s="162" t="s">
        <v>208</v>
      </c>
      <c r="S440" s="162" t="str">
        <f>MID(PAA[[#This Row],[Meta Proyecto de Inversión]],1,4)</f>
        <v>8126</v>
      </c>
      <c r="T440" s="162" t="str">
        <f>MID(PAA[[#This Row],[Meta Proyecto de Inversión]],6,1)</f>
        <v>9</v>
      </c>
      <c r="U440" s="163" t="str">
        <f>IFERROR(VLOOKUP(N440,TD!$B$50:$F$54,2,0)," ")</f>
        <v>O230117</v>
      </c>
      <c r="V440" s="163" t="str">
        <f>IFERROR(VLOOKUP(N440,TD!$B$50:$F$54,3,0)," ")</f>
        <v>4599</v>
      </c>
      <c r="W440" s="163">
        <f>IFERROR(VLOOKUP(N440,TD!$B$50:$F$54,4,0)," ")</f>
        <v>20240207</v>
      </c>
      <c r="X440" s="162" t="s">
        <v>174</v>
      </c>
      <c r="Y440" s="163" t="str">
        <f>IFERROR(VLOOKUP(X440,TD!$J$51:$K$64,2,0)," ")</f>
        <v>Infraestructura física, mantenimiento y dotación (Sedes construidas, mantenidas reforzadas)</v>
      </c>
      <c r="Z440" s="164" t="str">
        <f t="shared" si="24"/>
        <v>08-Infraestructura física, mantenimiento y dotación (Sedes construidas, mantenidas reforzadas)</v>
      </c>
      <c r="AA440" s="162" t="s">
        <v>227</v>
      </c>
      <c r="AB440" s="163" t="str">
        <f>IFERROR(VLOOKUP(AA440,TD!$N$51:$O$66,2,0)," ")</f>
        <v>Sedes mantenidas</v>
      </c>
      <c r="AC440" s="164" t="str">
        <f t="shared" si="25"/>
        <v>016_Sedes mantenidas</v>
      </c>
      <c r="AD440" s="164" t="str">
        <f t="shared" si="26"/>
        <v>08-Infraestructura física, mantenimiento y dotación (Sedes construidas, mantenidas reforzadas) 016_Sedes mantenidas</v>
      </c>
      <c r="AE440" s="163" t="str">
        <f t="shared" si="27"/>
        <v>O23011745992024020708016</v>
      </c>
      <c r="AF440" s="163" t="str">
        <f>IFERROR(VLOOKUP(AD440,TD!$J$66:$K$89,2,0)," ")</f>
        <v>PM/0131/0108/45990160207</v>
      </c>
      <c r="AG440" s="118" t="s">
        <v>385</v>
      </c>
      <c r="AH440" s="162" t="s">
        <v>193</v>
      </c>
      <c r="AI440" s="165" t="str">
        <f>CONCATENATE(PAA[[#This Row],[Id Interno]],"-",PAA[[#This Row],[tipo de Contrato (TH talento humano - B/S bienes y/o servicios)]],"-",S440,"-",T440,"-",PAA[[#This Row],[Objeto de la contratación]])</f>
        <v>20260420-TH-8126-9-Prestación de servicios de apoyo a la gestión documental de la Subdirección de Gestión Corporativa de la Unidad.-SGC.</v>
      </c>
    </row>
    <row r="441" spans="2:35" ht="56" x14ac:dyDescent="0.35">
      <c r="B441" s="23">
        <v>20260422</v>
      </c>
      <c r="C441" s="99" t="s">
        <v>677</v>
      </c>
      <c r="D441" s="23" t="s">
        <v>105</v>
      </c>
      <c r="E441" s="23" t="s">
        <v>363</v>
      </c>
      <c r="F441" s="159" t="s">
        <v>145</v>
      </c>
      <c r="G441" s="160" t="s">
        <v>373</v>
      </c>
      <c r="H441" s="161">
        <v>11</v>
      </c>
      <c r="I441" s="161">
        <v>0</v>
      </c>
      <c r="J441" s="127">
        <v>40551000</v>
      </c>
      <c r="K441" s="88" t="s">
        <v>398</v>
      </c>
      <c r="L441" s="159" t="s">
        <v>155</v>
      </c>
      <c r="M441" s="162" t="s">
        <v>422</v>
      </c>
      <c r="N441" s="23" t="s">
        <v>197</v>
      </c>
      <c r="O441" s="150" t="s">
        <v>925</v>
      </c>
      <c r="P441" s="159" t="s">
        <v>348</v>
      </c>
      <c r="Q441" s="53" t="s">
        <v>753</v>
      </c>
      <c r="R441" s="162" t="s">
        <v>208</v>
      </c>
      <c r="S441" s="162" t="str">
        <f>MID(PAA[[#This Row],[Meta Proyecto de Inversión]],1,4)</f>
        <v>8126</v>
      </c>
      <c r="T441" s="162" t="str">
        <f>MID(PAA[[#This Row],[Meta Proyecto de Inversión]],6,1)</f>
        <v>9</v>
      </c>
      <c r="U441" s="163" t="str">
        <f>IFERROR(VLOOKUP(N441,TD!$B$50:$F$54,2,0)," ")</f>
        <v>O230117</v>
      </c>
      <c r="V441" s="163" t="str">
        <f>IFERROR(VLOOKUP(N441,TD!$B$50:$F$54,3,0)," ")</f>
        <v>4599</v>
      </c>
      <c r="W441" s="163">
        <f>IFERROR(VLOOKUP(N441,TD!$B$50:$F$54,4,0)," ")</f>
        <v>20240207</v>
      </c>
      <c r="X441" s="162" t="s">
        <v>174</v>
      </c>
      <c r="Y441" s="163" t="str">
        <f>IFERROR(VLOOKUP(X441,TD!$J$51:$K$64,2,0)," ")</f>
        <v>Infraestructura física, mantenimiento y dotación (Sedes construidas, mantenidas reforzadas)</v>
      </c>
      <c r="Z441" s="164" t="str">
        <f t="shared" si="24"/>
        <v>08-Infraestructura física, mantenimiento y dotación (Sedes construidas, mantenidas reforzadas)</v>
      </c>
      <c r="AA441" s="162" t="s">
        <v>227</v>
      </c>
      <c r="AB441" s="163" t="str">
        <f>IFERROR(VLOOKUP(AA441,TD!$N$51:$O$66,2,0)," ")</f>
        <v>Sedes mantenidas</v>
      </c>
      <c r="AC441" s="164" t="str">
        <f t="shared" si="25"/>
        <v>016_Sedes mantenidas</v>
      </c>
      <c r="AD441" s="164" t="str">
        <f t="shared" si="26"/>
        <v>08-Infraestructura física, mantenimiento y dotación (Sedes construidas, mantenidas reforzadas) 016_Sedes mantenidas</v>
      </c>
      <c r="AE441" s="163" t="str">
        <f t="shared" si="27"/>
        <v>O23011745992024020708016</v>
      </c>
      <c r="AF441" s="163" t="str">
        <f>IFERROR(VLOOKUP(AD441,TD!$J$66:$K$89,2,0)," ")</f>
        <v>PM/0131/0108/45990160207</v>
      </c>
      <c r="AG441" s="118" t="s">
        <v>385</v>
      </c>
      <c r="AH441" s="162" t="s">
        <v>193</v>
      </c>
      <c r="AI441" s="165" t="str">
        <f>CONCATENATE(PAA[[#This Row],[Id Interno]],"-",PAA[[#This Row],[tipo de Contrato (TH talento humano - B/S bienes y/o servicios)]],"-",S441,"-",T441,"-",PAA[[#This Row],[Objeto de la contratación]])</f>
        <v>20260422-TH-8126-9-Prestación de servicios de apoyo a la gestión documental de la Subdirección de Gestión Corporativa de la Unidad.-SGC</v>
      </c>
    </row>
    <row r="442" spans="2:35" ht="56" x14ac:dyDescent="0.35">
      <c r="B442" s="23">
        <v>20260423</v>
      </c>
      <c r="C442" s="99" t="s">
        <v>677</v>
      </c>
      <c r="D442" s="23" t="s">
        <v>105</v>
      </c>
      <c r="E442" s="23" t="s">
        <v>363</v>
      </c>
      <c r="F442" s="159" t="s">
        <v>145</v>
      </c>
      <c r="G442" s="160" t="s">
        <v>373</v>
      </c>
      <c r="H442" s="161">
        <v>11</v>
      </c>
      <c r="I442" s="161">
        <v>0</v>
      </c>
      <c r="J442" s="127">
        <v>30966000</v>
      </c>
      <c r="K442" s="88" t="s">
        <v>398</v>
      </c>
      <c r="L442" s="159" t="s">
        <v>155</v>
      </c>
      <c r="M442" s="162" t="s">
        <v>422</v>
      </c>
      <c r="N442" s="23" t="s">
        <v>197</v>
      </c>
      <c r="O442" s="150" t="s">
        <v>925</v>
      </c>
      <c r="P442" s="159" t="s">
        <v>348</v>
      </c>
      <c r="Q442" s="53" t="s">
        <v>753</v>
      </c>
      <c r="R442" s="162" t="s">
        <v>208</v>
      </c>
      <c r="S442" s="162" t="str">
        <f>MID(PAA[[#This Row],[Meta Proyecto de Inversión]],1,4)</f>
        <v>8126</v>
      </c>
      <c r="T442" s="162" t="str">
        <f>MID(PAA[[#This Row],[Meta Proyecto de Inversión]],6,1)</f>
        <v>9</v>
      </c>
      <c r="U442" s="163" t="str">
        <f>IFERROR(VLOOKUP(N442,TD!$B$50:$F$54,2,0)," ")</f>
        <v>O230117</v>
      </c>
      <c r="V442" s="163" t="str">
        <f>IFERROR(VLOOKUP(N442,TD!$B$50:$F$54,3,0)," ")</f>
        <v>4599</v>
      </c>
      <c r="W442" s="163">
        <f>IFERROR(VLOOKUP(N442,TD!$B$50:$F$54,4,0)," ")</f>
        <v>20240207</v>
      </c>
      <c r="X442" s="162" t="s">
        <v>174</v>
      </c>
      <c r="Y442" s="163" t="str">
        <f>IFERROR(VLOOKUP(X442,TD!$J$51:$K$64,2,0)," ")</f>
        <v>Infraestructura física, mantenimiento y dotación (Sedes construidas, mantenidas reforzadas)</v>
      </c>
      <c r="Z442" s="164" t="str">
        <f t="shared" si="24"/>
        <v>08-Infraestructura física, mantenimiento y dotación (Sedes construidas, mantenidas reforzadas)</v>
      </c>
      <c r="AA442" s="162" t="s">
        <v>227</v>
      </c>
      <c r="AB442" s="163" t="str">
        <f>IFERROR(VLOOKUP(AA442,TD!$N$51:$O$66,2,0)," ")</f>
        <v>Sedes mantenidas</v>
      </c>
      <c r="AC442" s="164" t="str">
        <f t="shared" si="25"/>
        <v>016_Sedes mantenidas</v>
      </c>
      <c r="AD442" s="164" t="str">
        <f t="shared" si="26"/>
        <v>08-Infraestructura física, mantenimiento y dotación (Sedes construidas, mantenidas reforzadas) 016_Sedes mantenidas</v>
      </c>
      <c r="AE442" s="163" t="str">
        <f t="shared" si="27"/>
        <v>O23011745992024020708016</v>
      </c>
      <c r="AF442" s="163" t="str">
        <f>IFERROR(VLOOKUP(AD442,TD!$J$66:$K$89,2,0)," ")</f>
        <v>PM/0131/0108/45990160207</v>
      </c>
      <c r="AG442" s="118" t="s">
        <v>385</v>
      </c>
      <c r="AH442" s="162" t="s">
        <v>193</v>
      </c>
      <c r="AI442" s="165" t="str">
        <f>CONCATENATE(PAA[[#This Row],[Id Interno]],"-",PAA[[#This Row],[tipo de Contrato (TH talento humano - B/S bienes y/o servicios)]],"-",S442,"-",T442,"-",PAA[[#This Row],[Objeto de la contratación]])</f>
        <v>20260423-TH-8126-9-Prestación de servicios de apoyo a la gestión documental de la Subdirección de Gestión Corporativa de la Unidad.-SGC</v>
      </c>
    </row>
    <row r="443" spans="2:35" ht="56" x14ac:dyDescent="0.35">
      <c r="B443" s="23">
        <v>20260424</v>
      </c>
      <c r="C443" s="99" t="s">
        <v>677</v>
      </c>
      <c r="D443" s="23" t="s">
        <v>105</v>
      </c>
      <c r="E443" s="23" t="s">
        <v>363</v>
      </c>
      <c r="F443" s="159" t="s">
        <v>145</v>
      </c>
      <c r="G443" s="160" t="s">
        <v>373</v>
      </c>
      <c r="H443" s="161">
        <v>11</v>
      </c>
      <c r="I443" s="161">
        <v>0</v>
      </c>
      <c r="J443" s="127">
        <v>34100000</v>
      </c>
      <c r="K443" s="88" t="s">
        <v>398</v>
      </c>
      <c r="L443" s="159" t="s">
        <v>155</v>
      </c>
      <c r="M443" s="162" t="s">
        <v>422</v>
      </c>
      <c r="N443" s="23" t="s">
        <v>197</v>
      </c>
      <c r="O443" s="150" t="s">
        <v>925</v>
      </c>
      <c r="P443" s="159" t="s">
        <v>348</v>
      </c>
      <c r="Q443" s="53" t="s">
        <v>753</v>
      </c>
      <c r="R443" s="162" t="s">
        <v>208</v>
      </c>
      <c r="S443" s="162" t="str">
        <f>MID(PAA[[#This Row],[Meta Proyecto de Inversión]],1,4)</f>
        <v>8126</v>
      </c>
      <c r="T443" s="162" t="str">
        <f>MID(PAA[[#This Row],[Meta Proyecto de Inversión]],6,1)</f>
        <v>9</v>
      </c>
      <c r="U443" s="163" t="str">
        <f>IFERROR(VLOOKUP(N443,TD!$B$50:$F$54,2,0)," ")</f>
        <v>O230117</v>
      </c>
      <c r="V443" s="163" t="str">
        <f>IFERROR(VLOOKUP(N443,TD!$B$50:$F$54,3,0)," ")</f>
        <v>4599</v>
      </c>
      <c r="W443" s="163">
        <f>IFERROR(VLOOKUP(N443,TD!$B$50:$F$54,4,0)," ")</f>
        <v>20240207</v>
      </c>
      <c r="X443" s="162" t="s">
        <v>174</v>
      </c>
      <c r="Y443" s="163" t="str">
        <f>IFERROR(VLOOKUP(X443,TD!$J$51:$K$64,2,0)," ")</f>
        <v>Infraestructura física, mantenimiento y dotación (Sedes construidas, mantenidas reforzadas)</v>
      </c>
      <c r="Z443" s="164" t="str">
        <f t="shared" si="24"/>
        <v>08-Infraestructura física, mantenimiento y dotación (Sedes construidas, mantenidas reforzadas)</v>
      </c>
      <c r="AA443" s="162" t="s">
        <v>227</v>
      </c>
      <c r="AB443" s="163" t="str">
        <f>IFERROR(VLOOKUP(AA443,TD!$N$51:$O$66,2,0)," ")</f>
        <v>Sedes mantenidas</v>
      </c>
      <c r="AC443" s="164" t="str">
        <f t="shared" si="25"/>
        <v>016_Sedes mantenidas</v>
      </c>
      <c r="AD443" s="164" t="str">
        <f t="shared" si="26"/>
        <v>08-Infraestructura física, mantenimiento y dotación (Sedes construidas, mantenidas reforzadas) 016_Sedes mantenidas</v>
      </c>
      <c r="AE443" s="163" t="str">
        <f t="shared" si="27"/>
        <v>O23011745992024020708016</v>
      </c>
      <c r="AF443" s="163" t="str">
        <f>IFERROR(VLOOKUP(AD443,TD!$J$66:$K$89,2,0)," ")</f>
        <v>PM/0131/0108/45990160207</v>
      </c>
      <c r="AG443" s="118" t="s">
        <v>385</v>
      </c>
      <c r="AH443" s="162" t="s">
        <v>193</v>
      </c>
      <c r="AI443" s="165" t="str">
        <f>CONCATENATE(PAA[[#This Row],[Id Interno]],"-",PAA[[#This Row],[tipo de Contrato (TH talento humano - B/S bienes y/o servicios)]],"-",S443,"-",T443,"-",PAA[[#This Row],[Objeto de la contratación]])</f>
        <v>20260424-TH-8126-9-Prestación de servicios de apoyo a la gestión documental de la Subdirección de Gestión Corporativa de la Unidad.-SGC</v>
      </c>
    </row>
    <row r="444" spans="2:35" ht="70" x14ac:dyDescent="0.35">
      <c r="B444" s="23">
        <v>20260425</v>
      </c>
      <c r="C444" s="99" t="s">
        <v>678</v>
      </c>
      <c r="D444" s="23" t="s">
        <v>105</v>
      </c>
      <c r="E444" s="23" t="s">
        <v>363</v>
      </c>
      <c r="F444" s="159" t="s">
        <v>144</v>
      </c>
      <c r="G444" s="160" t="s">
        <v>373</v>
      </c>
      <c r="H444" s="161">
        <v>11</v>
      </c>
      <c r="I444" s="161">
        <v>0</v>
      </c>
      <c r="J444" s="127">
        <v>56772000</v>
      </c>
      <c r="K444" s="88" t="s">
        <v>398</v>
      </c>
      <c r="L444" s="159" t="s">
        <v>155</v>
      </c>
      <c r="M444" s="162" t="s">
        <v>422</v>
      </c>
      <c r="N444" s="23" t="s">
        <v>197</v>
      </c>
      <c r="O444" s="150" t="s">
        <v>925</v>
      </c>
      <c r="P444" s="159" t="s">
        <v>348</v>
      </c>
      <c r="Q444" s="53" t="s">
        <v>753</v>
      </c>
      <c r="R444" s="162" t="s">
        <v>208</v>
      </c>
      <c r="S444" s="162" t="str">
        <f>MID(PAA[[#This Row],[Meta Proyecto de Inversión]],1,4)</f>
        <v>8126</v>
      </c>
      <c r="T444" s="162" t="str">
        <f>MID(PAA[[#This Row],[Meta Proyecto de Inversión]],6,1)</f>
        <v>9</v>
      </c>
      <c r="U444" s="163" t="str">
        <f>IFERROR(VLOOKUP(N444,TD!$B$50:$F$54,2,0)," ")</f>
        <v>O230117</v>
      </c>
      <c r="V444" s="163" t="str">
        <f>IFERROR(VLOOKUP(N444,TD!$B$50:$F$54,3,0)," ")</f>
        <v>4599</v>
      </c>
      <c r="W444" s="163">
        <f>IFERROR(VLOOKUP(N444,TD!$B$50:$F$54,4,0)," ")</f>
        <v>20240207</v>
      </c>
      <c r="X444" s="162" t="s">
        <v>174</v>
      </c>
      <c r="Y444" s="163" t="str">
        <f>IFERROR(VLOOKUP(X444,TD!$J$51:$K$64,2,0)," ")</f>
        <v>Infraestructura física, mantenimiento y dotación (Sedes construidas, mantenidas reforzadas)</v>
      </c>
      <c r="Z444" s="164" t="str">
        <f t="shared" si="24"/>
        <v>08-Infraestructura física, mantenimiento y dotación (Sedes construidas, mantenidas reforzadas)</v>
      </c>
      <c r="AA444" s="162" t="s">
        <v>227</v>
      </c>
      <c r="AB444" s="163" t="str">
        <f>IFERROR(VLOOKUP(AA444,TD!$N$51:$O$66,2,0)," ")</f>
        <v>Sedes mantenidas</v>
      </c>
      <c r="AC444" s="164" t="str">
        <f t="shared" si="25"/>
        <v>016_Sedes mantenidas</v>
      </c>
      <c r="AD444" s="164" t="str">
        <f t="shared" si="26"/>
        <v>08-Infraestructura física, mantenimiento y dotación (Sedes construidas, mantenidas reforzadas) 016_Sedes mantenidas</v>
      </c>
      <c r="AE444" s="163" t="str">
        <f t="shared" si="27"/>
        <v>O23011745992024020708016</v>
      </c>
      <c r="AF444" s="163" t="str">
        <f>IFERROR(VLOOKUP(AD444,TD!$J$66:$K$89,2,0)," ")</f>
        <v>PM/0131/0108/45990160207</v>
      </c>
      <c r="AG444" s="118" t="s">
        <v>385</v>
      </c>
      <c r="AH444" s="162" t="s">
        <v>193</v>
      </c>
      <c r="AI444" s="165" t="str">
        <f>CONCATENATE(PAA[[#This Row],[Id Interno]],"-",PAA[[#This Row],[tipo de Contrato (TH talento humano - B/S bienes y/o servicios)]],"-",S444,"-",T444,"-",PAA[[#This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5" spans="2:35" ht="70" x14ac:dyDescent="0.35">
      <c r="B445" s="23">
        <v>20260426</v>
      </c>
      <c r="C445" s="99" t="s">
        <v>678</v>
      </c>
      <c r="D445" s="23" t="s">
        <v>105</v>
      </c>
      <c r="E445" s="23" t="s">
        <v>363</v>
      </c>
      <c r="F445" s="159" t="s">
        <v>144</v>
      </c>
      <c r="G445" s="160" t="s">
        <v>373</v>
      </c>
      <c r="H445" s="161">
        <v>11</v>
      </c>
      <c r="I445" s="161">
        <v>0</v>
      </c>
      <c r="J445" s="127">
        <v>56772000</v>
      </c>
      <c r="K445" s="88" t="s">
        <v>398</v>
      </c>
      <c r="L445" s="159" t="s">
        <v>155</v>
      </c>
      <c r="M445" s="162" t="s">
        <v>422</v>
      </c>
      <c r="N445" s="23" t="s">
        <v>197</v>
      </c>
      <c r="O445" s="150" t="s">
        <v>925</v>
      </c>
      <c r="P445" s="159" t="s">
        <v>348</v>
      </c>
      <c r="Q445" s="53" t="s">
        <v>753</v>
      </c>
      <c r="R445" s="162" t="s">
        <v>208</v>
      </c>
      <c r="S445" s="162" t="str">
        <f>MID(PAA[[#This Row],[Meta Proyecto de Inversión]],1,4)</f>
        <v>8126</v>
      </c>
      <c r="T445" s="162" t="str">
        <f>MID(PAA[[#This Row],[Meta Proyecto de Inversión]],6,1)</f>
        <v>9</v>
      </c>
      <c r="U445" s="163" t="str">
        <f>IFERROR(VLOOKUP(N445,TD!$B$50:$F$54,2,0)," ")</f>
        <v>O230117</v>
      </c>
      <c r="V445" s="163" t="str">
        <f>IFERROR(VLOOKUP(N445,TD!$B$50:$F$54,3,0)," ")</f>
        <v>4599</v>
      </c>
      <c r="W445" s="163">
        <f>IFERROR(VLOOKUP(N445,TD!$B$50:$F$54,4,0)," ")</f>
        <v>20240207</v>
      </c>
      <c r="X445" s="162" t="s">
        <v>174</v>
      </c>
      <c r="Y445" s="163" t="str">
        <f>IFERROR(VLOOKUP(X445,TD!$J$51:$K$64,2,0)," ")</f>
        <v>Infraestructura física, mantenimiento y dotación (Sedes construidas, mantenidas reforzadas)</v>
      </c>
      <c r="Z445" s="164" t="str">
        <f t="shared" si="24"/>
        <v>08-Infraestructura física, mantenimiento y dotación (Sedes construidas, mantenidas reforzadas)</v>
      </c>
      <c r="AA445" s="162" t="s">
        <v>227</v>
      </c>
      <c r="AB445" s="163" t="str">
        <f>IFERROR(VLOOKUP(AA445,TD!$N$51:$O$66,2,0)," ")</f>
        <v>Sedes mantenidas</v>
      </c>
      <c r="AC445" s="164" t="str">
        <f t="shared" si="25"/>
        <v>016_Sedes mantenidas</v>
      </c>
      <c r="AD445" s="164" t="str">
        <f t="shared" si="26"/>
        <v>08-Infraestructura física, mantenimiento y dotación (Sedes construidas, mantenidas reforzadas) 016_Sedes mantenidas</v>
      </c>
      <c r="AE445" s="163" t="str">
        <f t="shared" si="27"/>
        <v>O23011745992024020708016</v>
      </c>
      <c r="AF445" s="163" t="str">
        <f>IFERROR(VLOOKUP(AD445,TD!$J$66:$K$89,2,0)," ")</f>
        <v>PM/0131/0108/45990160207</v>
      </c>
      <c r="AG445" s="118" t="s">
        <v>385</v>
      </c>
      <c r="AH445" s="162" t="s">
        <v>193</v>
      </c>
      <c r="AI445" s="165" t="str">
        <f>CONCATENATE(PAA[[#This Row],[Id Interno]],"-",PAA[[#This Row],[tipo de Contrato (TH talento humano - B/S bienes y/o servicios)]],"-",S445,"-",T445,"-",PAA[[#This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6" spans="2:35" ht="56" x14ac:dyDescent="0.35">
      <c r="B446" s="23">
        <v>20260427</v>
      </c>
      <c r="C446" s="99" t="s">
        <v>679</v>
      </c>
      <c r="D446" s="23" t="s">
        <v>105</v>
      </c>
      <c r="E446" s="23" t="s">
        <v>363</v>
      </c>
      <c r="F446" s="159" t="s">
        <v>144</v>
      </c>
      <c r="G446" s="160" t="s">
        <v>373</v>
      </c>
      <c r="H446" s="161">
        <v>11</v>
      </c>
      <c r="I446" s="161">
        <v>0</v>
      </c>
      <c r="J446" s="127">
        <v>75204000</v>
      </c>
      <c r="K446" s="88" t="s">
        <v>398</v>
      </c>
      <c r="L446" s="159" t="s">
        <v>155</v>
      </c>
      <c r="M446" s="162" t="s">
        <v>422</v>
      </c>
      <c r="N446" s="23" t="s">
        <v>197</v>
      </c>
      <c r="O446" s="150" t="s">
        <v>925</v>
      </c>
      <c r="P446" s="159" t="s">
        <v>348</v>
      </c>
      <c r="Q446" s="53" t="s">
        <v>753</v>
      </c>
      <c r="R446" s="162" t="s">
        <v>208</v>
      </c>
      <c r="S446" s="162" t="str">
        <f>MID(PAA[[#This Row],[Meta Proyecto de Inversión]],1,4)</f>
        <v>8126</v>
      </c>
      <c r="T446" s="162" t="str">
        <f>MID(PAA[[#This Row],[Meta Proyecto de Inversión]],6,1)</f>
        <v>9</v>
      </c>
      <c r="U446" s="163" t="str">
        <f>IFERROR(VLOOKUP(N446,TD!$B$50:$F$54,2,0)," ")</f>
        <v>O230117</v>
      </c>
      <c r="V446" s="163" t="str">
        <f>IFERROR(VLOOKUP(N446,TD!$B$50:$F$54,3,0)," ")</f>
        <v>4599</v>
      </c>
      <c r="W446" s="163">
        <f>IFERROR(VLOOKUP(N446,TD!$B$50:$F$54,4,0)," ")</f>
        <v>20240207</v>
      </c>
      <c r="X446" s="162" t="s">
        <v>174</v>
      </c>
      <c r="Y446" s="163" t="str">
        <f>IFERROR(VLOOKUP(X446,TD!$J$51:$K$64,2,0)," ")</f>
        <v>Infraestructura física, mantenimiento y dotación (Sedes construidas, mantenidas reforzadas)</v>
      </c>
      <c r="Z446" s="164" t="str">
        <f t="shared" si="24"/>
        <v>08-Infraestructura física, mantenimiento y dotación (Sedes construidas, mantenidas reforzadas)</v>
      </c>
      <c r="AA446" s="162" t="s">
        <v>227</v>
      </c>
      <c r="AB446" s="163" t="str">
        <f>IFERROR(VLOOKUP(AA446,TD!$N$51:$O$66,2,0)," ")</f>
        <v>Sedes mantenidas</v>
      </c>
      <c r="AC446" s="164" t="str">
        <f t="shared" si="25"/>
        <v>016_Sedes mantenidas</v>
      </c>
      <c r="AD446" s="164" t="str">
        <f t="shared" si="26"/>
        <v>08-Infraestructura física, mantenimiento y dotación (Sedes construidas, mantenidas reforzadas) 016_Sedes mantenidas</v>
      </c>
      <c r="AE446" s="163" t="str">
        <f t="shared" si="27"/>
        <v>O23011745992024020708016</v>
      </c>
      <c r="AF446" s="163" t="str">
        <f>IFERROR(VLOOKUP(AD446,TD!$J$66:$K$89,2,0)," ")</f>
        <v>PM/0131/0108/45990160207</v>
      </c>
      <c r="AG446" s="118" t="s">
        <v>385</v>
      </c>
      <c r="AH446" s="162" t="s">
        <v>193</v>
      </c>
      <c r="AI446" s="165" t="str">
        <f>CONCATENATE(PAA[[#This Row],[Id Interno]],"-",PAA[[#This Row],[tipo de Contrato (TH talento humano - B/S bienes y/o servicios)]],"-",S446,"-",T446,"-",PAA[[#This Row],[Objeto de la contratación]])</f>
        <v>20260427-TH-8126-9-Prestar los servicios profesionales para la gestión administrativa y operativa de la Subdirección de Gestión Corporativa en el proceso de adquisición de bienes y servicios - SGC</v>
      </c>
    </row>
    <row r="447" spans="2:35" ht="56" x14ac:dyDescent="0.35">
      <c r="B447" s="23">
        <v>20260428</v>
      </c>
      <c r="C447" s="160" t="s">
        <v>680</v>
      </c>
      <c r="D447" s="23" t="s">
        <v>105</v>
      </c>
      <c r="E447" s="23" t="s">
        <v>363</v>
      </c>
      <c r="F447" s="159" t="s">
        <v>145</v>
      </c>
      <c r="G447" s="160" t="s">
        <v>373</v>
      </c>
      <c r="H447" s="161">
        <v>11</v>
      </c>
      <c r="I447" s="161">
        <v>0</v>
      </c>
      <c r="J447" s="127">
        <v>38060000</v>
      </c>
      <c r="K447" s="88" t="s">
        <v>398</v>
      </c>
      <c r="L447" s="159" t="s">
        <v>155</v>
      </c>
      <c r="M447" s="162" t="s">
        <v>422</v>
      </c>
      <c r="N447" s="23" t="s">
        <v>197</v>
      </c>
      <c r="O447" s="150" t="s">
        <v>925</v>
      </c>
      <c r="P447" s="159" t="s">
        <v>348</v>
      </c>
      <c r="Q447" s="53" t="s">
        <v>753</v>
      </c>
      <c r="R447" s="162" t="s">
        <v>208</v>
      </c>
      <c r="S447" s="162" t="str">
        <f>MID(PAA[[#This Row],[Meta Proyecto de Inversión]],1,4)</f>
        <v>8126</v>
      </c>
      <c r="T447" s="162" t="str">
        <f>MID(PAA[[#This Row],[Meta Proyecto de Inversión]],6,1)</f>
        <v>9</v>
      </c>
      <c r="U447" s="163" t="str">
        <f>IFERROR(VLOOKUP(N447,TD!$B$50:$F$54,2,0)," ")</f>
        <v>O230117</v>
      </c>
      <c r="V447" s="163" t="str">
        <f>IFERROR(VLOOKUP(N447,TD!$B$50:$F$54,3,0)," ")</f>
        <v>4599</v>
      </c>
      <c r="W447" s="163">
        <f>IFERROR(VLOOKUP(N447,TD!$B$50:$F$54,4,0)," ")</f>
        <v>20240207</v>
      </c>
      <c r="X447" s="162" t="s">
        <v>174</v>
      </c>
      <c r="Y447" s="163" t="str">
        <f>IFERROR(VLOOKUP(X447,TD!$J$51:$K$64,2,0)," ")</f>
        <v>Infraestructura física, mantenimiento y dotación (Sedes construidas, mantenidas reforzadas)</v>
      </c>
      <c r="Z447" s="164" t="str">
        <f t="shared" si="24"/>
        <v>08-Infraestructura física, mantenimiento y dotación (Sedes construidas, mantenidas reforzadas)</v>
      </c>
      <c r="AA447" s="162" t="s">
        <v>227</v>
      </c>
      <c r="AB447" s="163" t="str">
        <f>IFERROR(VLOOKUP(AA447,TD!$N$51:$O$66,2,0)," ")</f>
        <v>Sedes mantenidas</v>
      </c>
      <c r="AC447" s="164" t="str">
        <f t="shared" si="25"/>
        <v>016_Sedes mantenidas</v>
      </c>
      <c r="AD447" s="164" t="str">
        <f t="shared" si="26"/>
        <v>08-Infraestructura física, mantenimiento y dotación (Sedes construidas, mantenidas reforzadas) 016_Sedes mantenidas</v>
      </c>
      <c r="AE447" s="163" t="str">
        <f t="shared" si="27"/>
        <v>O23011745992024020708016</v>
      </c>
      <c r="AF447" s="163" t="str">
        <f>IFERROR(VLOOKUP(AD447,TD!$J$66:$K$89,2,0)," ")</f>
        <v>PM/0131/0108/45990160207</v>
      </c>
      <c r="AG447" s="118" t="s">
        <v>385</v>
      </c>
      <c r="AH447" s="162" t="s">
        <v>193</v>
      </c>
      <c r="AI447" s="165" t="str">
        <f>CONCATENATE(PAA[[#This Row],[Id Interno]],"-",PAA[[#This Row],[tipo de Contrato (TH talento humano - B/S bienes y/o servicios)]],"-",S447,"-",T447,"-",PAA[[#This Row],[Objeto de la contratación]])</f>
        <v>20260428-TH-8126-9-Prestar los servicios como conductor de la Subdirección de Gestión Corporativa -SGC</v>
      </c>
    </row>
    <row r="448" spans="2:35" ht="56" x14ac:dyDescent="0.35">
      <c r="B448" s="23">
        <v>20260429</v>
      </c>
      <c r="C448" s="160" t="s">
        <v>681</v>
      </c>
      <c r="D448" s="23" t="s">
        <v>105</v>
      </c>
      <c r="E448" s="23" t="s">
        <v>363</v>
      </c>
      <c r="F448" s="159" t="s">
        <v>144</v>
      </c>
      <c r="G448" s="160" t="s">
        <v>373</v>
      </c>
      <c r="H448" s="161">
        <v>11</v>
      </c>
      <c r="I448" s="161">
        <v>0</v>
      </c>
      <c r="J448" s="127">
        <v>75204000</v>
      </c>
      <c r="K448" s="88" t="s">
        <v>398</v>
      </c>
      <c r="L448" s="159" t="s">
        <v>155</v>
      </c>
      <c r="M448" s="162" t="s">
        <v>422</v>
      </c>
      <c r="N448" s="23" t="s">
        <v>197</v>
      </c>
      <c r="O448" s="150" t="s">
        <v>925</v>
      </c>
      <c r="P448" s="159" t="s">
        <v>348</v>
      </c>
      <c r="Q448" s="53" t="s">
        <v>753</v>
      </c>
      <c r="R448" s="162" t="s">
        <v>208</v>
      </c>
      <c r="S448" s="162" t="str">
        <f>MID(PAA[[#This Row],[Meta Proyecto de Inversión]],1,4)</f>
        <v>8126</v>
      </c>
      <c r="T448" s="162" t="str">
        <f>MID(PAA[[#This Row],[Meta Proyecto de Inversión]],6,1)</f>
        <v>9</v>
      </c>
      <c r="U448" s="163" t="str">
        <f>IFERROR(VLOOKUP(N448,TD!$B$50:$F$54,2,0)," ")</f>
        <v>O230117</v>
      </c>
      <c r="V448" s="163" t="str">
        <f>IFERROR(VLOOKUP(N448,TD!$B$50:$F$54,3,0)," ")</f>
        <v>4599</v>
      </c>
      <c r="W448" s="163">
        <f>IFERROR(VLOOKUP(N448,TD!$B$50:$F$54,4,0)," ")</f>
        <v>20240207</v>
      </c>
      <c r="X448" s="162" t="s">
        <v>174</v>
      </c>
      <c r="Y448" s="163" t="str">
        <f>IFERROR(VLOOKUP(X448,TD!$J$51:$K$64,2,0)," ")</f>
        <v>Infraestructura física, mantenimiento y dotación (Sedes construidas, mantenidas reforzadas)</v>
      </c>
      <c r="Z448" s="164" t="str">
        <f t="shared" si="24"/>
        <v>08-Infraestructura física, mantenimiento y dotación (Sedes construidas, mantenidas reforzadas)</v>
      </c>
      <c r="AA448" s="162" t="s">
        <v>227</v>
      </c>
      <c r="AB448" s="163" t="str">
        <f>IFERROR(VLOOKUP(AA448,TD!$N$51:$O$66,2,0)," ")</f>
        <v>Sedes mantenidas</v>
      </c>
      <c r="AC448" s="164" t="str">
        <f t="shared" si="25"/>
        <v>016_Sedes mantenidas</v>
      </c>
      <c r="AD448" s="164" t="str">
        <f t="shared" si="26"/>
        <v>08-Infraestructura física, mantenimiento y dotación (Sedes construidas, mantenidas reforzadas) 016_Sedes mantenidas</v>
      </c>
      <c r="AE448" s="163" t="str">
        <f t="shared" si="27"/>
        <v>O23011745992024020708016</v>
      </c>
      <c r="AF448" s="163" t="str">
        <f>IFERROR(VLOOKUP(AD448,TD!$J$66:$K$89,2,0)," ")</f>
        <v>PM/0131/0108/45990160207</v>
      </c>
      <c r="AG448" s="118" t="s">
        <v>385</v>
      </c>
      <c r="AH448" s="162" t="s">
        <v>193</v>
      </c>
      <c r="AI448" s="165" t="str">
        <f>CONCATENATE(PAA[[#This Row],[Id Interno]],"-",PAA[[#This Row],[tipo de Contrato (TH talento humano - B/S bienes y/o servicios)]],"-",S448,"-",T448,"-",PAA[[#This Row],[Objeto de la contratación]])</f>
        <v>20260429-TH-8126-9-Prestar servicios profesionales en la Subdirección de Gestión Corporativa en el marco de las actividades administrativas de la Dependencia.-SGC</v>
      </c>
    </row>
    <row r="449" spans="2:35" ht="56" x14ac:dyDescent="0.35">
      <c r="B449" s="23">
        <v>20260430</v>
      </c>
      <c r="C449" s="160" t="s">
        <v>661</v>
      </c>
      <c r="D449" s="23" t="s">
        <v>105</v>
      </c>
      <c r="E449" s="23" t="s">
        <v>363</v>
      </c>
      <c r="F449" s="159" t="s">
        <v>144</v>
      </c>
      <c r="G449" s="160" t="s">
        <v>373</v>
      </c>
      <c r="H449" s="161">
        <v>11</v>
      </c>
      <c r="I449" s="161">
        <v>0</v>
      </c>
      <c r="J449" s="127">
        <v>99000000</v>
      </c>
      <c r="K449" s="88" t="s">
        <v>398</v>
      </c>
      <c r="L449" s="159" t="s">
        <v>155</v>
      </c>
      <c r="M449" s="162" t="s">
        <v>422</v>
      </c>
      <c r="N449" s="23" t="s">
        <v>198</v>
      </c>
      <c r="O449" s="150" t="s">
        <v>926</v>
      </c>
      <c r="P449" s="159" t="s">
        <v>348</v>
      </c>
      <c r="Q449" s="53" t="s">
        <v>753</v>
      </c>
      <c r="R449" s="162" t="s">
        <v>216</v>
      </c>
      <c r="S449" s="162" t="str">
        <f>MID(PAA[[#This Row],[Meta Proyecto de Inversión]],1,4)</f>
        <v>8173</v>
      </c>
      <c r="T449" s="162" t="str">
        <f>MID(PAA[[#This Row],[Meta Proyecto de Inversión]],6,1)</f>
        <v>7</v>
      </c>
      <c r="U449" s="163" t="str">
        <f>IFERROR(VLOOKUP(N449,TD!$B$50:$F$54,2,0)," ")</f>
        <v>O230117</v>
      </c>
      <c r="V449" s="163" t="str">
        <f>IFERROR(VLOOKUP(N449,TD!$B$50:$F$54,3,0)," ")</f>
        <v>4503</v>
      </c>
      <c r="W449" s="163">
        <f>IFERROR(VLOOKUP(N449,TD!$B$50:$F$54,4,0)," ")</f>
        <v>20240255</v>
      </c>
      <c r="X449" s="162">
        <v>14</v>
      </c>
      <c r="Y449" s="163" t="str">
        <f>IFERROR(VLOOKUP(X449,TD!$J$51:$K$64,2,0)," ")</f>
        <v xml:space="preserve">Infraestructura física misional construida mantenida y dotada </v>
      </c>
      <c r="Z449" s="164" t="str">
        <f t="shared" si="24"/>
        <v xml:space="preserve">14-Infraestructura física misional construida mantenida y dotada </v>
      </c>
      <c r="AA449" s="162" t="s">
        <v>225</v>
      </c>
      <c r="AB449" s="163" t="str">
        <f>IFERROR(VLOOKUP(AA449,TD!$N$51:$O$66,2,0)," ")</f>
        <v>Estaciones de bomberos adecuadas</v>
      </c>
      <c r="AC449" s="164" t="str">
        <f t="shared" si="25"/>
        <v>014_Estaciones de bomberos adecuadas</v>
      </c>
      <c r="AD449" s="164" t="str">
        <f t="shared" si="26"/>
        <v>14-Infraestructura física misional construida mantenida y dotada  014_Estaciones de bomberos adecuadas</v>
      </c>
      <c r="AE449" s="163" t="str">
        <f t="shared" si="27"/>
        <v>O23011745032024025514014</v>
      </c>
      <c r="AF449" s="163" t="str">
        <f>IFERROR(VLOOKUP(AD449,TD!$J$66:$K$89,2,0)," ")</f>
        <v>PM/0131/0114/45030140255</v>
      </c>
      <c r="AG449" s="118" t="s">
        <v>385</v>
      </c>
      <c r="AH449" s="162" t="s">
        <v>193</v>
      </c>
      <c r="AI449" s="165" t="str">
        <f>CONCATENATE(PAA[[#This Row],[Id Interno]],"-",PAA[[#This Row],[tipo de Contrato (TH talento humano - B/S bienes y/o servicios)]],"-",S449,"-",T449,"-",PAA[[#This Row],[Objeto de la contratación]])</f>
        <v>20260430-TH-8173-7-Prestación de servicios profesionales para apoyar las actividades de estructuración de procesos contractuales del Área de Infraestructura de la Subdirección de Gestión Corporativa-SGC</v>
      </c>
    </row>
    <row r="450" spans="2:35" ht="56" x14ac:dyDescent="0.35">
      <c r="B450" s="23">
        <v>20260431</v>
      </c>
      <c r="C450" s="160" t="s">
        <v>671</v>
      </c>
      <c r="D450" s="23" t="s">
        <v>105</v>
      </c>
      <c r="E450" s="23" t="s">
        <v>363</v>
      </c>
      <c r="F450" s="159" t="s">
        <v>144</v>
      </c>
      <c r="G450" s="160" t="s">
        <v>373</v>
      </c>
      <c r="H450" s="161">
        <v>11</v>
      </c>
      <c r="I450" s="161">
        <v>0</v>
      </c>
      <c r="J450" s="127">
        <v>81103000</v>
      </c>
      <c r="K450" s="88" t="s">
        <v>398</v>
      </c>
      <c r="L450" s="159" t="s">
        <v>155</v>
      </c>
      <c r="M450" s="162" t="s">
        <v>422</v>
      </c>
      <c r="N450" s="23" t="s">
        <v>198</v>
      </c>
      <c r="O450" s="150" t="s">
        <v>926</v>
      </c>
      <c r="P450" s="159" t="s">
        <v>348</v>
      </c>
      <c r="Q450" s="53" t="s">
        <v>753</v>
      </c>
      <c r="R450" s="162" t="s">
        <v>216</v>
      </c>
      <c r="S450" s="162" t="str">
        <f>MID(PAA[[#This Row],[Meta Proyecto de Inversión]],1,4)</f>
        <v>8173</v>
      </c>
      <c r="T450" s="162" t="str">
        <f>MID(PAA[[#This Row],[Meta Proyecto de Inversión]],6,1)</f>
        <v>7</v>
      </c>
      <c r="U450" s="163" t="str">
        <f>IFERROR(VLOOKUP(N450,TD!$B$50:$F$54,2,0)," ")</f>
        <v>O230117</v>
      </c>
      <c r="V450" s="163" t="str">
        <f>IFERROR(VLOOKUP(N450,TD!$B$50:$F$54,3,0)," ")</f>
        <v>4503</v>
      </c>
      <c r="W450" s="163">
        <f>IFERROR(VLOOKUP(N450,TD!$B$50:$F$54,4,0)," ")</f>
        <v>20240255</v>
      </c>
      <c r="X450" s="162">
        <v>14</v>
      </c>
      <c r="Y450" s="163" t="str">
        <f>IFERROR(VLOOKUP(X450,TD!$J$51:$K$64,2,0)," ")</f>
        <v xml:space="preserve">Infraestructura física misional construida mantenida y dotada </v>
      </c>
      <c r="Z450" s="164" t="str">
        <f t="shared" si="24"/>
        <v xml:space="preserve">14-Infraestructura física misional construida mantenida y dotada </v>
      </c>
      <c r="AA450" s="162" t="s">
        <v>225</v>
      </c>
      <c r="AB450" s="163" t="str">
        <f>IFERROR(VLOOKUP(AA450,TD!$N$51:$O$66,2,0)," ")</f>
        <v>Estaciones de bomberos adecuadas</v>
      </c>
      <c r="AC450" s="164" t="str">
        <f t="shared" si="25"/>
        <v>014_Estaciones de bomberos adecuadas</v>
      </c>
      <c r="AD450" s="164" t="str">
        <f t="shared" si="26"/>
        <v>14-Infraestructura física misional construida mantenida y dotada  014_Estaciones de bomberos adecuadas</v>
      </c>
      <c r="AE450" s="163" t="str">
        <f t="shared" si="27"/>
        <v>O23011745032024025514014</v>
      </c>
      <c r="AF450" s="163" t="str">
        <f>IFERROR(VLOOKUP(AD450,TD!$J$66:$K$89,2,0)," ")</f>
        <v>PM/0131/0114/45030140255</v>
      </c>
      <c r="AG450" s="118" t="s">
        <v>385</v>
      </c>
      <c r="AH450" s="162" t="s">
        <v>193</v>
      </c>
      <c r="AI450" s="165" t="str">
        <f>CONCATENATE(PAA[[#This Row],[Id Interno]],"-",PAA[[#This Row],[tipo de Contrato (TH talento humano - B/S bienes y/o servicios)]],"-",S450,"-",T450,"-",PAA[[#This Row],[Objeto de la contratación]])</f>
        <v>20260431-TH-8173-7-Prestar servicios profesionales para realizar acompañamiento juridico en la elaboración de los procesos contractuales adelantados por la Subdirección Gestión Corporativa -SGC</v>
      </c>
    </row>
    <row r="451" spans="2:35" ht="56" x14ac:dyDescent="0.35">
      <c r="B451" s="23">
        <v>20260432</v>
      </c>
      <c r="C451" s="160" t="s">
        <v>682</v>
      </c>
      <c r="D451" s="23" t="s">
        <v>105</v>
      </c>
      <c r="E451" s="23" t="s">
        <v>363</v>
      </c>
      <c r="F451" s="159" t="s">
        <v>144</v>
      </c>
      <c r="G451" s="160" t="s">
        <v>373</v>
      </c>
      <c r="H451" s="136">
        <v>11</v>
      </c>
      <c r="I451" s="161">
        <v>0</v>
      </c>
      <c r="J451" s="118">
        <v>81103000</v>
      </c>
      <c r="K451" s="88" t="s">
        <v>398</v>
      </c>
      <c r="L451" s="159" t="s">
        <v>155</v>
      </c>
      <c r="M451" s="162" t="s">
        <v>422</v>
      </c>
      <c r="N451" s="23" t="s">
        <v>197</v>
      </c>
      <c r="O451" s="150" t="s">
        <v>925</v>
      </c>
      <c r="P451" s="159" t="s">
        <v>348</v>
      </c>
      <c r="Q451" s="53" t="s">
        <v>753</v>
      </c>
      <c r="R451" s="162" t="s">
        <v>207</v>
      </c>
      <c r="S451" s="162" t="str">
        <f>MID(PAA[[#This Row],[Meta Proyecto de Inversión]],1,4)</f>
        <v>8126</v>
      </c>
      <c r="T451" s="162" t="str">
        <f>MID(PAA[[#This Row],[Meta Proyecto de Inversión]],6,1)</f>
        <v>8</v>
      </c>
      <c r="U451" s="163" t="str">
        <f>IFERROR(VLOOKUP(N451,TD!$B$50:$F$54,2,0)," ")</f>
        <v>O230117</v>
      </c>
      <c r="V451" s="163" t="str">
        <f>IFERROR(VLOOKUP(N451,TD!$B$50:$F$54,3,0)," ")</f>
        <v>4599</v>
      </c>
      <c r="W451" s="163">
        <f>IFERROR(VLOOKUP(N451,TD!$B$50:$F$54,4,0)," ")</f>
        <v>20240207</v>
      </c>
      <c r="X451" s="162" t="s">
        <v>174</v>
      </c>
      <c r="Y451" s="163" t="str">
        <f>IFERROR(VLOOKUP(X451,TD!$J$51:$K$64,2,0)," ")</f>
        <v>Infraestructura física, mantenimiento y dotación (Sedes construidas, mantenidas reforzadas)</v>
      </c>
      <c r="Z451" s="164" t="str">
        <f t="shared" si="24"/>
        <v>08-Infraestructura física, mantenimiento y dotación (Sedes construidas, mantenidas reforzadas)</v>
      </c>
      <c r="AA451" s="162" t="s">
        <v>227</v>
      </c>
      <c r="AB451" s="163" t="str">
        <f>IFERROR(VLOOKUP(AA451,TD!$N$51:$O$66,2,0)," ")</f>
        <v>Sedes mantenidas</v>
      </c>
      <c r="AC451" s="164" t="str">
        <f t="shared" si="25"/>
        <v>016_Sedes mantenidas</v>
      </c>
      <c r="AD451" s="164" t="str">
        <f t="shared" si="26"/>
        <v>08-Infraestructura física, mantenimiento y dotación (Sedes construidas, mantenidas reforzadas) 016_Sedes mantenidas</v>
      </c>
      <c r="AE451" s="163" t="str">
        <f t="shared" si="27"/>
        <v>O23011745992024020708016</v>
      </c>
      <c r="AF451" s="163" t="str">
        <f>IFERROR(VLOOKUP(AD451,TD!$J$66:$K$89,2,0)," ")</f>
        <v>PM/0131/0108/45990160207</v>
      </c>
      <c r="AG451" s="118" t="s">
        <v>385</v>
      </c>
      <c r="AH451" s="162" t="s">
        <v>193</v>
      </c>
      <c r="AI451" s="165" t="str">
        <f>CONCATENATE(PAA[[#This Row],[Id Interno]],"-",PAA[[#This Row],[tipo de Contrato (TH talento humano - B/S bienes y/o servicios)]],"-",S451,"-",T451,"-",PAA[[#This Row],[Objeto de la contratación]])</f>
        <v>20260432-TH-8126-8-Prestación de servicios profesionales para adelantar actividades técnicas y trámites administrativos del Área de Infraestructura de la Subdirección de Gestión Corporativa-SGC</v>
      </c>
    </row>
    <row r="452" spans="2:35" ht="56" x14ac:dyDescent="0.35">
      <c r="B452" s="23">
        <v>20260433</v>
      </c>
      <c r="C452" s="160" t="s">
        <v>683</v>
      </c>
      <c r="D452" s="23" t="s">
        <v>105</v>
      </c>
      <c r="E452" s="23" t="s">
        <v>363</v>
      </c>
      <c r="F452" s="159" t="s">
        <v>144</v>
      </c>
      <c r="G452" s="160" t="s">
        <v>373</v>
      </c>
      <c r="H452" s="161">
        <v>11</v>
      </c>
      <c r="I452" s="161">
        <v>0</v>
      </c>
      <c r="J452" s="127">
        <v>99000000</v>
      </c>
      <c r="K452" s="88" t="s">
        <v>398</v>
      </c>
      <c r="L452" s="159" t="s">
        <v>155</v>
      </c>
      <c r="M452" s="162" t="s">
        <v>422</v>
      </c>
      <c r="N452" s="23" t="s">
        <v>197</v>
      </c>
      <c r="O452" s="150" t="s">
        <v>925</v>
      </c>
      <c r="P452" s="159" t="s">
        <v>348</v>
      </c>
      <c r="Q452" s="53" t="s">
        <v>753</v>
      </c>
      <c r="R452" s="162" t="s">
        <v>207</v>
      </c>
      <c r="S452" s="162" t="str">
        <f>MID(PAA[[#This Row],[Meta Proyecto de Inversión]],1,4)</f>
        <v>8126</v>
      </c>
      <c r="T452" s="162" t="str">
        <f>MID(PAA[[#This Row],[Meta Proyecto de Inversión]],6,1)</f>
        <v>8</v>
      </c>
      <c r="U452" s="163" t="str">
        <f>IFERROR(VLOOKUP(N452,TD!$B$50:$F$54,2,0)," ")</f>
        <v>O230117</v>
      </c>
      <c r="V452" s="163" t="str">
        <f>IFERROR(VLOOKUP(N452,TD!$B$50:$F$54,3,0)," ")</f>
        <v>4599</v>
      </c>
      <c r="W452" s="163">
        <f>IFERROR(VLOOKUP(N452,TD!$B$50:$F$54,4,0)," ")</f>
        <v>20240207</v>
      </c>
      <c r="X452" s="162" t="s">
        <v>174</v>
      </c>
      <c r="Y452" s="163" t="str">
        <f>IFERROR(VLOOKUP(X452,TD!$J$51:$K$64,2,0)," ")</f>
        <v>Infraestructura física, mantenimiento y dotación (Sedes construidas, mantenidas reforzadas)</v>
      </c>
      <c r="Z452" s="164" t="str">
        <f t="shared" si="24"/>
        <v>08-Infraestructura física, mantenimiento y dotación (Sedes construidas, mantenidas reforzadas)</v>
      </c>
      <c r="AA452" s="162" t="s">
        <v>227</v>
      </c>
      <c r="AB452" s="163" t="str">
        <f>IFERROR(VLOOKUP(AA452,TD!$N$51:$O$66,2,0)," ")</f>
        <v>Sedes mantenidas</v>
      </c>
      <c r="AC452" s="164" t="str">
        <f t="shared" si="25"/>
        <v>016_Sedes mantenidas</v>
      </c>
      <c r="AD452" s="164" t="str">
        <f t="shared" si="26"/>
        <v>08-Infraestructura física, mantenimiento y dotación (Sedes construidas, mantenidas reforzadas) 016_Sedes mantenidas</v>
      </c>
      <c r="AE452" s="163" t="str">
        <f t="shared" si="27"/>
        <v>O23011745992024020708016</v>
      </c>
      <c r="AF452" s="163" t="str">
        <f>IFERROR(VLOOKUP(AD452,TD!$J$66:$K$89,2,0)," ")</f>
        <v>PM/0131/0108/45990160207</v>
      </c>
      <c r="AG452" s="118" t="s">
        <v>385</v>
      </c>
      <c r="AH452" s="162" t="s">
        <v>193</v>
      </c>
      <c r="AI452" s="165" t="str">
        <f>CONCATENATE(PAA[[#This Row],[Id Interno]],"-",PAA[[#This Row],[tipo de Contrato (TH talento humano - B/S bienes y/o servicios)]],"-",S452,"-",T452,"-",PAA[[#This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53" spans="2:35" ht="56" x14ac:dyDescent="0.35">
      <c r="B453" s="23">
        <v>20260434</v>
      </c>
      <c r="C453" s="160" t="s">
        <v>684</v>
      </c>
      <c r="D453" s="23" t="s">
        <v>105</v>
      </c>
      <c r="E453" s="23" t="s">
        <v>363</v>
      </c>
      <c r="F453" s="159" t="s">
        <v>144</v>
      </c>
      <c r="G453" s="160" t="s">
        <v>373</v>
      </c>
      <c r="H453" s="161">
        <v>11</v>
      </c>
      <c r="I453" s="161">
        <v>0</v>
      </c>
      <c r="J453" s="127">
        <v>102035000</v>
      </c>
      <c r="K453" s="88" t="s">
        <v>398</v>
      </c>
      <c r="L453" s="159" t="s">
        <v>155</v>
      </c>
      <c r="M453" s="162" t="s">
        <v>422</v>
      </c>
      <c r="N453" s="23" t="s">
        <v>198</v>
      </c>
      <c r="O453" s="150" t="s">
        <v>926</v>
      </c>
      <c r="P453" s="159" t="s">
        <v>348</v>
      </c>
      <c r="Q453" s="53" t="s">
        <v>753</v>
      </c>
      <c r="R453" s="162" t="s">
        <v>216</v>
      </c>
      <c r="S453" s="162" t="str">
        <f>MID(PAA[[#This Row],[Meta Proyecto de Inversión]],1,4)</f>
        <v>8173</v>
      </c>
      <c r="T453" s="162" t="str">
        <f>MID(PAA[[#This Row],[Meta Proyecto de Inversión]],6,1)</f>
        <v>7</v>
      </c>
      <c r="U453" s="163" t="str">
        <f>IFERROR(VLOOKUP(N453,TD!$B$50:$F$54,2,0)," ")</f>
        <v>O230117</v>
      </c>
      <c r="V453" s="163" t="str">
        <f>IFERROR(VLOOKUP(N453,TD!$B$50:$F$54,3,0)," ")</f>
        <v>4503</v>
      </c>
      <c r="W453" s="163">
        <f>IFERROR(VLOOKUP(N453,TD!$B$50:$F$54,4,0)," ")</f>
        <v>20240255</v>
      </c>
      <c r="X453" s="162">
        <v>14</v>
      </c>
      <c r="Y453" s="163" t="str">
        <f>IFERROR(VLOOKUP(X453,TD!$J$51:$K$64,2,0)," ")</f>
        <v xml:space="preserve">Infraestructura física misional construida mantenida y dotada </v>
      </c>
      <c r="Z453" s="164" t="str">
        <f t="shared" si="24"/>
        <v xml:space="preserve">14-Infraestructura física misional construida mantenida y dotada </v>
      </c>
      <c r="AA453" s="162" t="s">
        <v>225</v>
      </c>
      <c r="AB453" s="163" t="str">
        <f>IFERROR(VLOOKUP(AA453,TD!$N$51:$O$66,2,0)," ")</f>
        <v>Estaciones de bomberos adecuadas</v>
      </c>
      <c r="AC453" s="164" t="str">
        <f t="shared" si="25"/>
        <v>014_Estaciones de bomberos adecuadas</v>
      </c>
      <c r="AD453" s="164" t="str">
        <f t="shared" si="26"/>
        <v>14-Infraestructura física misional construida mantenida y dotada  014_Estaciones de bomberos adecuadas</v>
      </c>
      <c r="AE453" s="163" t="str">
        <f t="shared" si="27"/>
        <v>O23011745032024025514014</v>
      </c>
      <c r="AF453" s="163" t="str">
        <f>IFERROR(VLOOKUP(AD453,TD!$J$66:$K$89,2,0)," ")</f>
        <v>PM/0131/0114/45030140255</v>
      </c>
      <c r="AG453" s="118" t="s">
        <v>385</v>
      </c>
      <c r="AH453" s="162" t="s">
        <v>193</v>
      </c>
      <c r="AI453" s="165" t="str">
        <f>CONCATENATE(PAA[[#This Row],[Id Interno]],"-",PAA[[#This Row],[tipo de Contrato (TH talento humano - B/S bienes y/o servicios)]],"-",S453,"-",T453,"-",PAA[[#This Row],[Objeto de la contratación]])</f>
        <v>20260434-TH-8173-7-Prestación de Servicios Profesionales para la formulación, seguimiento y ejecución de procesos presupuestales y financieros a cargo del área de infraestructura de la Subdirección de Gestión Corporativa -SGC</v>
      </c>
    </row>
    <row r="454" spans="2:35" ht="70" x14ac:dyDescent="0.35">
      <c r="B454" s="23">
        <v>20260435</v>
      </c>
      <c r="C454" s="99" t="s">
        <v>685</v>
      </c>
      <c r="D454" s="23" t="s">
        <v>105</v>
      </c>
      <c r="E454" s="23" t="s">
        <v>363</v>
      </c>
      <c r="F454" s="159" t="s">
        <v>144</v>
      </c>
      <c r="G454" s="160" t="s">
        <v>373</v>
      </c>
      <c r="H454" s="161">
        <v>11</v>
      </c>
      <c r="I454" s="161">
        <v>0</v>
      </c>
      <c r="J454" s="127">
        <v>75204000</v>
      </c>
      <c r="K454" s="88" t="s">
        <v>398</v>
      </c>
      <c r="L454" s="159" t="s">
        <v>155</v>
      </c>
      <c r="M454" s="162" t="s">
        <v>422</v>
      </c>
      <c r="N454" s="23" t="s">
        <v>197</v>
      </c>
      <c r="O454" s="150" t="s">
        <v>925</v>
      </c>
      <c r="P454" s="159" t="s">
        <v>348</v>
      </c>
      <c r="Q454" s="53" t="s">
        <v>753</v>
      </c>
      <c r="R454" s="162" t="s">
        <v>207</v>
      </c>
      <c r="S454" s="162" t="str">
        <f>MID(PAA[[#This Row],[Meta Proyecto de Inversión]],1,4)</f>
        <v>8126</v>
      </c>
      <c r="T454" s="162" t="str">
        <f>MID(PAA[[#This Row],[Meta Proyecto de Inversión]],6,1)</f>
        <v>8</v>
      </c>
      <c r="U454" s="163" t="str">
        <f>IFERROR(VLOOKUP(N454,TD!$B$50:$F$54,2,0)," ")</f>
        <v>O230117</v>
      </c>
      <c r="V454" s="163" t="str">
        <f>IFERROR(VLOOKUP(N454,TD!$B$50:$F$54,3,0)," ")</f>
        <v>4599</v>
      </c>
      <c r="W454" s="163">
        <f>IFERROR(VLOOKUP(N454,TD!$B$50:$F$54,4,0)," ")</f>
        <v>20240207</v>
      </c>
      <c r="X454" s="162" t="s">
        <v>174</v>
      </c>
      <c r="Y454" s="163" t="str">
        <f>IFERROR(VLOOKUP(X454,TD!$J$51:$K$64,2,0)," ")</f>
        <v>Infraestructura física, mantenimiento y dotación (Sedes construidas, mantenidas reforzadas)</v>
      </c>
      <c r="Z454" s="164" t="str">
        <f t="shared" si="24"/>
        <v>08-Infraestructura física, mantenimiento y dotación (Sedes construidas, mantenidas reforzadas)</v>
      </c>
      <c r="AA454" s="162" t="s">
        <v>227</v>
      </c>
      <c r="AB454" s="163" t="str">
        <f>IFERROR(VLOOKUP(AA454,TD!$N$51:$O$66,2,0)," ")</f>
        <v>Sedes mantenidas</v>
      </c>
      <c r="AC454" s="164" t="str">
        <f t="shared" si="25"/>
        <v>016_Sedes mantenidas</v>
      </c>
      <c r="AD454" s="164" t="str">
        <f t="shared" si="26"/>
        <v>08-Infraestructura física, mantenimiento y dotación (Sedes construidas, mantenidas reforzadas) 016_Sedes mantenidas</v>
      </c>
      <c r="AE454" s="163" t="str">
        <f t="shared" si="27"/>
        <v>O23011745992024020708016</v>
      </c>
      <c r="AF454" s="163" t="str">
        <f>IFERROR(VLOOKUP(AD454,TD!$J$66:$K$89,2,0)," ")</f>
        <v>PM/0131/0108/45990160207</v>
      </c>
      <c r="AG454" s="118" t="s">
        <v>385</v>
      </c>
      <c r="AH454" s="162" t="s">
        <v>193</v>
      </c>
      <c r="AI454" s="165" t="str">
        <f>CONCATENATE(PAA[[#This Row],[Id Interno]],"-",PAA[[#This Row],[tipo de Contrato (TH talento humano - B/S bienes y/o servicios)]],"-",S454,"-",T454,"-",PAA[[#This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55" spans="2:35" ht="56" x14ac:dyDescent="0.35">
      <c r="B455" s="23">
        <v>20260436</v>
      </c>
      <c r="C455" s="99" t="s">
        <v>686</v>
      </c>
      <c r="D455" s="23" t="s">
        <v>105</v>
      </c>
      <c r="E455" s="23" t="s">
        <v>363</v>
      </c>
      <c r="F455" s="159" t="s">
        <v>144</v>
      </c>
      <c r="G455" s="160" t="s">
        <v>373</v>
      </c>
      <c r="H455" s="161">
        <v>11</v>
      </c>
      <c r="I455" s="161">
        <v>0</v>
      </c>
      <c r="J455" s="127">
        <v>75204000</v>
      </c>
      <c r="K455" s="88" t="s">
        <v>398</v>
      </c>
      <c r="L455" s="159" t="s">
        <v>155</v>
      </c>
      <c r="M455" s="162" t="s">
        <v>422</v>
      </c>
      <c r="N455" s="23" t="s">
        <v>197</v>
      </c>
      <c r="O455" s="150" t="s">
        <v>925</v>
      </c>
      <c r="P455" s="159" t="s">
        <v>348</v>
      </c>
      <c r="Q455" s="53" t="s">
        <v>753</v>
      </c>
      <c r="R455" s="162" t="s">
        <v>207</v>
      </c>
      <c r="S455" s="162" t="str">
        <f>MID(PAA[[#This Row],[Meta Proyecto de Inversión]],1,4)</f>
        <v>8126</v>
      </c>
      <c r="T455" s="162" t="str">
        <f>MID(PAA[[#This Row],[Meta Proyecto de Inversión]],6,1)</f>
        <v>8</v>
      </c>
      <c r="U455" s="163" t="str">
        <f>IFERROR(VLOOKUP(N455,TD!$B$50:$F$54,2,0)," ")</f>
        <v>O230117</v>
      </c>
      <c r="V455" s="163" t="str">
        <f>IFERROR(VLOOKUP(N455,TD!$B$50:$F$54,3,0)," ")</f>
        <v>4599</v>
      </c>
      <c r="W455" s="163">
        <f>IFERROR(VLOOKUP(N455,TD!$B$50:$F$54,4,0)," ")</f>
        <v>20240207</v>
      </c>
      <c r="X455" s="162" t="s">
        <v>174</v>
      </c>
      <c r="Y455" s="163" t="str">
        <f>IFERROR(VLOOKUP(X455,TD!$J$51:$K$64,2,0)," ")</f>
        <v>Infraestructura física, mantenimiento y dotación (Sedes construidas, mantenidas reforzadas)</v>
      </c>
      <c r="Z455" s="164" t="str">
        <f t="shared" si="24"/>
        <v>08-Infraestructura física, mantenimiento y dotación (Sedes construidas, mantenidas reforzadas)</v>
      </c>
      <c r="AA455" s="162" t="s">
        <v>227</v>
      </c>
      <c r="AB455" s="163" t="str">
        <f>IFERROR(VLOOKUP(AA455,TD!$N$51:$O$66,2,0)," ")</f>
        <v>Sedes mantenidas</v>
      </c>
      <c r="AC455" s="164" t="str">
        <f t="shared" si="25"/>
        <v>016_Sedes mantenidas</v>
      </c>
      <c r="AD455" s="164" t="str">
        <f t="shared" si="26"/>
        <v>08-Infraestructura física, mantenimiento y dotación (Sedes construidas, mantenidas reforzadas) 016_Sedes mantenidas</v>
      </c>
      <c r="AE455" s="163" t="str">
        <f t="shared" si="27"/>
        <v>O23011745992024020708016</v>
      </c>
      <c r="AF455" s="163" t="str">
        <f>IFERROR(VLOOKUP(AD455,TD!$J$66:$K$89,2,0)," ")</f>
        <v>PM/0131/0108/45990160207</v>
      </c>
      <c r="AG455" s="118" t="s">
        <v>385</v>
      </c>
      <c r="AH455" s="162" t="s">
        <v>193</v>
      </c>
      <c r="AI455" s="165" t="str">
        <f>CONCATENATE(PAA[[#This Row],[Id Interno]],"-",PAA[[#This Row],[tipo de Contrato (TH talento humano - B/S bienes y/o servicios)]],"-",S455,"-",T455,"-",PAA[[#This Row],[Objeto de la contratación]])</f>
        <v>20260436-TH-8126-8-Prestación de Servicios Profesionales en temas financieros, administrativas y misionales para apoyar los proyectos de infraestructura de la Subdirección de Gestión Corporativa.- SGC</v>
      </c>
    </row>
    <row r="456" spans="2:35" ht="56" x14ac:dyDescent="0.35">
      <c r="B456" s="23">
        <v>20260437</v>
      </c>
      <c r="C456" s="99" t="s">
        <v>687</v>
      </c>
      <c r="D456" s="23" t="s">
        <v>105</v>
      </c>
      <c r="E456" s="23" t="s">
        <v>363</v>
      </c>
      <c r="F456" s="159" t="s">
        <v>144</v>
      </c>
      <c r="G456" s="160" t="s">
        <v>373</v>
      </c>
      <c r="H456" s="161">
        <v>11</v>
      </c>
      <c r="I456" s="161">
        <v>0</v>
      </c>
      <c r="J456" s="127">
        <v>102034000</v>
      </c>
      <c r="K456" s="88" t="s">
        <v>398</v>
      </c>
      <c r="L456" s="159" t="s">
        <v>155</v>
      </c>
      <c r="M456" s="162" t="s">
        <v>422</v>
      </c>
      <c r="N456" s="23" t="s">
        <v>197</v>
      </c>
      <c r="O456" s="150" t="s">
        <v>925</v>
      </c>
      <c r="P456" s="159" t="s">
        <v>348</v>
      </c>
      <c r="Q456" s="53" t="s">
        <v>753</v>
      </c>
      <c r="R456" s="162" t="s">
        <v>207</v>
      </c>
      <c r="S456" s="162" t="str">
        <f>MID(PAA[[#This Row],[Meta Proyecto de Inversión]],1,4)</f>
        <v>8126</v>
      </c>
      <c r="T456" s="162" t="str">
        <f>MID(PAA[[#This Row],[Meta Proyecto de Inversión]],6,1)</f>
        <v>8</v>
      </c>
      <c r="U456" s="163" t="str">
        <f>IFERROR(VLOOKUP(N456,TD!$B$50:$F$54,2,0)," ")</f>
        <v>O230117</v>
      </c>
      <c r="V456" s="163" t="str">
        <f>IFERROR(VLOOKUP(N456,TD!$B$50:$F$54,3,0)," ")</f>
        <v>4599</v>
      </c>
      <c r="W456" s="163">
        <f>IFERROR(VLOOKUP(N456,TD!$B$50:$F$54,4,0)," ")</f>
        <v>20240207</v>
      </c>
      <c r="X456" s="162" t="s">
        <v>174</v>
      </c>
      <c r="Y456" s="163" t="str">
        <f>IFERROR(VLOOKUP(X456,TD!$J$51:$K$64,2,0)," ")</f>
        <v>Infraestructura física, mantenimiento y dotación (Sedes construidas, mantenidas reforzadas)</v>
      </c>
      <c r="Z456" s="164" t="str">
        <f t="shared" si="24"/>
        <v>08-Infraestructura física, mantenimiento y dotación (Sedes construidas, mantenidas reforzadas)</v>
      </c>
      <c r="AA456" s="162" t="s">
        <v>227</v>
      </c>
      <c r="AB456" s="163" t="str">
        <f>IFERROR(VLOOKUP(AA456,TD!$N$51:$O$66,2,0)," ")</f>
        <v>Sedes mantenidas</v>
      </c>
      <c r="AC456" s="164" t="str">
        <f t="shared" si="25"/>
        <v>016_Sedes mantenidas</v>
      </c>
      <c r="AD456" s="164" t="str">
        <f t="shared" si="26"/>
        <v>08-Infraestructura física, mantenimiento y dotación (Sedes construidas, mantenidas reforzadas) 016_Sedes mantenidas</v>
      </c>
      <c r="AE456" s="163" t="str">
        <f t="shared" si="27"/>
        <v>O23011745992024020708016</v>
      </c>
      <c r="AF456" s="163" t="str">
        <f>IFERROR(VLOOKUP(AD456,TD!$J$66:$K$89,2,0)," ")</f>
        <v>PM/0131/0108/45990160207</v>
      </c>
      <c r="AG456" s="118" t="s">
        <v>385</v>
      </c>
      <c r="AH456" s="162" t="s">
        <v>193</v>
      </c>
      <c r="AI456" s="165" t="str">
        <f>CONCATENATE(PAA[[#This Row],[Id Interno]],"-",PAA[[#This Row],[tipo de Contrato (TH talento humano - B/S bienes y/o servicios)]],"-",S456,"-",T456,"-",PAA[[#This Row],[Objeto de la contratación]])</f>
        <v>20260437-TH-8126-8-Prestar servicios profesionales especializados para acompañar jurídicamente los procesos y procedimientos del área de infraestructura de la Subdirección de Gestión Corporativa. SGC</v>
      </c>
    </row>
    <row r="457" spans="2:35" ht="56" x14ac:dyDescent="0.35">
      <c r="B457" s="23">
        <v>20260438</v>
      </c>
      <c r="C457" s="99" t="s">
        <v>688</v>
      </c>
      <c r="D457" s="23" t="s">
        <v>105</v>
      </c>
      <c r="E457" s="23" t="s">
        <v>363</v>
      </c>
      <c r="F457" s="159" t="s">
        <v>144</v>
      </c>
      <c r="G457" s="160" t="s">
        <v>373</v>
      </c>
      <c r="H457" s="161">
        <v>11</v>
      </c>
      <c r="I457" s="161">
        <v>0</v>
      </c>
      <c r="J457" s="127">
        <v>81103000</v>
      </c>
      <c r="K457" s="88" t="s">
        <v>398</v>
      </c>
      <c r="L457" s="159" t="s">
        <v>155</v>
      </c>
      <c r="M457" s="162" t="s">
        <v>422</v>
      </c>
      <c r="N457" s="23" t="s">
        <v>197</v>
      </c>
      <c r="O457" s="150" t="s">
        <v>925</v>
      </c>
      <c r="P457" s="159" t="s">
        <v>348</v>
      </c>
      <c r="Q457" s="53" t="s">
        <v>753</v>
      </c>
      <c r="R457" s="162" t="s">
        <v>207</v>
      </c>
      <c r="S457" s="162" t="str">
        <f>MID(PAA[[#This Row],[Meta Proyecto de Inversión]],1,4)</f>
        <v>8126</v>
      </c>
      <c r="T457" s="162" t="str">
        <f>MID(PAA[[#This Row],[Meta Proyecto de Inversión]],6,1)</f>
        <v>8</v>
      </c>
      <c r="U457" s="163" t="str">
        <f>IFERROR(VLOOKUP(N457,TD!$B$50:$F$54,2,0)," ")</f>
        <v>O230117</v>
      </c>
      <c r="V457" s="163" t="str">
        <f>IFERROR(VLOOKUP(N457,TD!$B$50:$F$54,3,0)," ")</f>
        <v>4599</v>
      </c>
      <c r="W457" s="163">
        <f>IFERROR(VLOOKUP(N457,TD!$B$50:$F$54,4,0)," ")</f>
        <v>20240207</v>
      </c>
      <c r="X457" s="162" t="s">
        <v>174</v>
      </c>
      <c r="Y457" s="163" t="str">
        <f>IFERROR(VLOOKUP(X457,TD!$J$51:$K$64,2,0)," ")</f>
        <v>Infraestructura física, mantenimiento y dotación (Sedes construidas, mantenidas reforzadas)</v>
      </c>
      <c r="Z457" s="164" t="str">
        <f t="shared" si="24"/>
        <v>08-Infraestructura física, mantenimiento y dotación (Sedes construidas, mantenidas reforzadas)</v>
      </c>
      <c r="AA457" s="162" t="s">
        <v>227</v>
      </c>
      <c r="AB457" s="163" t="str">
        <f>IFERROR(VLOOKUP(AA457,TD!$N$51:$O$66,2,0)," ")</f>
        <v>Sedes mantenidas</v>
      </c>
      <c r="AC457" s="164" t="str">
        <f t="shared" si="25"/>
        <v>016_Sedes mantenidas</v>
      </c>
      <c r="AD457" s="164" t="str">
        <f t="shared" si="26"/>
        <v>08-Infraestructura física, mantenimiento y dotación (Sedes construidas, mantenidas reforzadas) 016_Sedes mantenidas</v>
      </c>
      <c r="AE457" s="163" t="str">
        <f t="shared" si="27"/>
        <v>O23011745992024020708016</v>
      </c>
      <c r="AF457" s="163" t="str">
        <f>IFERROR(VLOOKUP(AD457,TD!$J$66:$K$89,2,0)," ")</f>
        <v>PM/0131/0108/45990160207</v>
      </c>
      <c r="AG457" s="118" t="s">
        <v>385</v>
      </c>
      <c r="AH457" s="162" t="s">
        <v>193</v>
      </c>
      <c r="AI457" s="165" t="str">
        <f>CONCATENATE(PAA[[#This Row],[Id Interno]],"-",PAA[[#This Row],[tipo de Contrato (TH talento humano - B/S bienes y/o servicios)]],"-",S457,"-",T457,"-",PAA[[#This Row],[Objeto de la contratación]])</f>
        <v>20260438-TH-8126-8-Prestación de servicios profesionales para apoyar las actividades técnicas del Área de Infraestructura de la Subdirección de Gestión Corporativa-SGC</v>
      </c>
    </row>
    <row r="458" spans="2:35" ht="56" x14ac:dyDescent="0.35">
      <c r="B458" s="23">
        <v>20260439</v>
      </c>
      <c r="C458" s="99" t="s">
        <v>689</v>
      </c>
      <c r="D458" s="23" t="s">
        <v>105</v>
      </c>
      <c r="E458" s="23" t="s">
        <v>363</v>
      </c>
      <c r="F458" s="159" t="s">
        <v>144</v>
      </c>
      <c r="G458" s="160" t="s">
        <v>373</v>
      </c>
      <c r="H458" s="161">
        <v>10</v>
      </c>
      <c r="I458" s="161">
        <v>0</v>
      </c>
      <c r="J458" s="118">
        <v>51611000</v>
      </c>
      <c r="K458" s="88" t="s">
        <v>398</v>
      </c>
      <c r="L458" s="159" t="s">
        <v>155</v>
      </c>
      <c r="M458" s="162" t="s">
        <v>422</v>
      </c>
      <c r="N458" s="23" t="s">
        <v>197</v>
      </c>
      <c r="O458" s="150" t="s">
        <v>925</v>
      </c>
      <c r="P458" s="159" t="s">
        <v>348</v>
      </c>
      <c r="Q458" s="53" t="s">
        <v>753</v>
      </c>
      <c r="R458" s="162" t="s">
        <v>207</v>
      </c>
      <c r="S458" s="162" t="str">
        <f>MID(PAA[[#This Row],[Meta Proyecto de Inversión]],1,4)</f>
        <v>8126</v>
      </c>
      <c r="T458" s="162" t="str">
        <f>MID(PAA[[#This Row],[Meta Proyecto de Inversión]],6,1)</f>
        <v>8</v>
      </c>
      <c r="U458" s="163" t="str">
        <f>IFERROR(VLOOKUP(N458,TD!$B$50:$F$54,2,0)," ")</f>
        <v>O230117</v>
      </c>
      <c r="V458" s="163" t="str">
        <f>IFERROR(VLOOKUP(N458,TD!$B$50:$F$54,3,0)," ")</f>
        <v>4599</v>
      </c>
      <c r="W458" s="163">
        <f>IFERROR(VLOOKUP(N458,TD!$B$50:$F$54,4,0)," ")</f>
        <v>20240207</v>
      </c>
      <c r="X458" s="162" t="s">
        <v>174</v>
      </c>
      <c r="Y458" s="163" t="str">
        <f>IFERROR(VLOOKUP(X458,TD!$J$51:$K$64,2,0)," ")</f>
        <v>Infraestructura física, mantenimiento y dotación (Sedes construidas, mantenidas reforzadas)</v>
      </c>
      <c r="Z458" s="164" t="str">
        <f t="shared" si="24"/>
        <v>08-Infraestructura física, mantenimiento y dotación (Sedes construidas, mantenidas reforzadas)</v>
      </c>
      <c r="AA458" s="162" t="s">
        <v>227</v>
      </c>
      <c r="AB458" s="163" t="str">
        <f>IFERROR(VLOOKUP(AA458,TD!$N$51:$O$66,2,0)," ")</f>
        <v>Sedes mantenidas</v>
      </c>
      <c r="AC458" s="164" t="str">
        <f t="shared" si="25"/>
        <v>016_Sedes mantenidas</v>
      </c>
      <c r="AD458" s="164" t="str">
        <f t="shared" si="26"/>
        <v>08-Infraestructura física, mantenimiento y dotación (Sedes construidas, mantenidas reforzadas) 016_Sedes mantenidas</v>
      </c>
      <c r="AE458" s="163" t="str">
        <f t="shared" si="27"/>
        <v>O23011745992024020708016</v>
      </c>
      <c r="AF458" s="163" t="str">
        <f>IFERROR(VLOOKUP(AD458,TD!$J$66:$K$89,2,0)," ")</f>
        <v>PM/0131/0108/45990160207</v>
      </c>
      <c r="AG458" s="118" t="s">
        <v>385</v>
      </c>
      <c r="AH458" s="162" t="s">
        <v>193</v>
      </c>
      <c r="AI458" s="165" t="str">
        <f>CONCATENATE(PAA[[#This Row],[Id Interno]],"-",PAA[[#This Row],[tipo de Contrato (TH talento humano - B/S bienes y/o servicios)]],"-",S458,"-",T458,"-",PAA[[#This Row],[Objeto de la contratación]])</f>
        <v>20260439-TH-8126-8-Prestar servicios profesionales con el fin de atender los trámites ambientales y los demás que requiera el área de Infraestructura de la Subdirección de Gestión Corporativa. SGC</v>
      </c>
    </row>
    <row r="459" spans="2:35" ht="56" x14ac:dyDescent="0.35">
      <c r="B459" s="23">
        <v>20260440</v>
      </c>
      <c r="C459" s="99" t="s">
        <v>690</v>
      </c>
      <c r="D459" s="23" t="s">
        <v>105</v>
      </c>
      <c r="E459" s="23" t="s">
        <v>363</v>
      </c>
      <c r="F459" s="159" t="s">
        <v>145</v>
      </c>
      <c r="G459" s="160" t="s">
        <v>373</v>
      </c>
      <c r="H459" s="161">
        <v>11</v>
      </c>
      <c r="I459" s="161">
        <v>0</v>
      </c>
      <c r="J459" s="127">
        <v>38060000</v>
      </c>
      <c r="K459" s="88" t="s">
        <v>398</v>
      </c>
      <c r="L459" s="159" t="s">
        <v>155</v>
      </c>
      <c r="M459" s="162" t="s">
        <v>422</v>
      </c>
      <c r="N459" s="23" t="s">
        <v>197</v>
      </c>
      <c r="O459" s="150" t="s">
        <v>925</v>
      </c>
      <c r="P459" s="159" t="s">
        <v>348</v>
      </c>
      <c r="Q459" s="53" t="s">
        <v>753</v>
      </c>
      <c r="R459" s="162" t="s">
        <v>207</v>
      </c>
      <c r="S459" s="162" t="str">
        <f>MID(PAA[[#This Row],[Meta Proyecto de Inversión]],1,4)</f>
        <v>8126</v>
      </c>
      <c r="T459" s="162" t="str">
        <f>MID(PAA[[#This Row],[Meta Proyecto de Inversión]],6,1)</f>
        <v>8</v>
      </c>
      <c r="U459" s="163" t="str">
        <f>IFERROR(VLOOKUP(N459,TD!$B$50:$F$54,2,0)," ")</f>
        <v>O230117</v>
      </c>
      <c r="V459" s="163" t="str">
        <f>IFERROR(VLOOKUP(N459,TD!$B$50:$F$54,3,0)," ")</f>
        <v>4599</v>
      </c>
      <c r="W459" s="163">
        <f>IFERROR(VLOOKUP(N459,TD!$B$50:$F$54,4,0)," ")</f>
        <v>20240207</v>
      </c>
      <c r="X459" s="162" t="s">
        <v>174</v>
      </c>
      <c r="Y459" s="163" t="str">
        <f>IFERROR(VLOOKUP(X459,TD!$J$51:$K$64,2,0)," ")</f>
        <v>Infraestructura física, mantenimiento y dotación (Sedes construidas, mantenidas reforzadas)</v>
      </c>
      <c r="Z459" s="164" t="str">
        <f t="shared" si="24"/>
        <v>08-Infraestructura física, mantenimiento y dotación (Sedes construidas, mantenidas reforzadas)</v>
      </c>
      <c r="AA459" s="162" t="s">
        <v>227</v>
      </c>
      <c r="AB459" s="163" t="str">
        <f>IFERROR(VLOOKUP(AA459,TD!$N$51:$O$66,2,0)," ")</f>
        <v>Sedes mantenidas</v>
      </c>
      <c r="AC459" s="164" t="str">
        <f t="shared" si="25"/>
        <v>016_Sedes mantenidas</v>
      </c>
      <c r="AD459" s="164" t="str">
        <f t="shared" si="26"/>
        <v>08-Infraestructura física, mantenimiento y dotación (Sedes construidas, mantenidas reforzadas) 016_Sedes mantenidas</v>
      </c>
      <c r="AE459" s="163" t="str">
        <f t="shared" si="27"/>
        <v>O23011745992024020708016</v>
      </c>
      <c r="AF459" s="163" t="str">
        <f>IFERROR(VLOOKUP(AD459,TD!$J$66:$K$89,2,0)," ")</f>
        <v>PM/0131/0108/45990160207</v>
      </c>
      <c r="AG459" s="118" t="s">
        <v>385</v>
      </c>
      <c r="AH459" s="162" t="s">
        <v>193</v>
      </c>
      <c r="AI459" s="165" t="str">
        <f>CONCATENATE(PAA[[#This Row],[Id Interno]],"-",PAA[[#This Row],[tipo de Contrato (TH talento humano - B/S bienes y/o servicios)]],"-",S459,"-",T459,"-",PAA[[#This Row],[Objeto de la contratación]])</f>
        <v>20260440-TH-8126-8-Prestar los servicios como conductor del  Area de Infraestructura a fin de atender las actividades propias asociadas al mantenimiento de las sedes de UAECOB de la Subdirección de Gestión Corporativa -SGC</v>
      </c>
    </row>
    <row r="460" spans="2:35" ht="70" x14ac:dyDescent="0.35">
      <c r="B460" s="23">
        <v>20260441</v>
      </c>
      <c r="C460" s="99" t="s">
        <v>691</v>
      </c>
      <c r="D460" s="23" t="s">
        <v>105</v>
      </c>
      <c r="E460" s="23" t="s">
        <v>363</v>
      </c>
      <c r="F460" s="159" t="s">
        <v>145</v>
      </c>
      <c r="G460" s="160" t="s">
        <v>373</v>
      </c>
      <c r="H460" s="161">
        <v>10</v>
      </c>
      <c r="I460" s="161">
        <v>0</v>
      </c>
      <c r="J460" s="127">
        <v>32843000</v>
      </c>
      <c r="K460" s="88" t="s">
        <v>398</v>
      </c>
      <c r="L460" s="159" t="s">
        <v>155</v>
      </c>
      <c r="M460" s="162" t="s">
        <v>422</v>
      </c>
      <c r="N460" s="23" t="s">
        <v>197</v>
      </c>
      <c r="O460" s="150" t="s">
        <v>925</v>
      </c>
      <c r="P460" s="159" t="s">
        <v>348</v>
      </c>
      <c r="Q460" s="53" t="s">
        <v>753</v>
      </c>
      <c r="R460" s="162" t="s">
        <v>207</v>
      </c>
      <c r="S460" s="162" t="str">
        <f>MID(PAA[[#This Row],[Meta Proyecto de Inversión]],1,4)</f>
        <v>8126</v>
      </c>
      <c r="T460" s="162" t="str">
        <f>MID(PAA[[#This Row],[Meta Proyecto de Inversión]],6,1)</f>
        <v>8</v>
      </c>
      <c r="U460" s="163" t="str">
        <f>IFERROR(VLOOKUP(N460,TD!$B$50:$F$54,2,0)," ")</f>
        <v>O230117</v>
      </c>
      <c r="V460" s="163" t="str">
        <f>IFERROR(VLOOKUP(N460,TD!$B$50:$F$54,3,0)," ")</f>
        <v>4599</v>
      </c>
      <c r="W460" s="163">
        <f>IFERROR(VLOOKUP(N460,TD!$B$50:$F$54,4,0)," ")</f>
        <v>20240207</v>
      </c>
      <c r="X460" s="162" t="s">
        <v>174</v>
      </c>
      <c r="Y460" s="163" t="str">
        <f>IFERROR(VLOOKUP(X460,TD!$J$51:$K$64,2,0)," ")</f>
        <v>Infraestructura física, mantenimiento y dotación (Sedes construidas, mantenidas reforzadas)</v>
      </c>
      <c r="Z460" s="164" t="str">
        <f t="shared" ref="Z460:Z523" si="28">CONCATENATE(X460,"-",Y460)</f>
        <v>08-Infraestructura física, mantenimiento y dotación (Sedes construidas, mantenidas reforzadas)</v>
      </c>
      <c r="AA460" s="162" t="s">
        <v>227</v>
      </c>
      <c r="AB460" s="163" t="str">
        <f>IFERROR(VLOOKUP(AA460,TD!$N$51:$O$66,2,0)," ")</f>
        <v>Sedes mantenidas</v>
      </c>
      <c r="AC460" s="164" t="str">
        <f t="shared" ref="AC460:AC523" si="29">CONCATENATE(AA460,"_",AB460)</f>
        <v>016_Sedes mantenidas</v>
      </c>
      <c r="AD460" s="164" t="str">
        <f t="shared" ref="AD460:AD523" si="30">CONCATENATE(Z460," ",AC460)</f>
        <v>08-Infraestructura física, mantenimiento y dotación (Sedes construidas, mantenidas reforzadas) 016_Sedes mantenidas</v>
      </c>
      <c r="AE460" s="163" t="str">
        <f t="shared" ref="AE460:AE523" si="31">CONCATENATE(U460,V460,W460,X460,AA460)</f>
        <v>O23011745992024020708016</v>
      </c>
      <c r="AF460" s="163" t="str">
        <f>IFERROR(VLOOKUP(AD460,TD!$J$66:$K$89,2,0)," ")</f>
        <v>PM/0131/0108/45990160207</v>
      </c>
      <c r="AG460" s="118" t="s">
        <v>385</v>
      </c>
      <c r="AH460" s="162" t="s">
        <v>193</v>
      </c>
      <c r="AI460" s="165" t="str">
        <f>CONCATENATE(PAA[[#This Row],[Id Interno]],"-",PAA[[#This Row],[tipo de Contrato (TH talento humano - B/S bienes y/o servicios)]],"-",S460,"-",T460,"-",PAA[[#This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61" spans="2:35" ht="70" x14ac:dyDescent="0.35">
      <c r="B461" s="23">
        <v>20260442</v>
      </c>
      <c r="C461" s="99" t="s">
        <v>691</v>
      </c>
      <c r="D461" s="23" t="s">
        <v>105</v>
      </c>
      <c r="E461" s="23" t="s">
        <v>363</v>
      </c>
      <c r="F461" s="159" t="s">
        <v>145</v>
      </c>
      <c r="G461" s="160" t="s">
        <v>373</v>
      </c>
      <c r="H461" s="161">
        <v>10</v>
      </c>
      <c r="I461" s="161">
        <v>0</v>
      </c>
      <c r="J461" s="127">
        <v>32843000</v>
      </c>
      <c r="K461" s="88" t="s">
        <v>398</v>
      </c>
      <c r="L461" s="159" t="s">
        <v>155</v>
      </c>
      <c r="M461" s="162" t="s">
        <v>422</v>
      </c>
      <c r="N461" s="23" t="s">
        <v>197</v>
      </c>
      <c r="O461" s="150" t="s">
        <v>925</v>
      </c>
      <c r="P461" s="159" t="s">
        <v>348</v>
      </c>
      <c r="Q461" s="53" t="s">
        <v>753</v>
      </c>
      <c r="R461" s="162" t="s">
        <v>207</v>
      </c>
      <c r="S461" s="162" t="str">
        <f>MID(PAA[[#This Row],[Meta Proyecto de Inversión]],1,4)</f>
        <v>8126</v>
      </c>
      <c r="T461" s="162" t="str">
        <f>MID(PAA[[#This Row],[Meta Proyecto de Inversión]],6,1)</f>
        <v>8</v>
      </c>
      <c r="U461" s="163" t="str">
        <f>IFERROR(VLOOKUP(N461,TD!$B$50:$F$54,2,0)," ")</f>
        <v>O230117</v>
      </c>
      <c r="V461" s="163" t="str">
        <f>IFERROR(VLOOKUP(N461,TD!$B$50:$F$54,3,0)," ")</f>
        <v>4599</v>
      </c>
      <c r="W461" s="163">
        <f>IFERROR(VLOOKUP(N461,TD!$B$50:$F$54,4,0)," ")</f>
        <v>20240207</v>
      </c>
      <c r="X461" s="162" t="s">
        <v>174</v>
      </c>
      <c r="Y461" s="163" t="str">
        <f>IFERROR(VLOOKUP(X461,TD!$J$51:$K$64,2,0)," ")</f>
        <v>Infraestructura física, mantenimiento y dotación (Sedes construidas, mantenidas reforzadas)</v>
      </c>
      <c r="Z461" s="164" t="str">
        <f t="shared" si="28"/>
        <v>08-Infraestructura física, mantenimiento y dotación (Sedes construidas, mantenidas reforzadas)</v>
      </c>
      <c r="AA461" s="162" t="s">
        <v>227</v>
      </c>
      <c r="AB461" s="163" t="str">
        <f>IFERROR(VLOOKUP(AA461,TD!$N$51:$O$66,2,0)," ")</f>
        <v>Sedes mantenidas</v>
      </c>
      <c r="AC461" s="164" t="str">
        <f t="shared" si="29"/>
        <v>016_Sedes mantenidas</v>
      </c>
      <c r="AD461" s="164" t="str">
        <f t="shared" si="30"/>
        <v>08-Infraestructura física, mantenimiento y dotación (Sedes construidas, mantenidas reforzadas) 016_Sedes mantenidas</v>
      </c>
      <c r="AE461" s="163" t="str">
        <f t="shared" si="31"/>
        <v>O23011745992024020708016</v>
      </c>
      <c r="AF461" s="163" t="str">
        <f>IFERROR(VLOOKUP(AD461,TD!$J$66:$K$89,2,0)," ")</f>
        <v>PM/0131/0108/45990160207</v>
      </c>
      <c r="AG461" s="118" t="s">
        <v>385</v>
      </c>
      <c r="AH461" s="162" t="s">
        <v>193</v>
      </c>
      <c r="AI461" s="165" t="str">
        <f>CONCATENATE(PAA[[#This Row],[Id Interno]],"-",PAA[[#This Row],[tipo de Contrato (TH talento humano - B/S bienes y/o servicios)]],"-",S461,"-",T461,"-",PAA[[#This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62" spans="2:35" ht="70" x14ac:dyDescent="0.35">
      <c r="B462" s="23">
        <v>20260443</v>
      </c>
      <c r="C462" s="99" t="s">
        <v>691</v>
      </c>
      <c r="D462" s="23" t="s">
        <v>105</v>
      </c>
      <c r="E462" s="23" t="s">
        <v>363</v>
      </c>
      <c r="F462" s="159" t="s">
        <v>145</v>
      </c>
      <c r="G462" s="160" t="s">
        <v>373</v>
      </c>
      <c r="H462" s="161">
        <v>10</v>
      </c>
      <c r="I462" s="161">
        <v>0</v>
      </c>
      <c r="J462" s="127">
        <v>32843000</v>
      </c>
      <c r="K462" s="88" t="s">
        <v>398</v>
      </c>
      <c r="L462" s="159" t="s">
        <v>155</v>
      </c>
      <c r="M462" s="162" t="s">
        <v>422</v>
      </c>
      <c r="N462" s="23" t="s">
        <v>197</v>
      </c>
      <c r="O462" s="150" t="s">
        <v>925</v>
      </c>
      <c r="P462" s="159" t="s">
        <v>348</v>
      </c>
      <c r="Q462" s="53" t="s">
        <v>753</v>
      </c>
      <c r="R462" s="162" t="s">
        <v>207</v>
      </c>
      <c r="S462" s="162" t="str">
        <f>MID(PAA[[#This Row],[Meta Proyecto de Inversión]],1,4)</f>
        <v>8126</v>
      </c>
      <c r="T462" s="162" t="str">
        <f>MID(PAA[[#This Row],[Meta Proyecto de Inversión]],6,1)</f>
        <v>8</v>
      </c>
      <c r="U462" s="163" t="str">
        <f>IFERROR(VLOOKUP(N462,TD!$B$50:$F$54,2,0)," ")</f>
        <v>O230117</v>
      </c>
      <c r="V462" s="163" t="str">
        <f>IFERROR(VLOOKUP(N462,TD!$B$50:$F$54,3,0)," ")</f>
        <v>4599</v>
      </c>
      <c r="W462" s="163">
        <f>IFERROR(VLOOKUP(N462,TD!$B$50:$F$54,4,0)," ")</f>
        <v>20240207</v>
      </c>
      <c r="X462" s="162" t="s">
        <v>174</v>
      </c>
      <c r="Y462" s="163" t="str">
        <f>IFERROR(VLOOKUP(X462,TD!$J$51:$K$64,2,0)," ")</f>
        <v>Infraestructura física, mantenimiento y dotación (Sedes construidas, mantenidas reforzadas)</v>
      </c>
      <c r="Z462" s="164" t="str">
        <f t="shared" si="28"/>
        <v>08-Infraestructura física, mantenimiento y dotación (Sedes construidas, mantenidas reforzadas)</v>
      </c>
      <c r="AA462" s="162" t="s">
        <v>227</v>
      </c>
      <c r="AB462" s="163" t="str">
        <f>IFERROR(VLOOKUP(AA462,TD!$N$51:$O$66,2,0)," ")</f>
        <v>Sedes mantenidas</v>
      </c>
      <c r="AC462" s="164" t="str">
        <f t="shared" si="29"/>
        <v>016_Sedes mantenidas</v>
      </c>
      <c r="AD462" s="164" t="str">
        <f t="shared" si="30"/>
        <v>08-Infraestructura física, mantenimiento y dotación (Sedes construidas, mantenidas reforzadas) 016_Sedes mantenidas</v>
      </c>
      <c r="AE462" s="163" t="str">
        <f t="shared" si="31"/>
        <v>O23011745992024020708016</v>
      </c>
      <c r="AF462" s="163" t="str">
        <f>IFERROR(VLOOKUP(AD462,TD!$J$66:$K$89,2,0)," ")</f>
        <v>PM/0131/0108/45990160207</v>
      </c>
      <c r="AG462" s="118" t="s">
        <v>385</v>
      </c>
      <c r="AH462" s="162" t="s">
        <v>193</v>
      </c>
      <c r="AI462" s="165" t="str">
        <f>CONCATENATE(PAA[[#This Row],[Id Interno]],"-",PAA[[#This Row],[tipo de Contrato (TH talento humano - B/S bienes y/o servicios)]],"-",S462,"-",T462,"-",PAA[[#This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63" spans="2:35" ht="70" x14ac:dyDescent="0.35">
      <c r="B463" s="23">
        <v>20260444</v>
      </c>
      <c r="C463" s="99" t="s">
        <v>691</v>
      </c>
      <c r="D463" s="23" t="s">
        <v>105</v>
      </c>
      <c r="E463" s="23" t="s">
        <v>363</v>
      </c>
      <c r="F463" s="159" t="s">
        <v>145</v>
      </c>
      <c r="G463" s="160" t="s">
        <v>373</v>
      </c>
      <c r="H463" s="161">
        <v>11</v>
      </c>
      <c r="I463" s="161">
        <v>0</v>
      </c>
      <c r="J463" s="127">
        <v>36128000</v>
      </c>
      <c r="K463" s="88" t="s">
        <v>398</v>
      </c>
      <c r="L463" s="159" t="s">
        <v>155</v>
      </c>
      <c r="M463" s="162" t="s">
        <v>422</v>
      </c>
      <c r="N463" s="23" t="s">
        <v>197</v>
      </c>
      <c r="O463" s="150" t="s">
        <v>925</v>
      </c>
      <c r="P463" s="159" t="s">
        <v>348</v>
      </c>
      <c r="Q463" s="53" t="s">
        <v>753</v>
      </c>
      <c r="R463" s="162" t="s">
        <v>207</v>
      </c>
      <c r="S463" s="162" t="str">
        <f>MID(PAA[[#This Row],[Meta Proyecto de Inversión]],1,4)</f>
        <v>8126</v>
      </c>
      <c r="T463" s="162" t="str">
        <f>MID(PAA[[#This Row],[Meta Proyecto de Inversión]],6,1)</f>
        <v>8</v>
      </c>
      <c r="U463" s="163" t="str">
        <f>IFERROR(VLOOKUP(N463,TD!$B$50:$F$54,2,0)," ")</f>
        <v>O230117</v>
      </c>
      <c r="V463" s="163" t="str">
        <f>IFERROR(VLOOKUP(N463,TD!$B$50:$F$54,3,0)," ")</f>
        <v>4599</v>
      </c>
      <c r="W463" s="163">
        <f>IFERROR(VLOOKUP(N463,TD!$B$50:$F$54,4,0)," ")</f>
        <v>20240207</v>
      </c>
      <c r="X463" s="162" t="s">
        <v>174</v>
      </c>
      <c r="Y463" s="163" t="str">
        <f>IFERROR(VLOOKUP(X463,TD!$J$51:$K$64,2,0)," ")</f>
        <v>Infraestructura física, mantenimiento y dotación (Sedes construidas, mantenidas reforzadas)</v>
      </c>
      <c r="Z463" s="164" t="str">
        <f t="shared" si="28"/>
        <v>08-Infraestructura física, mantenimiento y dotación (Sedes construidas, mantenidas reforzadas)</v>
      </c>
      <c r="AA463" s="162" t="s">
        <v>227</v>
      </c>
      <c r="AB463" s="163" t="str">
        <f>IFERROR(VLOOKUP(AA463,TD!$N$51:$O$66,2,0)," ")</f>
        <v>Sedes mantenidas</v>
      </c>
      <c r="AC463" s="164" t="str">
        <f t="shared" si="29"/>
        <v>016_Sedes mantenidas</v>
      </c>
      <c r="AD463" s="164" t="str">
        <f t="shared" si="30"/>
        <v>08-Infraestructura física, mantenimiento y dotación (Sedes construidas, mantenidas reforzadas) 016_Sedes mantenidas</v>
      </c>
      <c r="AE463" s="163" t="str">
        <f t="shared" si="31"/>
        <v>O23011745992024020708016</v>
      </c>
      <c r="AF463" s="163" t="str">
        <f>IFERROR(VLOOKUP(AD463,TD!$J$66:$K$89,2,0)," ")</f>
        <v>PM/0131/0108/45990160207</v>
      </c>
      <c r="AG463" s="118" t="s">
        <v>385</v>
      </c>
      <c r="AH463" s="162" t="s">
        <v>193</v>
      </c>
      <c r="AI463" s="165" t="str">
        <f>CONCATENATE(PAA[[#This Row],[Id Interno]],"-",PAA[[#This Row],[tipo de Contrato (TH talento humano - B/S bienes y/o servicios)]],"-",S463,"-",T463,"-",PAA[[#This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64" spans="2:35" ht="56" x14ac:dyDescent="0.35">
      <c r="B464" s="23">
        <v>20260445</v>
      </c>
      <c r="C464" s="99" t="s">
        <v>692</v>
      </c>
      <c r="D464" s="23" t="s">
        <v>105</v>
      </c>
      <c r="E464" s="23" t="s">
        <v>363</v>
      </c>
      <c r="F464" s="159" t="s">
        <v>144</v>
      </c>
      <c r="G464" s="160" t="s">
        <v>373</v>
      </c>
      <c r="H464" s="161">
        <v>11</v>
      </c>
      <c r="I464" s="161">
        <v>0</v>
      </c>
      <c r="J464" s="127">
        <v>66357000</v>
      </c>
      <c r="K464" s="88" t="s">
        <v>398</v>
      </c>
      <c r="L464" s="159" t="s">
        <v>155</v>
      </c>
      <c r="M464" s="162" t="s">
        <v>422</v>
      </c>
      <c r="N464" s="23" t="s">
        <v>197</v>
      </c>
      <c r="O464" s="150" t="s">
        <v>925</v>
      </c>
      <c r="P464" s="159" t="s">
        <v>348</v>
      </c>
      <c r="Q464" s="53" t="s">
        <v>753</v>
      </c>
      <c r="R464" s="162" t="s">
        <v>208</v>
      </c>
      <c r="S464" s="162" t="str">
        <f>MID(PAA[[#This Row],[Meta Proyecto de Inversión]],1,4)</f>
        <v>8126</v>
      </c>
      <c r="T464" s="162" t="str">
        <f>MID(PAA[[#This Row],[Meta Proyecto de Inversión]],6,1)</f>
        <v>9</v>
      </c>
      <c r="U464" s="163" t="str">
        <f>IFERROR(VLOOKUP(N464,TD!$B$50:$F$54,2,0)," ")</f>
        <v>O230117</v>
      </c>
      <c r="V464" s="163" t="str">
        <f>IFERROR(VLOOKUP(N464,TD!$B$50:$F$54,3,0)," ")</f>
        <v>4599</v>
      </c>
      <c r="W464" s="163">
        <f>IFERROR(VLOOKUP(N464,TD!$B$50:$F$54,4,0)," ")</f>
        <v>20240207</v>
      </c>
      <c r="X464" s="162" t="s">
        <v>174</v>
      </c>
      <c r="Y464" s="163" t="str">
        <f>IFERROR(VLOOKUP(X464,TD!$J$51:$K$64,2,0)," ")</f>
        <v>Infraestructura física, mantenimiento y dotación (Sedes construidas, mantenidas reforzadas)</v>
      </c>
      <c r="Z464" s="164" t="str">
        <f t="shared" si="28"/>
        <v>08-Infraestructura física, mantenimiento y dotación (Sedes construidas, mantenidas reforzadas)</v>
      </c>
      <c r="AA464" s="162" t="s">
        <v>227</v>
      </c>
      <c r="AB464" s="163" t="str">
        <f>IFERROR(VLOOKUP(AA464,TD!$N$51:$O$66,2,0)," ")</f>
        <v>Sedes mantenidas</v>
      </c>
      <c r="AC464" s="164" t="str">
        <f t="shared" si="29"/>
        <v>016_Sedes mantenidas</v>
      </c>
      <c r="AD464" s="164" t="str">
        <f t="shared" si="30"/>
        <v>08-Infraestructura física, mantenimiento y dotación (Sedes construidas, mantenidas reforzadas) 016_Sedes mantenidas</v>
      </c>
      <c r="AE464" s="163" t="str">
        <f t="shared" si="31"/>
        <v>O23011745992024020708016</v>
      </c>
      <c r="AF464" s="163" t="str">
        <f>IFERROR(VLOOKUP(AD464,TD!$J$66:$K$89,2,0)," ")</f>
        <v>PM/0131/0108/45990160207</v>
      </c>
      <c r="AG464" s="118" t="s">
        <v>385</v>
      </c>
      <c r="AH464" s="162" t="s">
        <v>193</v>
      </c>
      <c r="AI464" s="165" t="str">
        <f>CONCATENATE(PAA[[#This Row],[Id Interno]],"-",PAA[[#This Row],[tipo de Contrato (TH talento humano - B/S bienes y/o servicios)]],"-",S464,"-",T464,"-",PAA[[#This Row],[Objeto de la contratación]])</f>
        <v>20260445-TH-8126-9-Prestación de servicios profesionales al área Financiera de la Subdirección de Gestión Corporativa--SGC</v>
      </c>
    </row>
    <row r="465" spans="2:35" ht="56" x14ac:dyDescent="0.35">
      <c r="B465" s="23">
        <v>20260446</v>
      </c>
      <c r="C465" s="99" t="s">
        <v>692</v>
      </c>
      <c r="D465" s="23" t="s">
        <v>105</v>
      </c>
      <c r="E465" s="23" t="s">
        <v>363</v>
      </c>
      <c r="F465" s="159" t="s">
        <v>144</v>
      </c>
      <c r="G465" s="160" t="s">
        <v>373</v>
      </c>
      <c r="H465" s="161">
        <v>11</v>
      </c>
      <c r="I465" s="161">
        <v>0</v>
      </c>
      <c r="J465" s="127">
        <v>66357000</v>
      </c>
      <c r="K465" s="88" t="s">
        <v>398</v>
      </c>
      <c r="L465" s="159" t="s">
        <v>155</v>
      </c>
      <c r="M465" s="162" t="s">
        <v>422</v>
      </c>
      <c r="N465" s="23" t="s">
        <v>197</v>
      </c>
      <c r="O465" s="150" t="s">
        <v>925</v>
      </c>
      <c r="P465" s="159" t="s">
        <v>348</v>
      </c>
      <c r="Q465" s="53" t="s">
        <v>753</v>
      </c>
      <c r="R465" s="162" t="s">
        <v>208</v>
      </c>
      <c r="S465" s="162" t="str">
        <f>MID(PAA[[#This Row],[Meta Proyecto de Inversión]],1,4)</f>
        <v>8126</v>
      </c>
      <c r="T465" s="162" t="str">
        <f>MID(PAA[[#This Row],[Meta Proyecto de Inversión]],6,1)</f>
        <v>9</v>
      </c>
      <c r="U465" s="163" t="str">
        <f>IFERROR(VLOOKUP(N465,TD!$B$50:$F$54,2,0)," ")</f>
        <v>O230117</v>
      </c>
      <c r="V465" s="163" t="str">
        <f>IFERROR(VLOOKUP(N465,TD!$B$50:$F$54,3,0)," ")</f>
        <v>4599</v>
      </c>
      <c r="W465" s="163">
        <f>IFERROR(VLOOKUP(N465,TD!$B$50:$F$54,4,0)," ")</f>
        <v>20240207</v>
      </c>
      <c r="X465" s="162" t="s">
        <v>174</v>
      </c>
      <c r="Y465" s="163" t="str">
        <f>IFERROR(VLOOKUP(X465,TD!$J$51:$K$64,2,0)," ")</f>
        <v>Infraestructura física, mantenimiento y dotación (Sedes construidas, mantenidas reforzadas)</v>
      </c>
      <c r="Z465" s="164" t="str">
        <f t="shared" si="28"/>
        <v>08-Infraestructura física, mantenimiento y dotación (Sedes construidas, mantenidas reforzadas)</v>
      </c>
      <c r="AA465" s="162" t="s">
        <v>227</v>
      </c>
      <c r="AB465" s="163" t="str">
        <f>IFERROR(VLOOKUP(AA465,TD!$N$51:$O$66,2,0)," ")</f>
        <v>Sedes mantenidas</v>
      </c>
      <c r="AC465" s="164" t="str">
        <f t="shared" si="29"/>
        <v>016_Sedes mantenidas</v>
      </c>
      <c r="AD465" s="164" t="str">
        <f t="shared" si="30"/>
        <v>08-Infraestructura física, mantenimiento y dotación (Sedes construidas, mantenidas reforzadas) 016_Sedes mantenidas</v>
      </c>
      <c r="AE465" s="163" t="str">
        <f t="shared" si="31"/>
        <v>O23011745992024020708016</v>
      </c>
      <c r="AF465" s="163" t="str">
        <f>IFERROR(VLOOKUP(AD465,TD!$J$66:$K$89,2,0)," ")</f>
        <v>PM/0131/0108/45990160207</v>
      </c>
      <c r="AG465" s="118" t="s">
        <v>385</v>
      </c>
      <c r="AH465" s="162" t="s">
        <v>193</v>
      </c>
      <c r="AI465" s="165" t="str">
        <f>CONCATENATE(PAA[[#This Row],[Id Interno]],"-",PAA[[#This Row],[tipo de Contrato (TH talento humano - B/S bienes y/o servicios)]],"-",S465,"-",T465,"-",PAA[[#This Row],[Objeto de la contratación]])</f>
        <v>20260446-TH-8126-9-Prestación de servicios profesionales al área Financiera de la Subdirección de Gestión Corporativa--SGC</v>
      </c>
    </row>
    <row r="466" spans="2:35" ht="56" x14ac:dyDescent="0.35">
      <c r="B466" s="23">
        <v>20260447</v>
      </c>
      <c r="C466" s="99" t="s">
        <v>693</v>
      </c>
      <c r="D466" s="23" t="s">
        <v>105</v>
      </c>
      <c r="E466" s="23" t="s">
        <v>363</v>
      </c>
      <c r="F466" s="159" t="s">
        <v>145</v>
      </c>
      <c r="G466" s="160" t="s">
        <v>373</v>
      </c>
      <c r="H466" s="161">
        <v>11</v>
      </c>
      <c r="I466" s="161">
        <v>0</v>
      </c>
      <c r="J466" s="127">
        <v>49399000</v>
      </c>
      <c r="K466" s="88" t="s">
        <v>398</v>
      </c>
      <c r="L466" s="159" t="s">
        <v>155</v>
      </c>
      <c r="M466" s="162" t="s">
        <v>422</v>
      </c>
      <c r="N466" s="23" t="s">
        <v>197</v>
      </c>
      <c r="O466" s="150" t="s">
        <v>925</v>
      </c>
      <c r="P466" s="159" t="s">
        <v>348</v>
      </c>
      <c r="Q466" s="53" t="s">
        <v>753</v>
      </c>
      <c r="R466" s="162" t="s">
        <v>208</v>
      </c>
      <c r="S466" s="162" t="str">
        <f>MID(PAA[[#This Row],[Meta Proyecto de Inversión]],1,4)</f>
        <v>8126</v>
      </c>
      <c r="T466" s="162" t="str">
        <f>MID(PAA[[#This Row],[Meta Proyecto de Inversión]],6,1)</f>
        <v>9</v>
      </c>
      <c r="U466" s="163" t="str">
        <f>IFERROR(VLOOKUP(N466,TD!$B$50:$F$54,2,0)," ")</f>
        <v>O230117</v>
      </c>
      <c r="V466" s="163" t="str">
        <f>IFERROR(VLOOKUP(N466,TD!$B$50:$F$54,3,0)," ")</f>
        <v>4599</v>
      </c>
      <c r="W466" s="163">
        <f>IFERROR(VLOOKUP(N466,TD!$B$50:$F$54,4,0)," ")</f>
        <v>20240207</v>
      </c>
      <c r="X466" s="162" t="s">
        <v>174</v>
      </c>
      <c r="Y466" s="163" t="str">
        <f>IFERROR(VLOOKUP(X466,TD!$J$51:$K$64,2,0)," ")</f>
        <v>Infraestructura física, mantenimiento y dotación (Sedes construidas, mantenidas reforzadas)</v>
      </c>
      <c r="Z466" s="164" t="str">
        <f t="shared" si="28"/>
        <v>08-Infraestructura física, mantenimiento y dotación (Sedes construidas, mantenidas reforzadas)</v>
      </c>
      <c r="AA466" s="162" t="s">
        <v>227</v>
      </c>
      <c r="AB466" s="163" t="str">
        <f>IFERROR(VLOOKUP(AA466,TD!$N$51:$O$66,2,0)," ")</f>
        <v>Sedes mantenidas</v>
      </c>
      <c r="AC466" s="164" t="str">
        <f t="shared" si="29"/>
        <v>016_Sedes mantenidas</v>
      </c>
      <c r="AD466" s="164" t="str">
        <f t="shared" si="30"/>
        <v>08-Infraestructura física, mantenimiento y dotación (Sedes construidas, mantenidas reforzadas) 016_Sedes mantenidas</v>
      </c>
      <c r="AE466" s="163" t="str">
        <f t="shared" si="31"/>
        <v>O23011745992024020708016</v>
      </c>
      <c r="AF466" s="163" t="str">
        <f>IFERROR(VLOOKUP(AD466,TD!$J$66:$K$89,2,0)," ")</f>
        <v>PM/0131/0108/45990160207</v>
      </c>
      <c r="AG466" s="118" t="s">
        <v>385</v>
      </c>
      <c r="AH466" s="162" t="s">
        <v>193</v>
      </c>
      <c r="AI466" s="165" t="str">
        <f>CONCATENATE(PAA[[#This Row],[Id Interno]],"-",PAA[[#This Row],[tipo de Contrato (TH talento humano - B/S bienes y/o servicios)]],"-",S466,"-",T466,"-",PAA[[#This Row],[Objeto de la contratación]])</f>
        <v>20260447-TH-8126-9-Prestación de servicios de apoyo a la gestión del área Financiera de la Subdirección de Gestión Corporativa.-SGC</v>
      </c>
    </row>
    <row r="467" spans="2:35" ht="56" x14ac:dyDescent="0.35">
      <c r="B467" s="23">
        <v>20260448</v>
      </c>
      <c r="C467" s="99" t="s">
        <v>694</v>
      </c>
      <c r="D467" s="23" t="s">
        <v>105</v>
      </c>
      <c r="E467" s="23" t="s">
        <v>363</v>
      </c>
      <c r="F467" s="159" t="s">
        <v>144</v>
      </c>
      <c r="G467" s="160" t="s">
        <v>373</v>
      </c>
      <c r="H467" s="161">
        <v>11</v>
      </c>
      <c r="I467" s="161">
        <v>0</v>
      </c>
      <c r="J467" s="127">
        <v>66357000</v>
      </c>
      <c r="K467" s="88" t="s">
        <v>398</v>
      </c>
      <c r="L467" s="159" t="s">
        <v>155</v>
      </c>
      <c r="M467" s="162" t="s">
        <v>422</v>
      </c>
      <c r="N467" s="23" t="s">
        <v>197</v>
      </c>
      <c r="O467" s="150" t="s">
        <v>925</v>
      </c>
      <c r="P467" s="159" t="s">
        <v>348</v>
      </c>
      <c r="Q467" s="53" t="s">
        <v>753</v>
      </c>
      <c r="R467" s="162" t="s">
        <v>208</v>
      </c>
      <c r="S467" s="162" t="str">
        <f>MID(PAA[[#This Row],[Meta Proyecto de Inversión]],1,4)</f>
        <v>8126</v>
      </c>
      <c r="T467" s="162" t="str">
        <f>MID(PAA[[#This Row],[Meta Proyecto de Inversión]],6,1)</f>
        <v>9</v>
      </c>
      <c r="U467" s="163" t="str">
        <f>IFERROR(VLOOKUP(N467,TD!$B$50:$F$54,2,0)," ")</f>
        <v>O230117</v>
      </c>
      <c r="V467" s="163" t="str">
        <f>IFERROR(VLOOKUP(N467,TD!$B$50:$F$54,3,0)," ")</f>
        <v>4599</v>
      </c>
      <c r="W467" s="163">
        <f>IFERROR(VLOOKUP(N467,TD!$B$50:$F$54,4,0)," ")</f>
        <v>20240207</v>
      </c>
      <c r="X467" s="162" t="s">
        <v>174</v>
      </c>
      <c r="Y467" s="163" t="str">
        <f>IFERROR(VLOOKUP(X467,TD!$J$51:$K$64,2,0)," ")</f>
        <v>Infraestructura física, mantenimiento y dotación (Sedes construidas, mantenidas reforzadas)</v>
      </c>
      <c r="Z467" s="164" t="str">
        <f t="shared" si="28"/>
        <v>08-Infraestructura física, mantenimiento y dotación (Sedes construidas, mantenidas reforzadas)</v>
      </c>
      <c r="AA467" s="162" t="s">
        <v>227</v>
      </c>
      <c r="AB467" s="163" t="str">
        <f>IFERROR(VLOOKUP(AA467,TD!$N$51:$O$66,2,0)," ")</f>
        <v>Sedes mantenidas</v>
      </c>
      <c r="AC467" s="164" t="str">
        <f t="shared" si="29"/>
        <v>016_Sedes mantenidas</v>
      </c>
      <c r="AD467" s="164" t="str">
        <f t="shared" si="30"/>
        <v>08-Infraestructura física, mantenimiento y dotación (Sedes construidas, mantenidas reforzadas) 016_Sedes mantenidas</v>
      </c>
      <c r="AE467" s="163" t="str">
        <f t="shared" si="31"/>
        <v>O23011745992024020708016</v>
      </c>
      <c r="AF467" s="163" t="str">
        <f>IFERROR(VLOOKUP(AD467,TD!$J$66:$K$89,2,0)," ")</f>
        <v>PM/0131/0108/45990160207</v>
      </c>
      <c r="AG467" s="118" t="s">
        <v>385</v>
      </c>
      <c r="AH467" s="162" t="s">
        <v>193</v>
      </c>
      <c r="AI467" s="165" t="str">
        <f>CONCATENATE(PAA[[#This Row],[Id Interno]],"-",PAA[[#This Row],[tipo de Contrato (TH talento humano - B/S bienes y/o servicios)]],"-",S467,"-",T467,"-",PAA[[#This Row],[Objeto de la contratación]])</f>
        <v>20260448-TH-8126-9-Prestación de servicios profesionales para el seguimiento, ejecución de los procesos de gestión de pagos que se desarrollan en el área Financiera de la UAE Cuerpo Oficial de Bomberos asignados. -SGC</v>
      </c>
    </row>
    <row r="468" spans="2:35" ht="56" x14ac:dyDescent="0.35">
      <c r="B468" s="23">
        <v>20260449</v>
      </c>
      <c r="C468" s="99" t="s">
        <v>695</v>
      </c>
      <c r="D468" s="23" t="s">
        <v>105</v>
      </c>
      <c r="E468" s="23" t="s">
        <v>363</v>
      </c>
      <c r="F468" s="159" t="s">
        <v>144</v>
      </c>
      <c r="G468" s="160" t="s">
        <v>373</v>
      </c>
      <c r="H468" s="161">
        <v>11</v>
      </c>
      <c r="I468" s="161">
        <v>0</v>
      </c>
      <c r="J468" s="127">
        <v>102034000</v>
      </c>
      <c r="K468" s="88" t="s">
        <v>398</v>
      </c>
      <c r="L468" s="159" t="s">
        <v>155</v>
      </c>
      <c r="M468" s="162" t="s">
        <v>422</v>
      </c>
      <c r="N468" s="23" t="s">
        <v>197</v>
      </c>
      <c r="O468" s="150" t="s">
        <v>925</v>
      </c>
      <c r="P468" s="159" t="s">
        <v>348</v>
      </c>
      <c r="Q468" s="53" t="s">
        <v>753</v>
      </c>
      <c r="R468" s="162" t="s">
        <v>207</v>
      </c>
      <c r="S468" s="162" t="str">
        <f>MID(PAA[[#This Row],[Meta Proyecto de Inversión]],1,4)</f>
        <v>8126</v>
      </c>
      <c r="T468" s="162" t="str">
        <f>MID(PAA[[#This Row],[Meta Proyecto de Inversión]],6,1)</f>
        <v>8</v>
      </c>
      <c r="U468" s="163" t="str">
        <f>IFERROR(VLOOKUP(N468,TD!$B$50:$F$54,2,0)," ")</f>
        <v>O230117</v>
      </c>
      <c r="V468" s="163" t="str">
        <f>IFERROR(VLOOKUP(N468,TD!$B$50:$F$54,3,0)," ")</f>
        <v>4599</v>
      </c>
      <c r="W468" s="163">
        <f>IFERROR(VLOOKUP(N468,TD!$B$50:$F$54,4,0)," ")</f>
        <v>20240207</v>
      </c>
      <c r="X468" s="162" t="s">
        <v>174</v>
      </c>
      <c r="Y468" s="163" t="str">
        <f>IFERROR(VLOOKUP(X468,TD!$J$51:$K$64,2,0)," ")</f>
        <v>Infraestructura física, mantenimiento y dotación (Sedes construidas, mantenidas reforzadas)</v>
      </c>
      <c r="Z468" s="164" t="str">
        <f t="shared" si="28"/>
        <v>08-Infraestructura física, mantenimiento y dotación (Sedes construidas, mantenidas reforzadas)</v>
      </c>
      <c r="AA468" s="162" t="s">
        <v>227</v>
      </c>
      <c r="AB468" s="163" t="str">
        <f>IFERROR(VLOOKUP(AA468,TD!$N$51:$O$66,2,0)," ")</f>
        <v>Sedes mantenidas</v>
      </c>
      <c r="AC468" s="164" t="str">
        <f t="shared" si="29"/>
        <v>016_Sedes mantenidas</v>
      </c>
      <c r="AD468" s="164" t="str">
        <f t="shared" si="30"/>
        <v>08-Infraestructura física, mantenimiento y dotación (Sedes construidas, mantenidas reforzadas) 016_Sedes mantenidas</v>
      </c>
      <c r="AE468" s="163" t="str">
        <f t="shared" si="31"/>
        <v>O23011745992024020708016</v>
      </c>
      <c r="AF468" s="163" t="str">
        <f>IFERROR(VLOOKUP(AD468,TD!$J$66:$K$89,2,0)," ")</f>
        <v>PM/0131/0108/45990160207</v>
      </c>
      <c r="AG468" s="118" t="s">
        <v>385</v>
      </c>
      <c r="AH468" s="162" t="s">
        <v>193</v>
      </c>
      <c r="AI468" s="165" t="str">
        <f>CONCATENATE(PAA[[#This Row],[Id Interno]],"-",PAA[[#This Row],[tipo de Contrato (TH talento humano - B/S bienes y/o servicios)]],"-",S468,"-",T468,"-",PAA[[#This Row],[Objeto de la contratación]])</f>
        <v>20260449-TH-8126-8-Prestación de servicios profesionales especializados para apoyar las actividades de seguimiento técnico del Área de Infraestructura de la Subdirección de Gestión Corporativa-SGC</v>
      </c>
    </row>
    <row r="469" spans="2:35" ht="70" x14ac:dyDescent="0.35">
      <c r="B469" s="23">
        <v>20260450</v>
      </c>
      <c r="C469" s="99" t="s">
        <v>691</v>
      </c>
      <c r="D469" s="23" t="s">
        <v>105</v>
      </c>
      <c r="E469" s="23" t="s">
        <v>363</v>
      </c>
      <c r="F469" s="159" t="s">
        <v>145</v>
      </c>
      <c r="G469" s="160" t="s">
        <v>373</v>
      </c>
      <c r="H469" s="161">
        <v>11</v>
      </c>
      <c r="I469" s="161">
        <v>0</v>
      </c>
      <c r="J469" s="127">
        <v>36128000</v>
      </c>
      <c r="K469" s="88" t="s">
        <v>398</v>
      </c>
      <c r="L469" s="159" t="s">
        <v>155</v>
      </c>
      <c r="M469" s="162" t="s">
        <v>422</v>
      </c>
      <c r="N469" s="23" t="s">
        <v>197</v>
      </c>
      <c r="O469" s="150" t="s">
        <v>925</v>
      </c>
      <c r="P469" s="159" t="s">
        <v>348</v>
      </c>
      <c r="Q469" s="53" t="s">
        <v>753</v>
      </c>
      <c r="R469" s="162" t="s">
        <v>207</v>
      </c>
      <c r="S469" s="162" t="str">
        <f>MID(PAA[[#This Row],[Meta Proyecto de Inversión]],1,4)</f>
        <v>8126</v>
      </c>
      <c r="T469" s="162" t="str">
        <f>MID(PAA[[#This Row],[Meta Proyecto de Inversión]],6,1)</f>
        <v>8</v>
      </c>
      <c r="U469" s="163" t="str">
        <f>IFERROR(VLOOKUP(N469,TD!$B$50:$F$54,2,0)," ")</f>
        <v>O230117</v>
      </c>
      <c r="V469" s="163" t="str">
        <f>IFERROR(VLOOKUP(N469,TD!$B$50:$F$54,3,0)," ")</f>
        <v>4599</v>
      </c>
      <c r="W469" s="163">
        <f>IFERROR(VLOOKUP(N469,TD!$B$50:$F$54,4,0)," ")</f>
        <v>20240207</v>
      </c>
      <c r="X469" s="162" t="s">
        <v>174</v>
      </c>
      <c r="Y469" s="163" t="str">
        <f>IFERROR(VLOOKUP(X469,TD!$J$51:$K$64,2,0)," ")</f>
        <v>Infraestructura física, mantenimiento y dotación (Sedes construidas, mantenidas reforzadas)</v>
      </c>
      <c r="Z469" s="164" t="str">
        <f t="shared" si="28"/>
        <v>08-Infraestructura física, mantenimiento y dotación (Sedes construidas, mantenidas reforzadas)</v>
      </c>
      <c r="AA469" s="162" t="s">
        <v>227</v>
      </c>
      <c r="AB469" s="163" t="str">
        <f>IFERROR(VLOOKUP(AA469,TD!$N$51:$O$66,2,0)," ")</f>
        <v>Sedes mantenidas</v>
      </c>
      <c r="AC469" s="164" t="str">
        <f t="shared" si="29"/>
        <v>016_Sedes mantenidas</v>
      </c>
      <c r="AD469" s="164" t="str">
        <f t="shared" si="30"/>
        <v>08-Infraestructura física, mantenimiento y dotación (Sedes construidas, mantenidas reforzadas) 016_Sedes mantenidas</v>
      </c>
      <c r="AE469" s="163" t="str">
        <f t="shared" si="31"/>
        <v>O23011745992024020708016</v>
      </c>
      <c r="AF469" s="163" t="str">
        <f>IFERROR(VLOOKUP(AD469,TD!$J$66:$K$89,2,0)," ")</f>
        <v>PM/0131/0108/45990160207</v>
      </c>
      <c r="AG469" s="118" t="s">
        <v>385</v>
      </c>
      <c r="AH469" s="162" t="s">
        <v>193</v>
      </c>
      <c r="AI469" s="165" t="str">
        <f>CONCATENATE(PAA[[#This Row],[Id Interno]],"-",PAA[[#This Row],[tipo de Contrato (TH talento humano - B/S bienes y/o servicios)]],"-",S469,"-",T469,"-",PAA[[#This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70" spans="2:35" ht="70" x14ac:dyDescent="0.35">
      <c r="B470" s="23">
        <v>20260451</v>
      </c>
      <c r="C470" s="99" t="s">
        <v>691</v>
      </c>
      <c r="D470" s="23" t="s">
        <v>105</v>
      </c>
      <c r="E470" s="23" t="s">
        <v>363</v>
      </c>
      <c r="F470" s="159" t="s">
        <v>145</v>
      </c>
      <c r="G470" s="160" t="s">
        <v>373</v>
      </c>
      <c r="H470" s="161">
        <v>11</v>
      </c>
      <c r="I470" s="161">
        <v>0</v>
      </c>
      <c r="J470" s="127">
        <v>36128000</v>
      </c>
      <c r="K470" s="88" t="s">
        <v>398</v>
      </c>
      <c r="L470" s="159" t="s">
        <v>155</v>
      </c>
      <c r="M470" s="162" t="s">
        <v>422</v>
      </c>
      <c r="N470" s="23" t="s">
        <v>197</v>
      </c>
      <c r="O470" s="150" t="s">
        <v>925</v>
      </c>
      <c r="P470" s="159" t="s">
        <v>348</v>
      </c>
      <c r="Q470" s="53" t="s">
        <v>753</v>
      </c>
      <c r="R470" s="162" t="s">
        <v>207</v>
      </c>
      <c r="S470" s="162" t="str">
        <f>MID(PAA[[#This Row],[Meta Proyecto de Inversión]],1,4)</f>
        <v>8126</v>
      </c>
      <c r="T470" s="162" t="str">
        <f>MID(PAA[[#This Row],[Meta Proyecto de Inversión]],6,1)</f>
        <v>8</v>
      </c>
      <c r="U470" s="163" t="str">
        <f>IFERROR(VLOOKUP(N470,TD!$B$50:$F$54,2,0)," ")</f>
        <v>O230117</v>
      </c>
      <c r="V470" s="163" t="str">
        <f>IFERROR(VLOOKUP(N470,TD!$B$50:$F$54,3,0)," ")</f>
        <v>4599</v>
      </c>
      <c r="W470" s="163">
        <f>IFERROR(VLOOKUP(N470,TD!$B$50:$F$54,4,0)," ")</f>
        <v>20240207</v>
      </c>
      <c r="X470" s="162" t="s">
        <v>174</v>
      </c>
      <c r="Y470" s="163" t="str">
        <f>IFERROR(VLOOKUP(X470,TD!$J$51:$K$64,2,0)," ")</f>
        <v>Infraestructura física, mantenimiento y dotación (Sedes construidas, mantenidas reforzadas)</v>
      </c>
      <c r="Z470" s="164" t="str">
        <f t="shared" si="28"/>
        <v>08-Infraestructura física, mantenimiento y dotación (Sedes construidas, mantenidas reforzadas)</v>
      </c>
      <c r="AA470" s="162" t="s">
        <v>227</v>
      </c>
      <c r="AB470" s="163" t="str">
        <f>IFERROR(VLOOKUP(AA470,TD!$N$51:$O$66,2,0)," ")</f>
        <v>Sedes mantenidas</v>
      </c>
      <c r="AC470" s="164" t="str">
        <f t="shared" si="29"/>
        <v>016_Sedes mantenidas</v>
      </c>
      <c r="AD470" s="164" t="str">
        <f t="shared" si="30"/>
        <v>08-Infraestructura física, mantenimiento y dotación (Sedes construidas, mantenidas reforzadas) 016_Sedes mantenidas</v>
      </c>
      <c r="AE470" s="163" t="str">
        <f t="shared" si="31"/>
        <v>O23011745992024020708016</v>
      </c>
      <c r="AF470" s="163" t="str">
        <f>IFERROR(VLOOKUP(AD470,TD!$J$66:$K$89,2,0)," ")</f>
        <v>PM/0131/0108/45990160207</v>
      </c>
      <c r="AG470" s="118" t="s">
        <v>385</v>
      </c>
      <c r="AH470" s="162" t="s">
        <v>193</v>
      </c>
      <c r="AI470" s="165" t="str">
        <f>CONCATENATE(PAA[[#This Row],[Id Interno]],"-",PAA[[#This Row],[tipo de Contrato (TH talento humano - B/S bienes y/o servicios)]],"-",S470,"-",T470,"-",PAA[[#This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71" spans="2:35" ht="42" x14ac:dyDescent="0.35">
      <c r="B471" s="23">
        <v>20260452</v>
      </c>
      <c r="C471" s="99" t="s">
        <v>696</v>
      </c>
      <c r="D471" s="23" t="s">
        <v>105</v>
      </c>
      <c r="E471" s="23" t="s">
        <v>363</v>
      </c>
      <c r="F471" s="159" t="s">
        <v>144</v>
      </c>
      <c r="G471" s="160" t="s">
        <v>373</v>
      </c>
      <c r="H471" s="161">
        <v>11</v>
      </c>
      <c r="I471" s="161">
        <v>0</v>
      </c>
      <c r="J471" s="127">
        <v>57200000</v>
      </c>
      <c r="K471" s="88" t="s">
        <v>398</v>
      </c>
      <c r="L471" s="159" t="s">
        <v>155</v>
      </c>
      <c r="M471" s="162" t="s">
        <v>422</v>
      </c>
      <c r="N471" s="23" t="s">
        <v>198</v>
      </c>
      <c r="O471" s="150" t="s">
        <v>926</v>
      </c>
      <c r="P471" s="159" t="s">
        <v>348</v>
      </c>
      <c r="Q471" s="53" t="s">
        <v>753</v>
      </c>
      <c r="R471" s="162" t="s">
        <v>216</v>
      </c>
      <c r="S471" s="162" t="str">
        <f>MID(PAA[[#This Row],[Meta Proyecto de Inversión]],1,4)</f>
        <v>8173</v>
      </c>
      <c r="T471" s="162" t="str">
        <f>MID(PAA[[#This Row],[Meta Proyecto de Inversión]],6,1)</f>
        <v>7</v>
      </c>
      <c r="U471" s="163" t="str">
        <f>IFERROR(VLOOKUP(N471,TD!$B$50:$F$54,2,0)," ")</f>
        <v>O230117</v>
      </c>
      <c r="V471" s="163" t="str">
        <f>IFERROR(VLOOKUP(N471,TD!$B$50:$F$54,3,0)," ")</f>
        <v>4503</v>
      </c>
      <c r="W471" s="163">
        <f>IFERROR(VLOOKUP(N471,TD!$B$50:$F$54,4,0)," ")</f>
        <v>20240255</v>
      </c>
      <c r="X471" s="162">
        <v>14</v>
      </c>
      <c r="Y471" s="163" t="str">
        <f>IFERROR(VLOOKUP(X471,TD!$J$51:$K$64,2,0)," ")</f>
        <v xml:space="preserve">Infraestructura física misional construida mantenida y dotada </v>
      </c>
      <c r="Z471" s="164" t="str">
        <f t="shared" si="28"/>
        <v xml:space="preserve">14-Infraestructura física misional construida mantenida y dotada </v>
      </c>
      <c r="AA471" s="162" t="s">
        <v>225</v>
      </c>
      <c r="AB471" s="163" t="str">
        <f>IFERROR(VLOOKUP(AA471,TD!$N$51:$O$66,2,0)," ")</f>
        <v>Estaciones de bomberos adecuadas</v>
      </c>
      <c r="AC471" s="164" t="str">
        <f t="shared" si="29"/>
        <v>014_Estaciones de bomberos adecuadas</v>
      </c>
      <c r="AD471" s="164" t="str">
        <f t="shared" si="30"/>
        <v>14-Infraestructura física misional construida mantenida y dotada  014_Estaciones de bomberos adecuadas</v>
      </c>
      <c r="AE471" s="163" t="str">
        <f t="shared" si="31"/>
        <v>O23011745032024025514014</v>
      </c>
      <c r="AF471" s="163" t="str">
        <f>IFERROR(VLOOKUP(AD471,TD!$J$66:$K$89,2,0)," ")</f>
        <v>PM/0131/0114/45030140255</v>
      </c>
      <c r="AG471" s="118" t="s">
        <v>385</v>
      </c>
      <c r="AH471" s="162" t="s">
        <v>193</v>
      </c>
      <c r="AI471" s="165" t="str">
        <f>CONCATENATE(PAA[[#This Row],[Id Interno]],"-",PAA[[#This Row],[tipo de Contrato (TH talento humano - B/S bienes y/o servicios)]],"-",S471,"-",T471,"-",PAA[[#This Row],[Objeto de la contratación]])</f>
        <v>20260452-TH-8173-7-Prestación de servicios profesionales en la proyección y el seguimiento financiero a los proyectos del área de infraestructura de la Subdirección de Gestión Corporativa -SGC</v>
      </c>
    </row>
    <row r="472" spans="2:35" ht="56" x14ac:dyDescent="0.35">
      <c r="B472" s="23">
        <v>20260453</v>
      </c>
      <c r="C472" s="99" t="s">
        <v>697</v>
      </c>
      <c r="D472" s="23" t="s">
        <v>105</v>
      </c>
      <c r="E472" s="23" t="s">
        <v>363</v>
      </c>
      <c r="F472" s="159" t="s">
        <v>144</v>
      </c>
      <c r="G472" s="160" t="s">
        <v>373</v>
      </c>
      <c r="H472" s="161">
        <v>10</v>
      </c>
      <c r="I472" s="161">
        <v>0</v>
      </c>
      <c r="J472" s="127">
        <v>60324000</v>
      </c>
      <c r="K472" s="88" t="s">
        <v>398</v>
      </c>
      <c r="L472" s="159" t="s">
        <v>155</v>
      </c>
      <c r="M472" s="162" t="s">
        <v>422</v>
      </c>
      <c r="N472" s="23" t="s">
        <v>198</v>
      </c>
      <c r="O472" s="150" t="s">
        <v>926</v>
      </c>
      <c r="P472" s="159" t="s">
        <v>348</v>
      </c>
      <c r="Q472" s="53" t="s">
        <v>753</v>
      </c>
      <c r="R472" s="162" t="s">
        <v>216</v>
      </c>
      <c r="S472" s="162" t="str">
        <f>MID(PAA[[#This Row],[Meta Proyecto de Inversión]],1,4)</f>
        <v>8173</v>
      </c>
      <c r="T472" s="162" t="str">
        <f>MID(PAA[[#This Row],[Meta Proyecto de Inversión]],6,1)</f>
        <v>7</v>
      </c>
      <c r="U472" s="163" t="str">
        <f>IFERROR(VLOOKUP(N472,TD!$B$50:$F$54,2,0)," ")</f>
        <v>O230117</v>
      </c>
      <c r="V472" s="163" t="str">
        <f>IFERROR(VLOOKUP(N472,TD!$B$50:$F$54,3,0)," ")</f>
        <v>4503</v>
      </c>
      <c r="W472" s="163">
        <f>IFERROR(VLOOKUP(N472,TD!$B$50:$F$54,4,0)," ")</f>
        <v>20240255</v>
      </c>
      <c r="X472" s="162">
        <v>14</v>
      </c>
      <c r="Y472" s="163" t="str">
        <f>IFERROR(VLOOKUP(X472,TD!$J$51:$K$64,2,0)," ")</f>
        <v xml:space="preserve">Infraestructura física misional construida mantenida y dotada </v>
      </c>
      <c r="Z472" s="164" t="str">
        <f t="shared" si="28"/>
        <v xml:space="preserve">14-Infraestructura física misional construida mantenida y dotada </v>
      </c>
      <c r="AA472" s="162" t="s">
        <v>225</v>
      </c>
      <c r="AB472" s="163" t="str">
        <f>IFERROR(VLOOKUP(AA472,TD!$N$51:$O$66,2,0)," ")</f>
        <v>Estaciones de bomberos adecuadas</v>
      </c>
      <c r="AC472" s="164" t="str">
        <f t="shared" si="29"/>
        <v>014_Estaciones de bomberos adecuadas</v>
      </c>
      <c r="AD472" s="164" t="str">
        <f t="shared" si="30"/>
        <v>14-Infraestructura física misional construida mantenida y dotada  014_Estaciones de bomberos adecuadas</v>
      </c>
      <c r="AE472" s="163" t="str">
        <f t="shared" si="31"/>
        <v>O23011745032024025514014</v>
      </c>
      <c r="AF472" s="163" t="str">
        <f>IFERROR(VLOOKUP(AD472,TD!$J$66:$K$89,2,0)," ")</f>
        <v>PM/0131/0114/45030140255</v>
      </c>
      <c r="AG472" s="118" t="s">
        <v>385</v>
      </c>
      <c r="AH472" s="162" t="s">
        <v>193</v>
      </c>
      <c r="AI472" s="165" t="str">
        <f>CONCATENATE(PAA[[#This Row],[Id Interno]],"-",PAA[[#This Row],[tipo de Contrato (TH talento humano - B/S bienes y/o servicios)]],"-",S472,"-",T472,"-",PAA[[#This Row],[Objeto de la contratación]])</f>
        <v>20260453-TH-8173-7-Prestación de servicios profesionales con el fin de gestionar trámites de carácter técnico, administrativo y operativamente en el desarrollo de los proyectos de inversión  de la entidad-SGC</v>
      </c>
    </row>
    <row r="473" spans="2:35" ht="56" x14ac:dyDescent="0.35">
      <c r="B473" s="23">
        <v>20260454</v>
      </c>
      <c r="C473" s="99" t="s">
        <v>671</v>
      </c>
      <c r="D473" s="23" t="s">
        <v>105</v>
      </c>
      <c r="E473" s="23" t="s">
        <v>363</v>
      </c>
      <c r="F473" s="159" t="s">
        <v>144</v>
      </c>
      <c r="G473" s="160" t="s">
        <v>373</v>
      </c>
      <c r="H473" s="161">
        <v>11</v>
      </c>
      <c r="I473" s="161">
        <v>0</v>
      </c>
      <c r="J473" s="127">
        <v>81103000</v>
      </c>
      <c r="K473" s="88" t="s">
        <v>398</v>
      </c>
      <c r="L473" s="159" t="s">
        <v>155</v>
      </c>
      <c r="M473" s="162" t="s">
        <v>422</v>
      </c>
      <c r="N473" s="23" t="s">
        <v>197</v>
      </c>
      <c r="O473" s="150" t="s">
        <v>925</v>
      </c>
      <c r="P473" s="159" t="s">
        <v>348</v>
      </c>
      <c r="Q473" s="53" t="s">
        <v>753</v>
      </c>
      <c r="R473" s="162" t="s">
        <v>208</v>
      </c>
      <c r="S473" s="162" t="str">
        <f>MID(PAA[[#This Row],[Meta Proyecto de Inversión]],1,4)</f>
        <v>8126</v>
      </c>
      <c r="T473" s="162" t="str">
        <f>MID(PAA[[#This Row],[Meta Proyecto de Inversión]],6,1)</f>
        <v>9</v>
      </c>
      <c r="U473" s="163" t="str">
        <f>IFERROR(VLOOKUP(N473,TD!$B$50:$F$54,2,0)," ")</f>
        <v>O230117</v>
      </c>
      <c r="V473" s="163" t="str">
        <f>IFERROR(VLOOKUP(N473,TD!$B$50:$F$54,3,0)," ")</f>
        <v>4599</v>
      </c>
      <c r="W473" s="163">
        <f>IFERROR(VLOOKUP(N473,TD!$B$50:$F$54,4,0)," ")</f>
        <v>20240207</v>
      </c>
      <c r="X473" s="162" t="s">
        <v>174</v>
      </c>
      <c r="Y473" s="163" t="str">
        <f>IFERROR(VLOOKUP(X473,TD!$J$51:$K$64,2,0)," ")</f>
        <v>Infraestructura física, mantenimiento y dotación (Sedes construidas, mantenidas reforzadas)</v>
      </c>
      <c r="Z473" s="164" t="str">
        <f t="shared" si="28"/>
        <v>08-Infraestructura física, mantenimiento y dotación (Sedes construidas, mantenidas reforzadas)</v>
      </c>
      <c r="AA473" s="162" t="s">
        <v>227</v>
      </c>
      <c r="AB473" s="163" t="str">
        <f>IFERROR(VLOOKUP(AA473,TD!$N$51:$O$66,2,0)," ")</f>
        <v>Sedes mantenidas</v>
      </c>
      <c r="AC473" s="164" t="str">
        <f t="shared" si="29"/>
        <v>016_Sedes mantenidas</v>
      </c>
      <c r="AD473" s="164" t="str">
        <f t="shared" si="30"/>
        <v>08-Infraestructura física, mantenimiento y dotación (Sedes construidas, mantenidas reforzadas) 016_Sedes mantenidas</v>
      </c>
      <c r="AE473" s="163" t="str">
        <f t="shared" si="31"/>
        <v>O23011745992024020708016</v>
      </c>
      <c r="AF473" s="163" t="str">
        <f>IFERROR(VLOOKUP(AD473,TD!$J$66:$K$89,2,0)," ")</f>
        <v>PM/0131/0108/45990160207</v>
      </c>
      <c r="AG473" s="118" t="s">
        <v>385</v>
      </c>
      <c r="AH473" s="162" t="s">
        <v>193</v>
      </c>
      <c r="AI473" s="165" t="str">
        <f>CONCATENATE(PAA[[#This Row],[Id Interno]],"-",PAA[[#This Row],[tipo de Contrato (TH talento humano - B/S bienes y/o servicios)]],"-",S473,"-",T473,"-",PAA[[#This Row],[Objeto de la contratación]])</f>
        <v>20260454-TH-8126-9-Prestar servicios profesionales para realizar acompañamiento juridico en la elaboración de los procesos contractuales adelantados por la Subdirección Gestión Corporativa -SGC</v>
      </c>
    </row>
    <row r="474" spans="2:35" ht="56" x14ac:dyDescent="0.35">
      <c r="B474" s="23">
        <v>20260455</v>
      </c>
      <c r="C474" s="99" t="s">
        <v>683</v>
      </c>
      <c r="D474" s="23" t="s">
        <v>105</v>
      </c>
      <c r="E474" s="23" t="s">
        <v>363</v>
      </c>
      <c r="F474" s="159" t="s">
        <v>144</v>
      </c>
      <c r="G474" s="160" t="s">
        <v>373</v>
      </c>
      <c r="H474" s="161">
        <v>11</v>
      </c>
      <c r="I474" s="161">
        <v>0</v>
      </c>
      <c r="J474" s="127">
        <v>99000000</v>
      </c>
      <c r="K474" s="88" t="s">
        <v>398</v>
      </c>
      <c r="L474" s="159" t="s">
        <v>155</v>
      </c>
      <c r="M474" s="162" t="s">
        <v>422</v>
      </c>
      <c r="N474" s="23" t="s">
        <v>198</v>
      </c>
      <c r="O474" s="150" t="s">
        <v>926</v>
      </c>
      <c r="P474" s="159" t="s">
        <v>348</v>
      </c>
      <c r="Q474" s="53" t="s">
        <v>753</v>
      </c>
      <c r="R474" s="162" t="s">
        <v>216</v>
      </c>
      <c r="S474" s="162" t="str">
        <f>MID(PAA[[#This Row],[Meta Proyecto de Inversión]],1,4)</f>
        <v>8173</v>
      </c>
      <c r="T474" s="162" t="str">
        <f>MID(PAA[[#This Row],[Meta Proyecto de Inversión]],6,1)</f>
        <v>7</v>
      </c>
      <c r="U474" s="163" t="str">
        <f>IFERROR(VLOOKUP(N474,TD!$B$50:$F$54,2,0)," ")</f>
        <v>O230117</v>
      </c>
      <c r="V474" s="163" t="str">
        <f>IFERROR(VLOOKUP(N474,TD!$B$50:$F$54,3,0)," ")</f>
        <v>4503</v>
      </c>
      <c r="W474" s="163">
        <f>IFERROR(VLOOKUP(N474,TD!$B$50:$F$54,4,0)," ")</f>
        <v>20240255</v>
      </c>
      <c r="X474" s="162">
        <v>14</v>
      </c>
      <c r="Y474" s="163" t="str">
        <f>IFERROR(VLOOKUP(X474,TD!$J$51:$K$64,2,0)," ")</f>
        <v xml:space="preserve">Infraestructura física misional construida mantenida y dotada </v>
      </c>
      <c r="Z474" s="164" t="str">
        <f t="shared" si="28"/>
        <v xml:space="preserve">14-Infraestructura física misional construida mantenida y dotada </v>
      </c>
      <c r="AA474" s="162" t="s">
        <v>225</v>
      </c>
      <c r="AB474" s="163" t="str">
        <f>IFERROR(VLOOKUP(AA474,TD!$N$51:$O$66,2,0)," ")</f>
        <v>Estaciones de bomberos adecuadas</v>
      </c>
      <c r="AC474" s="164" t="str">
        <f t="shared" si="29"/>
        <v>014_Estaciones de bomberos adecuadas</v>
      </c>
      <c r="AD474" s="164" t="str">
        <f t="shared" si="30"/>
        <v>14-Infraestructura física misional construida mantenida y dotada  014_Estaciones de bomberos adecuadas</v>
      </c>
      <c r="AE474" s="163" t="str">
        <f t="shared" si="31"/>
        <v>O23011745032024025514014</v>
      </c>
      <c r="AF474" s="163" t="str">
        <f>IFERROR(VLOOKUP(AD474,TD!$J$66:$K$89,2,0)," ")</f>
        <v>PM/0131/0114/45030140255</v>
      </c>
      <c r="AG474" s="118" t="s">
        <v>385</v>
      </c>
      <c r="AH474" s="162" t="s">
        <v>193</v>
      </c>
      <c r="AI474" s="165" t="str">
        <f>CONCATENATE(PAA[[#This Row],[Id Interno]],"-",PAA[[#This Row],[tipo de Contrato (TH talento humano - B/S bienes y/o servicios)]],"-",S474,"-",T474,"-",PAA[[#This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75" spans="2:35" ht="70" x14ac:dyDescent="0.35">
      <c r="B475" s="23">
        <v>20260456</v>
      </c>
      <c r="C475" s="99" t="s">
        <v>691</v>
      </c>
      <c r="D475" s="23" t="s">
        <v>105</v>
      </c>
      <c r="E475" s="23" t="s">
        <v>363</v>
      </c>
      <c r="F475" s="159" t="s">
        <v>145</v>
      </c>
      <c r="G475" s="160" t="s">
        <v>373</v>
      </c>
      <c r="H475" s="161">
        <v>10</v>
      </c>
      <c r="I475" s="161">
        <v>0</v>
      </c>
      <c r="J475" s="127">
        <v>32843000</v>
      </c>
      <c r="K475" s="88" t="s">
        <v>398</v>
      </c>
      <c r="L475" s="159" t="s">
        <v>155</v>
      </c>
      <c r="M475" s="162" t="s">
        <v>422</v>
      </c>
      <c r="N475" s="23" t="s">
        <v>197</v>
      </c>
      <c r="O475" s="150" t="s">
        <v>925</v>
      </c>
      <c r="P475" s="159" t="s">
        <v>348</v>
      </c>
      <c r="Q475" s="53" t="s">
        <v>753</v>
      </c>
      <c r="R475" s="162" t="s">
        <v>207</v>
      </c>
      <c r="S475" s="162" t="str">
        <f>MID(PAA[[#This Row],[Meta Proyecto de Inversión]],1,4)</f>
        <v>8126</v>
      </c>
      <c r="T475" s="162" t="str">
        <f>MID(PAA[[#This Row],[Meta Proyecto de Inversión]],6,1)</f>
        <v>8</v>
      </c>
      <c r="U475" s="163" t="str">
        <f>IFERROR(VLOOKUP(N475,TD!$B$50:$F$54,2,0)," ")</f>
        <v>O230117</v>
      </c>
      <c r="V475" s="163" t="str">
        <f>IFERROR(VLOOKUP(N475,TD!$B$50:$F$54,3,0)," ")</f>
        <v>4599</v>
      </c>
      <c r="W475" s="163">
        <f>IFERROR(VLOOKUP(N475,TD!$B$50:$F$54,4,0)," ")</f>
        <v>20240207</v>
      </c>
      <c r="X475" s="162" t="s">
        <v>174</v>
      </c>
      <c r="Y475" s="163" t="str">
        <f>IFERROR(VLOOKUP(X475,TD!$J$51:$K$64,2,0)," ")</f>
        <v>Infraestructura física, mantenimiento y dotación (Sedes construidas, mantenidas reforzadas)</v>
      </c>
      <c r="Z475" s="164" t="str">
        <f t="shared" si="28"/>
        <v>08-Infraestructura física, mantenimiento y dotación (Sedes construidas, mantenidas reforzadas)</v>
      </c>
      <c r="AA475" s="162" t="s">
        <v>227</v>
      </c>
      <c r="AB475" s="163" t="str">
        <f>IFERROR(VLOOKUP(AA475,TD!$N$51:$O$66,2,0)," ")</f>
        <v>Sedes mantenidas</v>
      </c>
      <c r="AC475" s="164" t="str">
        <f t="shared" si="29"/>
        <v>016_Sedes mantenidas</v>
      </c>
      <c r="AD475" s="164" t="str">
        <f t="shared" si="30"/>
        <v>08-Infraestructura física, mantenimiento y dotación (Sedes construidas, mantenidas reforzadas) 016_Sedes mantenidas</v>
      </c>
      <c r="AE475" s="163" t="str">
        <f t="shared" si="31"/>
        <v>O23011745992024020708016</v>
      </c>
      <c r="AF475" s="163" t="str">
        <f>IFERROR(VLOOKUP(AD475,TD!$J$66:$K$89,2,0)," ")</f>
        <v>PM/0131/0108/45990160207</v>
      </c>
      <c r="AG475" s="118" t="s">
        <v>385</v>
      </c>
      <c r="AH475" s="162" t="s">
        <v>193</v>
      </c>
      <c r="AI475" s="165" t="str">
        <f>CONCATENATE(PAA[[#This Row],[Id Interno]],"-",PAA[[#This Row],[tipo de Contrato (TH talento humano - B/S bienes y/o servicios)]],"-",S475,"-",T475,"-",PAA[[#This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76" spans="2:35" ht="70" x14ac:dyDescent="0.35">
      <c r="B476" s="23">
        <v>20260457</v>
      </c>
      <c r="C476" s="99" t="s">
        <v>691</v>
      </c>
      <c r="D476" s="23" t="s">
        <v>105</v>
      </c>
      <c r="E476" s="23" t="s">
        <v>363</v>
      </c>
      <c r="F476" s="159" t="s">
        <v>145</v>
      </c>
      <c r="G476" s="160" t="s">
        <v>373</v>
      </c>
      <c r="H476" s="161">
        <v>11</v>
      </c>
      <c r="I476" s="161">
        <v>0</v>
      </c>
      <c r="J476" s="127">
        <v>36128000</v>
      </c>
      <c r="K476" s="88" t="s">
        <v>398</v>
      </c>
      <c r="L476" s="159" t="s">
        <v>155</v>
      </c>
      <c r="M476" s="162" t="s">
        <v>422</v>
      </c>
      <c r="N476" s="23" t="s">
        <v>197</v>
      </c>
      <c r="O476" s="150" t="s">
        <v>925</v>
      </c>
      <c r="P476" s="159" t="s">
        <v>348</v>
      </c>
      <c r="Q476" s="53" t="s">
        <v>753</v>
      </c>
      <c r="R476" s="162" t="s">
        <v>207</v>
      </c>
      <c r="S476" s="162" t="str">
        <f>MID(PAA[[#This Row],[Meta Proyecto de Inversión]],1,4)</f>
        <v>8126</v>
      </c>
      <c r="T476" s="162" t="str">
        <f>MID(PAA[[#This Row],[Meta Proyecto de Inversión]],6,1)</f>
        <v>8</v>
      </c>
      <c r="U476" s="163" t="str">
        <f>IFERROR(VLOOKUP(N476,TD!$B$50:$F$54,2,0)," ")</f>
        <v>O230117</v>
      </c>
      <c r="V476" s="163" t="str">
        <f>IFERROR(VLOOKUP(N476,TD!$B$50:$F$54,3,0)," ")</f>
        <v>4599</v>
      </c>
      <c r="W476" s="163">
        <f>IFERROR(VLOOKUP(N476,TD!$B$50:$F$54,4,0)," ")</f>
        <v>20240207</v>
      </c>
      <c r="X476" s="162" t="s">
        <v>174</v>
      </c>
      <c r="Y476" s="163" t="str">
        <f>IFERROR(VLOOKUP(X476,TD!$J$51:$K$64,2,0)," ")</f>
        <v>Infraestructura física, mantenimiento y dotación (Sedes construidas, mantenidas reforzadas)</v>
      </c>
      <c r="Z476" s="164" t="str">
        <f t="shared" si="28"/>
        <v>08-Infraestructura física, mantenimiento y dotación (Sedes construidas, mantenidas reforzadas)</v>
      </c>
      <c r="AA476" s="162" t="s">
        <v>227</v>
      </c>
      <c r="AB476" s="163" t="str">
        <f>IFERROR(VLOOKUP(AA476,TD!$N$51:$O$66,2,0)," ")</f>
        <v>Sedes mantenidas</v>
      </c>
      <c r="AC476" s="164" t="str">
        <f t="shared" si="29"/>
        <v>016_Sedes mantenidas</v>
      </c>
      <c r="AD476" s="164" t="str">
        <f t="shared" si="30"/>
        <v>08-Infraestructura física, mantenimiento y dotación (Sedes construidas, mantenidas reforzadas) 016_Sedes mantenidas</v>
      </c>
      <c r="AE476" s="163" t="str">
        <f t="shared" si="31"/>
        <v>O23011745992024020708016</v>
      </c>
      <c r="AF476" s="163" t="str">
        <f>IFERROR(VLOOKUP(AD476,TD!$J$66:$K$89,2,0)," ")</f>
        <v>PM/0131/0108/45990160207</v>
      </c>
      <c r="AG476" s="118" t="s">
        <v>385</v>
      </c>
      <c r="AH476" s="162" t="s">
        <v>193</v>
      </c>
      <c r="AI476" s="165" t="str">
        <f>CONCATENATE(PAA[[#This Row],[Id Interno]],"-",PAA[[#This Row],[tipo de Contrato (TH talento humano - B/S bienes y/o servicios)]],"-",S476,"-",T476,"-",PAA[[#This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77" spans="2:35" ht="56" x14ac:dyDescent="0.35">
      <c r="B477" s="23">
        <v>20260458</v>
      </c>
      <c r="C477" s="99" t="s">
        <v>698</v>
      </c>
      <c r="D477" s="23" t="s">
        <v>105</v>
      </c>
      <c r="E477" s="23" t="s">
        <v>363</v>
      </c>
      <c r="F477" s="159" t="s">
        <v>144</v>
      </c>
      <c r="G477" s="160" t="s">
        <v>373</v>
      </c>
      <c r="H477" s="161">
        <v>11</v>
      </c>
      <c r="I477" s="161">
        <v>0</v>
      </c>
      <c r="J477" s="127">
        <v>102034000</v>
      </c>
      <c r="K477" s="88" t="s">
        <v>398</v>
      </c>
      <c r="L477" s="159" t="s">
        <v>155</v>
      </c>
      <c r="M477" s="162" t="s">
        <v>422</v>
      </c>
      <c r="N477" s="23" t="s">
        <v>197</v>
      </c>
      <c r="O477" s="150" t="s">
        <v>925</v>
      </c>
      <c r="P477" s="159" t="s">
        <v>348</v>
      </c>
      <c r="Q477" s="53" t="s">
        <v>753</v>
      </c>
      <c r="R477" s="162" t="s">
        <v>208</v>
      </c>
      <c r="S477" s="162" t="str">
        <f>MID(PAA[[#This Row],[Meta Proyecto de Inversión]],1,4)</f>
        <v>8126</v>
      </c>
      <c r="T477" s="162" t="str">
        <f>MID(PAA[[#This Row],[Meta Proyecto de Inversión]],6,1)</f>
        <v>9</v>
      </c>
      <c r="U477" s="163" t="str">
        <f>IFERROR(VLOOKUP(N477,TD!$B$50:$F$54,2,0)," ")</f>
        <v>O230117</v>
      </c>
      <c r="V477" s="163" t="str">
        <f>IFERROR(VLOOKUP(N477,TD!$B$50:$F$54,3,0)," ")</f>
        <v>4599</v>
      </c>
      <c r="W477" s="163">
        <f>IFERROR(VLOOKUP(N477,TD!$B$50:$F$54,4,0)," ")</f>
        <v>20240207</v>
      </c>
      <c r="X477" s="162" t="s">
        <v>174</v>
      </c>
      <c r="Y477" s="163" t="str">
        <f>IFERROR(VLOOKUP(X477,TD!$J$51:$K$64,2,0)," ")</f>
        <v>Infraestructura física, mantenimiento y dotación (Sedes construidas, mantenidas reforzadas)</v>
      </c>
      <c r="Z477" s="164" t="str">
        <f t="shared" si="28"/>
        <v>08-Infraestructura física, mantenimiento y dotación (Sedes construidas, mantenidas reforzadas)</v>
      </c>
      <c r="AA477" s="162" t="s">
        <v>227</v>
      </c>
      <c r="AB477" s="163" t="str">
        <f>IFERROR(VLOOKUP(AA477,TD!$N$51:$O$66,2,0)," ")</f>
        <v>Sedes mantenidas</v>
      </c>
      <c r="AC477" s="164" t="str">
        <f t="shared" si="29"/>
        <v>016_Sedes mantenidas</v>
      </c>
      <c r="AD477" s="164" t="str">
        <f t="shared" si="30"/>
        <v>08-Infraestructura física, mantenimiento y dotación (Sedes construidas, mantenidas reforzadas) 016_Sedes mantenidas</v>
      </c>
      <c r="AE477" s="163" t="str">
        <f t="shared" si="31"/>
        <v>O23011745992024020708016</v>
      </c>
      <c r="AF477" s="163" t="str">
        <f>IFERROR(VLOOKUP(AD477,TD!$J$66:$K$89,2,0)," ")</f>
        <v>PM/0131/0108/45990160207</v>
      </c>
      <c r="AG477" s="118" t="s">
        <v>385</v>
      </c>
      <c r="AH477" s="162" t="s">
        <v>193</v>
      </c>
      <c r="AI477" s="165" t="str">
        <f>CONCATENATE(PAA[[#This Row],[Id Interno]],"-",PAA[[#This Row],[tipo de Contrato (TH talento humano - B/S bienes y/o servicios)]],"-",S477,"-",T477,"-",PAA[[#This Row],[Objeto de la contratación]])</f>
        <v>20260458-TH-8126-9-Prestación de servicios profesionales especializados para articular y revisar los procesos y procedimientos de la gestión administrativa a cargo de la Subdirección de Gestión Corporativa.- SGC</v>
      </c>
    </row>
    <row r="478" spans="2:35" ht="70" x14ac:dyDescent="0.35">
      <c r="B478" s="23">
        <v>20260459</v>
      </c>
      <c r="C478" s="99" t="s">
        <v>699</v>
      </c>
      <c r="D478" s="23" t="s">
        <v>105</v>
      </c>
      <c r="E478" s="23" t="s">
        <v>363</v>
      </c>
      <c r="F478" s="159" t="s">
        <v>144</v>
      </c>
      <c r="G478" s="160" t="s">
        <v>373</v>
      </c>
      <c r="H478" s="161">
        <v>10</v>
      </c>
      <c r="I478" s="161">
        <v>0</v>
      </c>
      <c r="J478" s="127">
        <v>73730000</v>
      </c>
      <c r="K478" s="88" t="s">
        <v>398</v>
      </c>
      <c r="L478" s="159" t="s">
        <v>155</v>
      </c>
      <c r="M478" s="162" t="s">
        <v>422</v>
      </c>
      <c r="N478" s="23" t="s">
        <v>197</v>
      </c>
      <c r="O478" s="150" t="s">
        <v>925</v>
      </c>
      <c r="P478" s="159" t="s">
        <v>348</v>
      </c>
      <c r="Q478" s="53" t="s">
        <v>753</v>
      </c>
      <c r="R478" s="162" t="s">
        <v>208</v>
      </c>
      <c r="S478" s="162" t="str">
        <f>MID(PAA[[#This Row],[Meta Proyecto de Inversión]],1,4)</f>
        <v>8126</v>
      </c>
      <c r="T478" s="162" t="str">
        <f>MID(PAA[[#This Row],[Meta Proyecto de Inversión]],6,1)</f>
        <v>9</v>
      </c>
      <c r="U478" s="163" t="str">
        <f>IFERROR(VLOOKUP(N478,TD!$B$50:$F$54,2,0)," ")</f>
        <v>O230117</v>
      </c>
      <c r="V478" s="163" t="str">
        <f>IFERROR(VLOOKUP(N478,TD!$B$50:$F$54,3,0)," ")</f>
        <v>4599</v>
      </c>
      <c r="W478" s="163">
        <f>IFERROR(VLOOKUP(N478,TD!$B$50:$F$54,4,0)," ")</f>
        <v>20240207</v>
      </c>
      <c r="X478" s="162" t="s">
        <v>174</v>
      </c>
      <c r="Y478" s="163" t="str">
        <f>IFERROR(VLOOKUP(X478,TD!$J$51:$K$64,2,0)," ")</f>
        <v>Infraestructura física, mantenimiento y dotación (Sedes construidas, mantenidas reforzadas)</v>
      </c>
      <c r="Z478" s="164" t="str">
        <f t="shared" si="28"/>
        <v>08-Infraestructura física, mantenimiento y dotación (Sedes construidas, mantenidas reforzadas)</v>
      </c>
      <c r="AA478" s="162" t="s">
        <v>227</v>
      </c>
      <c r="AB478" s="163" t="str">
        <f>IFERROR(VLOOKUP(AA478,TD!$N$51:$O$66,2,0)," ")</f>
        <v>Sedes mantenidas</v>
      </c>
      <c r="AC478" s="164" t="str">
        <f t="shared" si="29"/>
        <v>016_Sedes mantenidas</v>
      </c>
      <c r="AD478" s="164" t="str">
        <f t="shared" si="30"/>
        <v>08-Infraestructura física, mantenimiento y dotación (Sedes construidas, mantenidas reforzadas) 016_Sedes mantenidas</v>
      </c>
      <c r="AE478" s="163" t="str">
        <f t="shared" si="31"/>
        <v>O23011745992024020708016</v>
      </c>
      <c r="AF478" s="163" t="str">
        <f>IFERROR(VLOOKUP(AD478,TD!$J$66:$K$89,2,0)," ")</f>
        <v>PM/0131/0108/45990160207</v>
      </c>
      <c r="AG478" s="118" t="s">
        <v>385</v>
      </c>
      <c r="AH478" s="162" t="s">
        <v>193</v>
      </c>
      <c r="AI478" s="165" t="str">
        <f>CONCATENATE(PAA[[#This Row],[Id Interno]],"-",PAA[[#This Row],[tipo de Contrato (TH talento humano - B/S bienes y/o servicios)]],"-",S478,"-",T478,"-",PAA[[#This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79" spans="2:35" ht="70" x14ac:dyDescent="0.35">
      <c r="B479" s="23">
        <v>20260460</v>
      </c>
      <c r="C479" s="99" t="s">
        <v>700</v>
      </c>
      <c r="D479" s="23" t="s">
        <v>105</v>
      </c>
      <c r="E479" s="23" t="s">
        <v>363</v>
      </c>
      <c r="F479" s="159" t="s">
        <v>144</v>
      </c>
      <c r="G479" s="160" t="s">
        <v>373</v>
      </c>
      <c r="H479" s="161">
        <v>11</v>
      </c>
      <c r="I479" s="161">
        <v>0</v>
      </c>
      <c r="J479" s="127">
        <v>102034000</v>
      </c>
      <c r="K479" s="88" t="s">
        <v>398</v>
      </c>
      <c r="L479" s="159" t="s">
        <v>155</v>
      </c>
      <c r="M479" s="162" t="s">
        <v>422</v>
      </c>
      <c r="N479" s="23" t="s">
        <v>197</v>
      </c>
      <c r="O479" s="150" t="s">
        <v>925</v>
      </c>
      <c r="P479" s="159" t="s">
        <v>348</v>
      </c>
      <c r="Q479" s="53" t="s">
        <v>753</v>
      </c>
      <c r="R479" s="162" t="s">
        <v>208</v>
      </c>
      <c r="S479" s="162" t="str">
        <f>MID(PAA[[#This Row],[Meta Proyecto de Inversión]],1,4)</f>
        <v>8126</v>
      </c>
      <c r="T479" s="162" t="str">
        <f>MID(PAA[[#This Row],[Meta Proyecto de Inversión]],6,1)</f>
        <v>9</v>
      </c>
      <c r="U479" s="163" t="str">
        <f>IFERROR(VLOOKUP(N479,TD!$B$50:$F$54,2,0)," ")</f>
        <v>O230117</v>
      </c>
      <c r="V479" s="163" t="str">
        <f>IFERROR(VLOOKUP(N479,TD!$B$50:$F$54,3,0)," ")</f>
        <v>4599</v>
      </c>
      <c r="W479" s="163">
        <f>IFERROR(VLOOKUP(N479,TD!$B$50:$F$54,4,0)," ")</f>
        <v>20240207</v>
      </c>
      <c r="X479" s="162" t="s">
        <v>174</v>
      </c>
      <c r="Y479" s="163" t="str">
        <f>IFERROR(VLOOKUP(X479,TD!$J$51:$K$64,2,0)," ")</f>
        <v>Infraestructura física, mantenimiento y dotación (Sedes construidas, mantenidas reforzadas)</v>
      </c>
      <c r="Z479" s="164" t="str">
        <f t="shared" si="28"/>
        <v>08-Infraestructura física, mantenimiento y dotación (Sedes construidas, mantenidas reforzadas)</v>
      </c>
      <c r="AA479" s="162" t="s">
        <v>227</v>
      </c>
      <c r="AB479" s="163" t="str">
        <f>IFERROR(VLOOKUP(AA479,TD!$N$51:$O$66,2,0)," ")</f>
        <v>Sedes mantenidas</v>
      </c>
      <c r="AC479" s="164" t="str">
        <f t="shared" si="29"/>
        <v>016_Sedes mantenidas</v>
      </c>
      <c r="AD479" s="164" t="str">
        <f t="shared" si="30"/>
        <v>08-Infraestructura física, mantenimiento y dotación (Sedes construidas, mantenidas reforzadas) 016_Sedes mantenidas</v>
      </c>
      <c r="AE479" s="163" t="str">
        <f t="shared" si="31"/>
        <v>O23011745992024020708016</v>
      </c>
      <c r="AF479" s="163" t="str">
        <f>IFERROR(VLOOKUP(AD479,TD!$J$66:$K$89,2,0)," ")</f>
        <v>PM/0131/0108/45990160207</v>
      </c>
      <c r="AG479" s="118" t="s">
        <v>385</v>
      </c>
      <c r="AH479" s="162" t="s">
        <v>193</v>
      </c>
      <c r="AI479" s="165" t="str">
        <f>CONCATENATE(PAA[[#This Row],[Id Interno]],"-",PAA[[#This Row],[tipo de Contrato (TH talento humano - B/S bienes y/o servicios)]],"-",S479,"-",T479,"-",PAA[[#This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80" spans="2:35" ht="84" x14ac:dyDescent="0.35">
      <c r="B480" s="23">
        <v>20260461</v>
      </c>
      <c r="C480" s="99" t="s">
        <v>701</v>
      </c>
      <c r="D480" s="23" t="s">
        <v>105</v>
      </c>
      <c r="E480" s="23" t="s">
        <v>363</v>
      </c>
      <c r="F480" s="159" t="s">
        <v>145</v>
      </c>
      <c r="G480" s="160" t="s">
        <v>373</v>
      </c>
      <c r="H480" s="161">
        <v>10</v>
      </c>
      <c r="I480" s="161">
        <v>0</v>
      </c>
      <c r="J480" s="127">
        <v>42897000</v>
      </c>
      <c r="K480" s="88" t="s">
        <v>398</v>
      </c>
      <c r="L480" s="159" t="s">
        <v>155</v>
      </c>
      <c r="M480" s="162" t="s">
        <v>422</v>
      </c>
      <c r="N480" s="23" t="s">
        <v>197</v>
      </c>
      <c r="O480" s="150" t="s">
        <v>925</v>
      </c>
      <c r="P480" s="159" t="s">
        <v>348</v>
      </c>
      <c r="Q480" s="53" t="s">
        <v>753</v>
      </c>
      <c r="R480" s="162" t="s">
        <v>208</v>
      </c>
      <c r="S480" s="162" t="str">
        <f>MID(PAA[[#This Row],[Meta Proyecto de Inversión]],1,4)</f>
        <v>8126</v>
      </c>
      <c r="T480" s="162" t="str">
        <f>MID(PAA[[#This Row],[Meta Proyecto de Inversión]],6,1)</f>
        <v>9</v>
      </c>
      <c r="U480" s="163" t="str">
        <f>IFERROR(VLOOKUP(N480,TD!$B$50:$F$54,2,0)," ")</f>
        <v>O230117</v>
      </c>
      <c r="V480" s="163" t="str">
        <f>IFERROR(VLOOKUP(N480,TD!$B$50:$F$54,3,0)," ")</f>
        <v>4599</v>
      </c>
      <c r="W480" s="163">
        <f>IFERROR(VLOOKUP(N480,TD!$B$50:$F$54,4,0)," ")</f>
        <v>20240207</v>
      </c>
      <c r="X480" s="162" t="s">
        <v>174</v>
      </c>
      <c r="Y480" s="163" t="str">
        <f>IFERROR(VLOOKUP(X480,TD!$J$51:$K$64,2,0)," ")</f>
        <v>Infraestructura física, mantenimiento y dotación (Sedes construidas, mantenidas reforzadas)</v>
      </c>
      <c r="Z480" s="164" t="str">
        <f t="shared" si="28"/>
        <v>08-Infraestructura física, mantenimiento y dotación (Sedes construidas, mantenidas reforzadas)</v>
      </c>
      <c r="AA480" s="162" t="s">
        <v>227</v>
      </c>
      <c r="AB480" s="163" t="str">
        <f>IFERROR(VLOOKUP(AA480,TD!$N$51:$O$66,2,0)," ")</f>
        <v>Sedes mantenidas</v>
      </c>
      <c r="AC480" s="164" t="str">
        <f t="shared" si="29"/>
        <v>016_Sedes mantenidas</v>
      </c>
      <c r="AD480" s="164" t="str">
        <f t="shared" si="30"/>
        <v>08-Infraestructura física, mantenimiento y dotación (Sedes construidas, mantenidas reforzadas) 016_Sedes mantenidas</v>
      </c>
      <c r="AE480" s="163" t="str">
        <f t="shared" si="31"/>
        <v>O23011745992024020708016</v>
      </c>
      <c r="AF480" s="163" t="str">
        <f>IFERROR(VLOOKUP(AD480,TD!$J$66:$K$89,2,0)," ")</f>
        <v>PM/0131/0108/45990160207</v>
      </c>
      <c r="AG480" s="118" t="s">
        <v>385</v>
      </c>
      <c r="AH480" s="162" t="s">
        <v>193</v>
      </c>
      <c r="AI480" s="165" t="str">
        <f>CONCATENATE(PAA[[#This Row],[Id Interno]],"-",PAA[[#This Row],[tipo de Contrato (TH talento humano - B/S bienes y/o servicios)]],"-",S480,"-",T480,"-",PAA[[#This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81" spans="2:35" ht="56" x14ac:dyDescent="0.35">
      <c r="B481" s="23">
        <v>20260462</v>
      </c>
      <c r="C481" s="99" t="s">
        <v>702</v>
      </c>
      <c r="D481" s="23" t="s">
        <v>105</v>
      </c>
      <c r="E481" s="23" t="s">
        <v>363</v>
      </c>
      <c r="F481" s="159" t="s">
        <v>144</v>
      </c>
      <c r="G481" s="160" t="s">
        <v>373</v>
      </c>
      <c r="H481" s="161">
        <v>11</v>
      </c>
      <c r="I481" s="161">
        <v>0</v>
      </c>
      <c r="J481" s="127">
        <v>100272000</v>
      </c>
      <c r="K481" s="88" t="s">
        <v>398</v>
      </c>
      <c r="L481" s="159" t="s">
        <v>155</v>
      </c>
      <c r="M481" s="162" t="s">
        <v>422</v>
      </c>
      <c r="N481" s="23" t="s">
        <v>198</v>
      </c>
      <c r="O481" s="150" t="s">
        <v>926</v>
      </c>
      <c r="P481" s="159" t="s">
        <v>348</v>
      </c>
      <c r="Q481" s="53" t="s">
        <v>753</v>
      </c>
      <c r="R481" s="162" t="s">
        <v>217</v>
      </c>
      <c r="S481" s="162" t="str">
        <f>MID(PAA[[#This Row],[Meta Proyecto de Inversión]],1,4)</f>
        <v>8173</v>
      </c>
      <c r="T481" s="162" t="str">
        <f>MID(PAA[[#This Row],[Meta Proyecto de Inversión]],6,1)</f>
        <v>8</v>
      </c>
      <c r="U481" s="163" t="str">
        <f>IFERROR(VLOOKUP(N481,TD!$B$50:$F$54,2,0)," ")</f>
        <v>O230117</v>
      </c>
      <c r="V481" s="163" t="str">
        <f>IFERROR(VLOOKUP(N481,TD!$B$50:$F$54,3,0)," ")</f>
        <v>4503</v>
      </c>
      <c r="W481" s="163">
        <f>IFERROR(VLOOKUP(N481,TD!$B$50:$F$54,4,0)," ")</f>
        <v>20240255</v>
      </c>
      <c r="X481" s="162">
        <v>14</v>
      </c>
      <c r="Y481" s="163" t="str">
        <f>IFERROR(VLOOKUP(X481,TD!$J$51:$K$64,2,0)," ")</f>
        <v xml:space="preserve">Infraestructura física misional construida mantenida y dotada </v>
      </c>
      <c r="Z481" s="164" t="str">
        <f t="shared" si="28"/>
        <v xml:space="preserve">14-Infraestructura física misional construida mantenida y dotada </v>
      </c>
      <c r="AA481" s="162" t="s">
        <v>226</v>
      </c>
      <c r="AB481" s="163" t="str">
        <f>IFERROR(VLOOKUP(AA481,TD!$N$51:$O$66,2,0)," ")</f>
        <v>Estaciones de bomberos construidas</v>
      </c>
      <c r="AC481" s="164" t="str">
        <f t="shared" si="29"/>
        <v>015_Estaciones de bomberos construidas</v>
      </c>
      <c r="AD481" s="164" t="str">
        <f t="shared" si="30"/>
        <v>14-Infraestructura física misional construida mantenida y dotada  015_Estaciones de bomberos construidas</v>
      </c>
      <c r="AE481" s="163" t="str">
        <f t="shared" si="31"/>
        <v>O23011745032024025514015</v>
      </c>
      <c r="AF481" s="163" t="str">
        <f>IFERROR(VLOOKUP(AD481,TD!$J$66:$K$89,2,0)," ")</f>
        <v>PM/0131/0114/45030150255</v>
      </c>
      <c r="AG481" s="118" t="s">
        <v>385</v>
      </c>
      <c r="AH481" s="162" t="s">
        <v>193</v>
      </c>
      <c r="AI481" s="165" t="str">
        <f>CONCATENATE(PAA[[#This Row],[Id Interno]],"-",PAA[[#This Row],[tipo de Contrato (TH talento humano - B/S bienes y/o servicios)]],"-",S481,"-",T481,"-",PAA[[#This Row],[Objeto de la contratación]])</f>
        <v>20260462-TH-8173-8-Prestación de servicios profesionales especializados para apoyar las actividades técnicas y gestión predial del Área de Infraestructura de la Subdirección de Gestión Corporativa-SGC</v>
      </c>
    </row>
    <row r="482" spans="2:35" ht="56" x14ac:dyDescent="0.35">
      <c r="B482" s="23">
        <v>20260463</v>
      </c>
      <c r="C482" s="99" t="s">
        <v>703</v>
      </c>
      <c r="D482" s="23" t="s">
        <v>105</v>
      </c>
      <c r="E482" s="23" t="s">
        <v>363</v>
      </c>
      <c r="F482" s="159" t="s">
        <v>145</v>
      </c>
      <c r="G482" s="160" t="s">
        <v>373</v>
      </c>
      <c r="H482" s="161">
        <v>11</v>
      </c>
      <c r="I482" s="161">
        <v>0</v>
      </c>
      <c r="J482" s="127">
        <v>36128000</v>
      </c>
      <c r="K482" s="88" t="s">
        <v>398</v>
      </c>
      <c r="L482" s="159" t="s">
        <v>155</v>
      </c>
      <c r="M482" s="162" t="s">
        <v>422</v>
      </c>
      <c r="N482" s="23" t="s">
        <v>197</v>
      </c>
      <c r="O482" s="150" t="s">
        <v>925</v>
      </c>
      <c r="P482" s="159" t="s">
        <v>348</v>
      </c>
      <c r="Q482" s="53" t="s">
        <v>753</v>
      </c>
      <c r="R482" s="162" t="s">
        <v>208</v>
      </c>
      <c r="S482" s="162" t="str">
        <f>MID(PAA[[#This Row],[Meta Proyecto de Inversión]],1,4)</f>
        <v>8126</v>
      </c>
      <c r="T482" s="162" t="str">
        <f>MID(PAA[[#This Row],[Meta Proyecto de Inversión]],6,1)</f>
        <v>9</v>
      </c>
      <c r="U482" s="163" t="str">
        <f>IFERROR(VLOOKUP(N482,TD!$B$50:$F$54,2,0)," ")</f>
        <v>O230117</v>
      </c>
      <c r="V482" s="163" t="str">
        <f>IFERROR(VLOOKUP(N482,TD!$B$50:$F$54,3,0)," ")</f>
        <v>4599</v>
      </c>
      <c r="W482" s="163">
        <f>IFERROR(VLOOKUP(N482,TD!$B$50:$F$54,4,0)," ")</f>
        <v>20240207</v>
      </c>
      <c r="X482" s="162" t="s">
        <v>174</v>
      </c>
      <c r="Y482" s="163" t="str">
        <f>IFERROR(VLOOKUP(X482,TD!$J$51:$K$64,2,0)," ")</f>
        <v>Infraestructura física, mantenimiento y dotación (Sedes construidas, mantenidas reforzadas)</v>
      </c>
      <c r="Z482" s="164" t="str">
        <f t="shared" si="28"/>
        <v>08-Infraestructura física, mantenimiento y dotación (Sedes construidas, mantenidas reforzadas)</v>
      </c>
      <c r="AA482" s="162" t="s">
        <v>227</v>
      </c>
      <c r="AB482" s="163" t="str">
        <f>IFERROR(VLOOKUP(AA482,TD!$N$51:$O$66,2,0)," ")</f>
        <v>Sedes mantenidas</v>
      </c>
      <c r="AC482" s="164" t="str">
        <f t="shared" si="29"/>
        <v>016_Sedes mantenidas</v>
      </c>
      <c r="AD482" s="164" t="str">
        <f t="shared" si="30"/>
        <v>08-Infraestructura física, mantenimiento y dotación (Sedes construidas, mantenidas reforzadas) 016_Sedes mantenidas</v>
      </c>
      <c r="AE482" s="163" t="str">
        <f t="shared" si="31"/>
        <v>O23011745992024020708016</v>
      </c>
      <c r="AF482" s="163" t="str">
        <f>IFERROR(VLOOKUP(AD482,TD!$J$66:$K$89,2,0)," ")</f>
        <v>PM/0131/0108/45990160207</v>
      </c>
      <c r="AG482" s="118" t="s">
        <v>385</v>
      </c>
      <c r="AH482" s="162" t="s">
        <v>193</v>
      </c>
      <c r="AI482" s="165" t="str">
        <f>CONCATENATE(PAA[[#This Row],[Id Interno]],"-",PAA[[#This Row],[tipo de Contrato (TH talento humano - B/S bienes y/o servicios)]],"-",S482,"-",T482,"-",PAA[[#This Row],[Objeto de la contratación]])</f>
        <v>20260463-TH-8126-9-Prestación de servicios de apoyo en las actividades asociadas a los procesos de almacén de la Subdirección de Gestión Corporativa SGC</v>
      </c>
    </row>
    <row r="483" spans="2:35" ht="56" x14ac:dyDescent="0.35">
      <c r="B483" s="23">
        <v>20260464</v>
      </c>
      <c r="C483" s="99" t="s">
        <v>704</v>
      </c>
      <c r="D483" s="23" t="s">
        <v>105</v>
      </c>
      <c r="E483" s="23" t="s">
        <v>363</v>
      </c>
      <c r="F483" s="159" t="s">
        <v>144</v>
      </c>
      <c r="G483" s="160" t="s">
        <v>373</v>
      </c>
      <c r="H483" s="161">
        <v>10</v>
      </c>
      <c r="I483" s="161">
        <v>0</v>
      </c>
      <c r="J483" s="127">
        <v>60324000</v>
      </c>
      <c r="K483" s="88" t="s">
        <v>398</v>
      </c>
      <c r="L483" s="159" t="s">
        <v>155</v>
      </c>
      <c r="M483" s="162" t="s">
        <v>422</v>
      </c>
      <c r="N483" s="23" t="s">
        <v>197</v>
      </c>
      <c r="O483" s="150" t="s">
        <v>925</v>
      </c>
      <c r="P483" s="159" t="s">
        <v>348</v>
      </c>
      <c r="Q483" s="53" t="s">
        <v>753</v>
      </c>
      <c r="R483" s="162" t="s">
        <v>208</v>
      </c>
      <c r="S483" s="162" t="str">
        <f>MID(PAA[[#This Row],[Meta Proyecto de Inversión]],1,4)</f>
        <v>8126</v>
      </c>
      <c r="T483" s="162" t="str">
        <f>MID(PAA[[#This Row],[Meta Proyecto de Inversión]],6,1)</f>
        <v>9</v>
      </c>
      <c r="U483" s="163" t="str">
        <f>IFERROR(VLOOKUP(N483,TD!$B$50:$F$54,2,0)," ")</f>
        <v>O230117</v>
      </c>
      <c r="V483" s="163" t="str">
        <f>IFERROR(VLOOKUP(N483,TD!$B$50:$F$54,3,0)," ")</f>
        <v>4599</v>
      </c>
      <c r="W483" s="163">
        <f>IFERROR(VLOOKUP(N483,TD!$B$50:$F$54,4,0)," ")</f>
        <v>20240207</v>
      </c>
      <c r="X483" s="162" t="s">
        <v>174</v>
      </c>
      <c r="Y483" s="163" t="str">
        <f>IFERROR(VLOOKUP(X483,TD!$J$51:$K$64,2,0)," ")</f>
        <v>Infraestructura física, mantenimiento y dotación (Sedes construidas, mantenidas reforzadas)</v>
      </c>
      <c r="Z483" s="164" t="str">
        <f t="shared" si="28"/>
        <v>08-Infraestructura física, mantenimiento y dotación (Sedes construidas, mantenidas reforzadas)</v>
      </c>
      <c r="AA483" s="162" t="s">
        <v>227</v>
      </c>
      <c r="AB483" s="163" t="str">
        <f>IFERROR(VLOOKUP(AA483,TD!$N$51:$O$66,2,0)," ")</f>
        <v>Sedes mantenidas</v>
      </c>
      <c r="AC483" s="164" t="str">
        <f t="shared" si="29"/>
        <v>016_Sedes mantenidas</v>
      </c>
      <c r="AD483" s="164" t="str">
        <f t="shared" si="30"/>
        <v>08-Infraestructura física, mantenimiento y dotación (Sedes construidas, mantenidas reforzadas) 016_Sedes mantenidas</v>
      </c>
      <c r="AE483" s="163" t="str">
        <f t="shared" si="31"/>
        <v>O23011745992024020708016</v>
      </c>
      <c r="AF483" s="163" t="str">
        <f>IFERROR(VLOOKUP(AD483,TD!$J$66:$K$89,2,0)," ")</f>
        <v>PM/0131/0108/45990160207</v>
      </c>
      <c r="AG483" s="118" t="s">
        <v>385</v>
      </c>
      <c r="AH483" s="162" t="s">
        <v>193</v>
      </c>
      <c r="AI483" s="165" t="str">
        <f>CONCATENATE(PAA[[#This Row],[Id Interno]],"-",PAA[[#This Row],[tipo de Contrato (TH talento humano - B/S bienes y/o servicios)]],"-",S483,"-",T483,"-",PAA[[#This Row],[Objeto de la contratación]])</f>
        <v>20260464-TH-8126-9-Prestación de servicios profesionales para atender las actividades financieras, a cargo de la Subdirección de Gestión Corporativa-SGC</v>
      </c>
    </row>
    <row r="484" spans="2:35" ht="56" x14ac:dyDescent="0.35">
      <c r="B484" s="23">
        <v>20260465</v>
      </c>
      <c r="C484" s="99" t="s">
        <v>705</v>
      </c>
      <c r="D484" s="23" t="s">
        <v>105</v>
      </c>
      <c r="E484" s="23" t="s">
        <v>363</v>
      </c>
      <c r="F484" s="159" t="s">
        <v>145</v>
      </c>
      <c r="G484" s="160" t="s">
        <v>373</v>
      </c>
      <c r="H484" s="161">
        <v>11</v>
      </c>
      <c r="I484" s="161">
        <v>0</v>
      </c>
      <c r="J484" s="127">
        <v>47187000</v>
      </c>
      <c r="K484" s="88" t="s">
        <v>398</v>
      </c>
      <c r="L484" s="159" t="s">
        <v>155</v>
      </c>
      <c r="M484" s="162" t="s">
        <v>422</v>
      </c>
      <c r="N484" s="23" t="s">
        <v>197</v>
      </c>
      <c r="O484" s="150" t="s">
        <v>925</v>
      </c>
      <c r="P484" s="159" t="s">
        <v>348</v>
      </c>
      <c r="Q484" s="53" t="s">
        <v>753</v>
      </c>
      <c r="R484" s="162" t="s">
        <v>208</v>
      </c>
      <c r="S484" s="162" t="str">
        <f>MID(PAA[[#This Row],[Meta Proyecto de Inversión]],1,4)</f>
        <v>8126</v>
      </c>
      <c r="T484" s="162" t="str">
        <f>MID(PAA[[#This Row],[Meta Proyecto de Inversión]],6,1)</f>
        <v>9</v>
      </c>
      <c r="U484" s="163" t="str">
        <f>IFERROR(VLOOKUP(N484,TD!$B$50:$F$54,2,0)," ")</f>
        <v>O230117</v>
      </c>
      <c r="V484" s="163" t="str">
        <f>IFERROR(VLOOKUP(N484,TD!$B$50:$F$54,3,0)," ")</f>
        <v>4599</v>
      </c>
      <c r="W484" s="163">
        <f>IFERROR(VLOOKUP(N484,TD!$B$50:$F$54,4,0)," ")</f>
        <v>20240207</v>
      </c>
      <c r="X484" s="162" t="s">
        <v>174</v>
      </c>
      <c r="Y484" s="163" t="str">
        <f>IFERROR(VLOOKUP(X484,TD!$J$51:$K$64,2,0)," ")</f>
        <v>Infraestructura física, mantenimiento y dotación (Sedes construidas, mantenidas reforzadas)</v>
      </c>
      <c r="Z484" s="164" t="str">
        <f t="shared" si="28"/>
        <v>08-Infraestructura física, mantenimiento y dotación (Sedes construidas, mantenidas reforzadas)</v>
      </c>
      <c r="AA484" s="162" t="s">
        <v>227</v>
      </c>
      <c r="AB484" s="163" t="str">
        <f>IFERROR(VLOOKUP(AA484,TD!$N$51:$O$66,2,0)," ")</f>
        <v>Sedes mantenidas</v>
      </c>
      <c r="AC484" s="164" t="str">
        <f t="shared" si="29"/>
        <v>016_Sedes mantenidas</v>
      </c>
      <c r="AD484" s="164" t="str">
        <f t="shared" si="30"/>
        <v>08-Infraestructura física, mantenimiento y dotación (Sedes construidas, mantenidas reforzadas) 016_Sedes mantenidas</v>
      </c>
      <c r="AE484" s="163" t="str">
        <f t="shared" si="31"/>
        <v>O23011745992024020708016</v>
      </c>
      <c r="AF484" s="163" t="str">
        <f>IFERROR(VLOOKUP(AD484,TD!$J$66:$K$89,2,0)," ")</f>
        <v>PM/0131/0108/45990160207</v>
      </c>
      <c r="AG484" s="118" t="s">
        <v>385</v>
      </c>
      <c r="AH484" s="162" t="s">
        <v>193</v>
      </c>
      <c r="AI484" s="165" t="str">
        <f>CONCATENATE(PAA[[#This Row],[Id Interno]],"-",PAA[[#This Row],[tipo de Contrato (TH talento humano - B/S bienes y/o servicios)]],"-",S484,"-",T484,"-",PAA[[#This Row],[Objeto de la contratación]])</f>
        <v>20260465-TH-8126-9-Prestación de servicios de apoyo a la gestión de los procesos contractuales en la plataforma SECOP II a cargo de la Subdirección de Gestión Corporativa-SGC</v>
      </c>
    </row>
    <row r="485" spans="2:35" ht="56" x14ac:dyDescent="0.35">
      <c r="B485" s="23">
        <v>20260466</v>
      </c>
      <c r="C485" s="99" t="s">
        <v>706</v>
      </c>
      <c r="D485" s="23" t="s">
        <v>105</v>
      </c>
      <c r="E485" s="23" t="s">
        <v>363</v>
      </c>
      <c r="F485" s="159" t="s">
        <v>144</v>
      </c>
      <c r="G485" s="160" t="s">
        <v>373</v>
      </c>
      <c r="H485" s="161">
        <v>10</v>
      </c>
      <c r="I485" s="161">
        <v>0</v>
      </c>
      <c r="J485" s="127">
        <v>73730000</v>
      </c>
      <c r="K485" s="88" t="s">
        <v>398</v>
      </c>
      <c r="L485" s="159" t="s">
        <v>155</v>
      </c>
      <c r="M485" s="162" t="s">
        <v>422</v>
      </c>
      <c r="N485" s="23" t="s">
        <v>197</v>
      </c>
      <c r="O485" s="150" t="s">
        <v>925</v>
      </c>
      <c r="P485" s="159" t="s">
        <v>348</v>
      </c>
      <c r="Q485" s="53" t="s">
        <v>753</v>
      </c>
      <c r="R485" s="162" t="s">
        <v>208</v>
      </c>
      <c r="S485" s="162" t="str">
        <f>MID(PAA[[#This Row],[Meta Proyecto de Inversión]],1,4)</f>
        <v>8126</v>
      </c>
      <c r="T485" s="162" t="str">
        <f>MID(PAA[[#This Row],[Meta Proyecto de Inversión]],6,1)</f>
        <v>9</v>
      </c>
      <c r="U485" s="163" t="str">
        <f>IFERROR(VLOOKUP(N485,TD!$B$50:$F$54,2,0)," ")</f>
        <v>O230117</v>
      </c>
      <c r="V485" s="163" t="str">
        <f>IFERROR(VLOOKUP(N485,TD!$B$50:$F$54,3,0)," ")</f>
        <v>4599</v>
      </c>
      <c r="W485" s="163">
        <f>IFERROR(VLOOKUP(N485,TD!$B$50:$F$54,4,0)," ")</f>
        <v>20240207</v>
      </c>
      <c r="X485" s="162" t="s">
        <v>174</v>
      </c>
      <c r="Y485" s="163" t="str">
        <f>IFERROR(VLOOKUP(X485,TD!$J$51:$K$64,2,0)," ")</f>
        <v>Infraestructura física, mantenimiento y dotación (Sedes construidas, mantenidas reforzadas)</v>
      </c>
      <c r="Z485" s="164" t="str">
        <f t="shared" si="28"/>
        <v>08-Infraestructura física, mantenimiento y dotación (Sedes construidas, mantenidas reforzadas)</v>
      </c>
      <c r="AA485" s="162" t="s">
        <v>227</v>
      </c>
      <c r="AB485" s="163" t="str">
        <f>IFERROR(VLOOKUP(AA485,TD!$N$51:$O$66,2,0)," ")</f>
        <v>Sedes mantenidas</v>
      </c>
      <c r="AC485" s="164" t="str">
        <f t="shared" si="29"/>
        <v>016_Sedes mantenidas</v>
      </c>
      <c r="AD485" s="164" t="str">
        <f t="shared" si="30"/>
        <v>08-Infraestructura física, mantenimiento y dotación (Sedes construidas, mantenidas reforzadas) 016_Sedes mantenidas</v>
      </c>
      <c r="AE485" s="163" t="str">
        <f t="shared" si="31"/>
        <v>O23011745992024020708016</v>
      </c>
      <c r="AF485" s="163" t="str">
        <f>IFERROR(VLOOKUP(AD485,TD!$J$66:$K$89,2,0)," ")</f>
        <v>PM/0131/0108/45990160207</v>
      </c>
      <c r="AG485" s="118" t="s">
        <v>385</v>
      </c>
      <c r="AH485" s="162" t="s">
        <v>193</v>
      </c>
      <c r="AI485" s="165" t="str">
        <f>CONCATENATE(PAA[[#This Row],[Id Interno]],"-",PAA[[#This Row],[tipo de Contrato (TH talento humano - B/S bienes y/o servicios)]],"-",S485,"-",T485,"-",PAA[[#This Row],[Objeto de la contratación]])</f>
        <v>20260466-TH-8126-9-Prestación de servicios profesionales en el marco de las actividades administrativas de la Subdirección de Gestión Corporativa--SGC</v>
      </c>
    </row>
    <row r="486" spans="2:35" ht="56" x14ac:dyDescent="0.35">
      <c r="B486" s="23">
        <v>20260467</v>
      </c>
      <c r="C486" s="99" t="s">
        <v>707</v>
      </c>
      <c r="D486" s="23" t="s">
        <v>105</v>
      </c>
      <c r="E486" s="23" t="s">
        <v>363</v>
      </c>
      <c r="F486" s="159" t="s">
        <v>144</v>
      </c>
      <c r="G486" s="160" t="s">
        <v>373</v>
      </c>
      <c r="H486" s="161">
        <v>11</v>
      </c>
      <c r="I486" s="161">
        <v>0</v>
      </c>
      <c r="J486" s="127">
        <v>56772000</v>
      </c>
      <c r="K486" s="88" t="s">
        <v>398</v>
      </c>
      <c r="L486" s="159" t="s">
        <v>155</v>
      </c>
      <c r="M486" s="162" t="s">
        <v>422</v>
      </c>
      <c r="N486" s="23" t="s">
        <v>197</v>
      </c>
      <c r="O486" s="150" t="s">
        <v>925</v>
      </c>
      <c r="P486" s="159" t="s">
        <v>348</v>
      </c>
      <c r="Q486" s="53" t="s">
        <v>753</v>
      </c>
      <c r="R486" s="162" t="s">
        <v>208</v>
      </c>
      <c r="S486" s="162" t="str">
        <f>MID(PAA[[#This Row],[Meta Proyecto de Inversión]],1,4)</f>
        <v>8126</v>
      </c>
      <c r="T486" s="162" t="str">
        <f>MID(PAA[[#This Row],[Meta Proyecto de Inversión]],6,1)</f>
        <v>9</v>
      </c>
      <c r="U486" s="163" t="str">
        <f>IFERROR(VLOOKUP(N486,TD!$B$50:$F$54,2,0)," ")</f>
        <v>O230117</v>
      </c>
      <c r="V486" s="163" t="str">
        <f>IFERROR(VLOOKUP(N486,TD!$B$50:$F$54,3,0)," ")</f>
        <v>4599</v>
      </c>
      <c r="W486" s="163">
        <f>IFERROR(VLOOKUP(N486,TD!$B$50:$F$54,4,0)," ")</f>
        <v>20240207</v>
      </c>
      <c r="X486" s="162" t="s">
        <v>174</v>
      </c>
      <c r="Y486" s="163" t="str">
        <f>IFERROR(VLOOKUP(X486,TD!$J$51:$K$64,2,0)," ")</f>
        <v>Infraestructura física, mantenimiento y dotación (Sedes construidas, mantenidas reforzadas)</v>
      </c>
      <c r="Z486" s="164" t="str">
        <f t="shared" si="28"/>
        <v>08-Infraestructura física, mantenimiento y dotación (Sedes construidas, mantenidas reforzadas)</v>
      </c>
      <c r="AA486" s="162" t="s">
        <v>227</v>
      </c>
      <c r="AB486" s="163" t="str">
        <f>IFERROR(VLOOKUP(AA486,TD!$N$51:$O$66,2,0)," ")</f>
        <v>Sedes mantenidas</v>
      </c>
      <c r="AC486" s="164" t="str">
        <f t="shared" si="29"/>
        <v>016_Sedes mantenidas</v>
      </c>
      <c r="AD486" s="164" t="str">
        <f t="shared" si="30"/>
        <v>08-Infraestructura física, mantenimiento y dotación (Sedes construidas, mantenidas reforzadas) 016_Sedes mantenidas</v>
      </c>
      <c r="AE486" s="163" t="str">
        <f t="shared" si="31"/>
        <v>O23011745992024020708016</v>
      </c>
      <c r="AF486" s="163" t="str">
        <f>IFERROR(VLOOKUP(AD486,TD!$J$66:$K$89,2,0)," ")</f>
        <v>PM/0131/0108/45990160207</v>
      </c>
      <c r="AG486" s="118" t="s">
        <v>385</v>
      </c>
      <c r="AH486" s="162" t="s">
        <v>193</v>
      </c>
      <c r="AI486" s="165" t="str">
        <f>CONCATENATE(PAA[[#This Row],[Id Interno]],"-",PAA[[#This Row],[tipo de Contrato (TH talento humano - B/S bienes y/o servicios)]],"-",S486,"-",T486,"-",PAA[[#This Row],[Objeto de la contratación]])</f>
        <v>20260467-TH-8126-9-Prestar los servicios profesionales de la gestión administrativa, así como la adquisición de bienes y servicios de la Subdirección de Gestión Corporativa  SGC</v>
      </c>
    </row>
    <row r="487" spans="2:35" ht="42" x14ac:dyDescent="0.35">
      <c r="B487" s="23">
        <v>20260468</v>
      </c>
      <c r="C487" s="99" t="s">
        <v>708</v>
      </c>
      <c r="D487" s="23" t="s">
        <v>105</v>
      </c>
      <c r="E487" s="23" t="s">
        <v>363</v>
      </c>
      <c r="F487" s="159" t="s">
        <v>144</v>
      </c>
      <c r="G487" s="160" t="s">
        <v>373</v>
      </c>
      <c r="H487" s="161">
        <v>11</v>
      </c>
      <c r="I487" s="161">
        <v>0</v>
      </c>
      <c r="J487" s="127">
        <v>75204000</v>
      </c>
      <c r="K487" s="88" t="s">
        <v>398</v>
      </c>
      <c r="L487" s="159" t="s">
        <v>155</v>
      </c>
      <c r="M487" s="162" t="s">
        <v>422</v>
      </c>
      <c r="N487" s="23" t="s">
        <v>198</v>
      </c>
      <c r="O487" s="150" t="s">
        <v>926</v>
      </c>
      <c r="P487" s="159" t="s">
        <v>348</v>
      </c>
      <c r="Q487" s="53" t="s">
        <v>753</v>
      </c>
      <c r="R487" s="162" t="s">
        <v>216</v>
      </c>
      <c r="S487" s="162" t="str">
        <f>MID(PAA[[#This Row],[Meta Proyecto de Inversión]],1,4)</f>
        <v>8173</v>
      </c>
      <c r="T487" s="162" t="str">
        <f>MID(PAA[[#This Row],[Meta Proyecto de Inversión]],6,1)</f>
        <v>7</v>
      </c>
      <c r="U487" s="163" t="str">
        <f>IFERROR(VLOOKUP(N487,TD!$B$50:$F$54,2,0)," ")</f>
        <v>O230117</v>
      </c>
      <c r="V487" s="163" t="str">
        <f>IFERROR(VLOOKUP(N487,TD!$B$50:$F$54,3,0)," ")</f>
        <v>4503</v>
      </c>
      <c r="W487" s="163">
        <f>IFERROR(VLOOKUP(N487,TD!$B$50:$F$54,4,0)," ")</f>
        <v>20240255</v>
      </c>
      <c r="X487" s="162">
        <v>14</v>
      </c>
      <c r="Y487" s="163" t="str">
        <f>IFERROR(VLOOKUP(X487,TD!$J$51:$K$64,2,0)," ")</f>
        <v xml:space="preserve">Infraestructura física misional construida mantenida y dotada </v>
      </c>
      <c r="Z487" s="164" t="str">
        <f t="shared" si="28"/>
        <v xml:space="preserve">14-Infraestructura física misional construida mantenida y dotada </v>
      </c>
      <c r="AA487" s="162" t="s">
        <v>225</v>
      </c>
      <c r="AB487" s="163" t="str">
        <f>IFERROR(VLOOKUP(AA487,TD!$N$51:$O$66,2,0)," ")</f>
        <v>Estaciones de bomberos adecuadas</v>
      </c>
      <c r="AC487" s="164" t="str">
        <f t="shared" si="29"/>
        <v>014_Estaciones de bomberos adecuadas</v>
      </c>
      <c r="AD487" s="164" t="str">
        <f t="shared" si="30"/>
        <v>14-Infraestructura física misional construida mantenida y dotada  014_Estaciones de bomberos adecuadas</v>
      </c>
      <c r="AE487" s="163" t="str">
        <f t="shared" si="31"/>
        <v>O23011745032024025514014</v>
      </c>
      <c r="AF487" s="163" t="str">
        <f>IFERROR(VLOOKUP(AD487,TD!$J$66:$K$89,2,0)," ")</f>
        <v>PM/0131/0114/45030140255</v>
      </c>
      <c r="AG487" s="118" t="s">
        <v>385</v>
      </c>
      <c r="AH487" s="162" t="s">
        <v>193</v>
      </c>
      <c r="AI487" s="165" t="str">
        <f>CONCATENATE(PAA[[#This Row],[Id Interno]],"-",PAA[[#This Row],[tipo de Contrato (TH talento humano - B/S bienes y/o servicios)]],"-",S487,"-",T487,"-",PAA[[#This Row],[Objeto de la contratación]])</f>
        <v>20260468-TH-8173-7-Prestar servicios profesionales para realizar acompañamiento en los procesos contractuales adelantados por la Subdirección Gestión Corporativa -SGC</v>
      </c>
    </row>
    <row r="488" spans="2:35" ht="56" x14ac:dyDescent="0.35">
      <c r="B488" s="23">
        <v>20260469</v>
      </c>
      <c r="C488" s="99" t="s">
        <v>709</v>
      </c>
      <c r="D488" s="23" t="s">
        <v>105</v>
      </c>
      <c r="E488" s="23" t="s">
        <v>363</v>
      </c>
      <c r="F488" s="159" t="s">
        <v>144</v>
      </c>
      <c r="G488" s="160" t="s">
        <v>373</v>
      </c>
      <c r="H488" s="161">
        <v>11</v>
      </c>
      <c r="I488" s="161">
        <v>0</v>
      </c>
      <c r="J488" s="127">
        <v>75204000</v>
      </c>
      <c r="K488" s="88" t="s">
        <v>398</v>
      </c>
      <c r="L488" s="159" t="s">
        <v>155</v>
      </c>
      <c r="M488" s="162" t="s">
        <v>422</v>
      </c>
      <c r="N488" s="23" t="s">
        <v>198</v>
      </c>
      <c r="O488" s="150" t="s">
        <v>926</v>
      </c>
      <c r="P488" s="159" t="s">
        <v>348</v>
      </c>
      <c r="Q488" s="53" t="s">
        <v>753</v>
      </c>
      <c r="R488" s="162" t="s">
        <v>217</v>
      </c>
      <c r="S488" s="162" t="str">
        <f>MID(PAA[[#This Row],[Meta Proyecto de Inversión]],1,4)</f>
        <v>8173</v>
      </c>
      <c r="T488" s="162" t="str">
        <f>MID(PAA[[#This Row],[Meta Proyecto de Inversión]],6,1)</f>
        <v>8</v>
      </c>
      <c r="U488" s="163" t="str">
        <f>IFERROR(VLOOKUP(N488,TD!$B$50:$F$54,2,0)," ")</f>
        <v>O230117</v>
      </c>
      <c r="V488" s="163" t="str">
        <f>IFERROR(VLOOKUP(N488,TD!$B$50:$F$54,3,0)," ")</f>
        <v>4503</v>
      </c>
      <c r="W488" s="163">
        <f>IFERROR(VLOOKUP(N488,TD!$B$50:$F$54,4,0)," ")</f>
        <v>20240255</v>
      </c>
      <c r="X488" s="162">
        <v>14</v>
      </c>
      <c r="Y488" s="163" t="str">
        <f>IFERROR(VLOOKUP(X488,TD!$J$51:$K$64,2,0)," ")</f>
        <v xml:space="preserve">Infraestructura física misional construida mantenida y dotada </v>
      </c>
      <c r="Z488" s="164" t="str">
        <f t="shared" si="28"/>
        <v xml:space="preserve">14-Infraestructura física misional construida mantenida y dotada </v>
      </c>
      <c r="AA488" s="162" t="s">
        <v>226</v>
      </c>
      <c r="AB488" s="163" t="str">
        <f>IFERROR(VLOOKUP(AA488,TD!$N$51:$O$66,2,0)," ")</f>
        <v>Estaciones de bomberos construidas</v>
      </c>
      <c r="AC488" s="164" t="str">
        <f t="shared" si="29"/>
        <v>015_Estaciones de bomberos construidas</v>
      </c>
      <c r="AD488" s="164" t="str">
        <f t="shared" si="30"/>
        <v>14-Infraestructura física misional construida mantenida y dotada  015_Estaciones de bomberos construidas</v>
      </c>
      <c r="AE488" s="163" t="str">
        <f t="shared" si="31"/>
        <v>O23011745032024025514015</v>
      </c>
      <c r="AF488" s="163" t="str">
        <f>IFERROR(VLOOKUP(AD488,TD!$J$66:$K$89,2,0)," ")</f>
        <v>PM/0131/0114/45030150255</v>
      </c>
      <c r="AG488" s="118" t="s">
        <v>385</v>
      </c>
      <c r="AH488" s="162" t="s">
        <v>193</v>
      </c>
      <c r="AI488" s="165" t="str">
        <f>CONCATENATE(PAA[[#This Row],[Id Interno]],"-",PAA[[#This Row],[tipo de Contrato (TH talento humano - B/S bienes y/o servicios)]],"-",S488,"-",T488,"-",PAA[[#This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89" spans="2:35" ht="56" x14ac:dyDescent="0.35">
      <c r="B489" s="23">
        <v>20260470</v>
      </c>
      <c r="C489" s="99" t="s">
        <v>710</v>
      </c>
      <c r="D489" s="23" t="s">
        <v>105</v>
      </c>
      <c r="E489" s="23" t="s">
        <v>363</v>
      </c>
      <c r="F489" s="159" t="s">
        <v>144</v>
      </c>
      <c r="G489" s="160" t="s">
        <v>373</v>
      </c>
      <c r="H489" s="161">
        <v>11</v>
      </c>
      <c r="I489" s="161">
        <v>0</v>
      </c>
      <c r="J489" s="127">
        <v>75204000</v>
      </c>
      <c r="K489" s="88" t="s">
        <v>398</v>
      </c>
      <c r="L489" s="159" t="s">
        <v>155</v>
      </c>
      <c r="M489" s="162" t="s">
        <v>422</v>
      </c>
      <c r="N489" s="23" t="s">
        <v>198</v>
      </c>
      <c r="O489" s="150" t="s">
        <v>926</v>
      </c>
      <c r="P489" s="159" t="s">
        <v>348</v>
      </c>
      <c r="Q489" s="53" t="s">
        <v>753</v>
      </c>
      <c r="R489" s="162" t="s">
        <v>219</v>
      </c>
      <c r="S489" s="162" t="str">
        <f>MID(PAA[[#This Row],[Meta Proyecto de Inversión]],1,4)</f>
        <v>8173</v>
      </c>
      <c r="T489" s="162" t="str">
        <f>MID(PAA[[#This Row],[Meta Proyecto de Inversión]],6,1)</f>
        <v>1</v>
      </c>
      <c r="U489" s="163" t="str">
        <f>IFERROR(VLOOKUP(N489,TD!$B$50:$F$54,2,0)," ")</f>
        <v>O230117</v>
      </c>
      <c r="V489" s="163" t="str">
        <f>IFERROR(VLOOKUP(N489,TD!$B$50:$F$54,3,0)," ")</f>
        <v>4503</v>
      </c>
      <c r="W489" s="163">
        <f>IFERROR(VLOOKUP(N489,TD!$B$50:$F$54,4,0)," ")</f>
        <v>20240255</v>
      </c>
      <c r="X489" s="162" t="s">
        <v>174</v>
      </c>
      <c r="Y489" s="163" t="str">
        <f>IFERROR(VLOOKUP(X489,TD!$J$51:$K$64,2,0)," ")</f>
        <v>Infraestructura física, mantenimiento y dotación (Sedes construidas, mantenidas reforzadas)</v>
      </c>
      <c r="Z489" s="164" t="str">
        <f t="shared" si="28"/>
        <v>08-Infraestructura física, mantenimiento y dotación (Sedes construidas, mantenidas reforzadas)</v>
      </c>
      <c r="AA489" s="162" t="s">
        <v>282</v>
      </c>
      <c r="AB489" s="163" t="str">
        <f>IFERROR(VLOOKUP(AA489,TD!$N$51:$O$66,2,0)," ")</f>
        <v>Documentos de lineamientos técnicos</v>
      </c>
      <c r="AC489" s="164" t="str">
        <f t="shared" si="29"/>
        <v>031__Documentos de lineamientos técnicos</v>
      </c>
      <c r="AD489" s="164" t="str">
        <f t="shared" si="30"/>
        <v>08-Infraestructura física, mantenimiento y dotación (Sedes construidas, mantenidas reforzadas) 031__Documentos de lineamientos técnicos</v>
      </c>
      <c r="AE489" s="163" t="str">
        <f t="shared" si="31"/>
        <v>O23011745032024025508031_</v>
      </c>
      <c r="AF489" s="163" t="str">
        <f>IFERROR(VLOOKUP(AD489,TD!$J$66:$K$89,2,0)," ")</f>
        <v>PM/0131/0108/45030310255</v>
      </c>
      <c r="AG489" s="118" t="s">
        <v>385</v>
      </c>
      <c r="AH489" s="162" t="s">
        <v>193</v>
      </c>
      <c r="AI489" s="165" t="str">
        <f>CONCATENATE(PAA[[#This Row],[Id Interno]],"-",PAA[[#This Row],[tipo de Contrato (TH talento humano - B/S bienes y/o servicios)]],"-",S489,"-",T489,"-",PAA[[#This Row],[Objeto de la contratación]])</f>
        <v>20260470-TH-8173-1-Prestar los servicios profesionales técnicos para apoyar las actividades propias que contribuyan al desarrollo de la infraestructura requerida por la entidad para la adecuada prestación del servicio-SGC</v>
      </c>
    </row>
    <row r="490" spans="2:35" ht="84" x14ac:dyDescent="0.35">
      <c r="B490" s="23">
        <v>20260471</v>
      </c>
      <c r="C490" s="99" t="s">
        <v>711</v>
      </c>
      <c r="D490" s="23" t="s">
        <v>105</v>
      </c>
      <c r="E490" s="23" t="s">
        <v>363</v>
      </c>
      <c r="F490" s="159" t="s">
        <v>144</v>
      </c>
      <c r="G490" s="160" t="s">
        <v>373</v>
      </c>
      <c r="H490" s="161">
        <v>11</v>
      </c>
      <c r="I490" s="161">
        <v>0</v>
      </c>
      <c r="J490" s="127">
        <v>66357000</v>
      </c>
      <c r="K490" s="88" t="s">
        <v>398</v>
      </c>
      <c r="L490" s="159" t="s">
        <v>155</v>
      </c>
      <c r="M490" s="162" t="s">
        <v>422</v>
      </c>
      <c r="N490" s="23" t="s">
        <v>198</v>
      </c>
      <c r="O490" s="150" t="s">
        <v>926</v>
      </c>
      <c r="P490" s="159" t="s">
        <v>348</v>
      </c>
      <c r="Q490" s="53" t="s">
        <v>753</v>
      </c>
      <c r="R490" s="162" t="s">
        <v>216</v>
      </c>
      <c r="S490" s="162" t="str">
        <f>MID(PAA[[#This Row],[Meta Proyecto de Inversión]],1,4)</f>
        <v>8173</v>
      </c>
      <c r="T490" s="162" t="str">
        <f>MID(PAA[[#This Row],[Meta Proyecto de Inversión]],6,1)</f>
        <v>7</v>
      </c>
      <c r="U490" s="163" t="str">
        <f>IFERROR(VLOOKUP(N490,TD!$B$50:$F$54,2,0)," ")</f>
        <v>O230117</v>
      </c>
      <c r="V490" s="163" t="str">
        <f>IFERROR(VLOOKUP(N490,TD!$B$50:$F$54,3,0)," ")</f>
        <v>4503</v>
      </c>
      <c r="W490" s="163">
        <f>IFERROR(VLOOKUP(N490,TD!$B$50:$F$54,4,0)," ")</f>
        <v>20240255</v>
      </c>
      <c r="X490" s="162">
        <v>14</v>
      </c>
      <c r="Y490" s="163" t="str">
        <f>IFERROR(VLOOKUP(X490,TD!$J$51:$K$64,2,0)," ")</f>
        <v xml:space="preserve">Infraestructura física misional construida mantenida y dotada </v>
      </c>
      <c r="Z490" s="164" t="str">
        <f t="shared" si="28"/>
        <v xml:space="preserve">14-Infraestructura física misional construida mantenida y dotada </v>
      </c>
      <c r="AA490" s="162" t="s">
        <v>225</v>
      </c>
      <c r="AB490" s="163" t="str">
        <f>IFERROR(VLOOKUP(AA490,TD!$N$51:$O$66,2,0)," ")</f>
        <v>Estaciones de bomberos adecuadas</v>
      </c>
      <c r="AC490" s="164" t="str">
        <f t="shared" si="29"/>
        <v>014_Estaciones de bomberos adecuadas</v>
      </c>
      <c r="AD490" s="164" t="str">
        <f t="shared" si="30"/>
        <v>14-Infraestructura física misional construida mantenida y dotada  014_Estaciones de bomberos adecuadas</v>
      </c>
      <c r="AE490" s="163" t="str">
        <f t="shared" si="31"/>
        <v>O23011745032024025514014</v>
      </c>
      <c r="AF490" s="163" t="str">
        <f>IFERROR(VLOOKUP(AD490,TD!$J$66:$K$89,2,0)," ")</f>
        <v>PM/0131/0114/45030140255</v>
      </c>
      <c r="AG490" s="118" t="s">
        <v>385</v>
      </c>
      <c r="AH490" s="162" t="s">
        <v>193</v>
      </c>
      <c r="AI490" s="165" t="str">
        <f>CONCATENATE(PAA[[#This Row],[Id Interno]],"-",PAA[[#This Row],[tipo de Contrato (TH talento humano - B/S bienes y/o servicios)]],"-",S490,"-",T490,"-",PAA[[#This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91" spans="2:35" ht="56" x14ac:dyDescent="0.35">
      <c r="B491" s="23">
        <v>20260472</v>
      </c>
      <c r="C491" s="99" t="s">
        <v>712</v>
      </c>
      <c r="D491" s="23" t="s">
        <v>105</v>
      </c>
      <c r="E491" s="23" t="s">
        <v>363</v>
      </c>
      <c r="F491" s="159" t="s">
        <v>144</v>
      </c>
      <c r="G491" s="160" t="s">
        <v>373</v>
      </c>
      <c r="H491" s="161">
        <v>11</v>
      </c>
      <c r="I491" s="161">
        <v>0</v>
      </c>
      <c r="J491" s="127">
        <v>82500000</v>
      </c>
      <c r="K491" s="88" t="s">
        <v>398</v>
      </c>
      <c r="L491" s="159" t="s">
        <v>155</v>
      </c>
      <c r="M491" s="162" t="s">
        <v>422</v>
      </c>
      <c r="N491" s="23" t="s">
        <v>198</v>
      </c>
      <c r="O491" s="150" t="s">
        <v>926</v>
      </c>
      <c r="P491" s="159" t="s">
        <v>348</v>
      </c>
      <c r="Q491" s="53" t="s">
        <v>753</v>
      </c>
      <c r="R491" s="162" t="s">
        <v>216</v>
      </c>
      <c r="S491" s="162" t="str">
        <f>MID(PAA[[#This Row],[Meta Proyecto de Inversión]],1,4)</f>
        <v>8173</v>
      </c>
      <c r="T491" s="162" t="str">
        <f>MID(PAA[[#This Row],[Meta Proyecto de Inversión]],6,1)</f>
        <v>7</v>
      </c>
      <c r="U491" s="163" t="str">
        <f>IFERROR(VLOOKUP(N491,TD!$B$50:$F$54,2,0)," ")</f>
        <v>O230117</v>
      </c>
      <c r="V491" s="163" t="str">
        <f>IFERROR(VLOOKUP(N491,TD!$B$50:$F$54,3,0)," ")</f>
        <v>4503</v>
      </c>
      <c r="W491" s="163">
        <f>IFERROR(VLOOKUP(N491,TD!$B$50:$F$54,4,0)," ")</f>
        <v>20240255</v>
      </c>
      <c r="X491" s="162">
        <v>14</v>
      </c>
      <c r="Y491" s="163" t="str">
        <f>IFERROR(VLOOKUP(X491,TD!$J$51:$K$64,2,0)," ")</f>
        <v xml:space="preserve">Infraestructura física misional construida mantenida y dotada </v>
      </c>
      <c r="Z491" s="164" t="str">
        <f t="shared" si="28"/>
        <v xml:space="preserve">14-Infraestructura física misional construida mantenida y dotada </v>
      </c>
      <c r="AA491" s="162" t="s">
        <v>225</v>
      </c>
      <c r="AB491" s="163" t="str">
        <f>IFERROR(VLOOKUP(AA491,TD!$N$51:$O$66,2,0)," ")</f>
        <v>Estaciones de bomberos adecuadas</v>
      </c>
      <c r="AC491" s="164" t="str">
        <f t="shared" si="29"/>
        <v>014_Estaciones de bomberos adecuadas</v>
      </c>
      <c r="AD491" s="164" t="str">
        <f t="shared" si="30"/>
        <v>14-Infraestructura física misional construida mantenida y dotada  014_Estaciones de bomberos adecuadas</v>
      </c>
      <c r="AE491" s="163" t="str">
        <f t="shared" si="31"/>
        <v>O23011745032024025514014</v>
      </c>
      <c r="AF491" s="163" t="str">
        <f>IFERROR(VLOOKUP(AD491,TD!$J$66:$K$89,2,0)," ")</f>
        <v>PM/0131/0114/45030140255</v>
      </c>
      <c r="AG491" s="118" t="s">
        <v>385</v>
      </c>
      <c r="AH491" s="162" t="s">
        <v>193</v>
      </c>
      <c r="AI491" s="165" t="str">
        <f>CONCATENATE(PAA[[#This Row],[Id Interno]],"-",PAA[[#This Row],[tipo de Contrato (TH talento humano - B/S bienes y/o servicios)]],"-",S491,"-",T491,"-",PAA[[#This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92" spans="2:35" ht="56" x14ac:dyDescent="0.35">
      <c r="B492" s="23">
        <v>20260473</v>
      </c>
      <c r="C492" s="99" t="s">
        <v>672</v>
      </c>
      <c r="D492" s="23" t="s">
        <v>105</v>
      </c>
      <c r="E492" s="23" t="s">
        <v>363</v>
      </c>
      <c r="F492" s="159" t="s">
        <v>145</v>
      </c>
      <c r="G492" s="160" t="s">
        <v>373</v>
      </c>
      <c r="H492" s="161">
        <v>11</v>
      </c>
      <c r="I492" s="161">
        <v>0</v>
      </c>
      <c r="J492" s="127">
        <v>30966000</v>
      </c>
      <c r="K492" s="88" t="s">
        <v>398</v>
      </c>
      <c r="L492" s="159" t="s">
        <v>155</v>
      </c>
      <c r="M492" s="162" t="s">
        <v>422</v>
      </c>
      <c r="N492" s="23" t="s">
        <v>197</v>
      </c>
      <c r="O492" s="150" t="s">
        <v>925</v>
      </c>
      <c r="P492" s="159" t="s">
        <v>348</v>
      </c>
      <c r="Q492" s="53" t="s">
        <v>753</v>
      </c>
      <c r="R492" s="162" t="s">
        <v>208</v>
      </c>
      <c r="S492" s="162" t="str">
        <f>MID(PAA[[#This Row],[Meta Proyecto de Inversión]],1,4)</f>
        <v>8126</v>
      </c>
      <c r="T492" s="162" t="str">
        <f>MID(PAA[[#This Row],[Meta Proyecto de Inversión]],6,1)</f>
        <v>9</v>
      </c>
      <c r="U492" s="163" t="str">
        <f>IFERROR(VLOOKUP(N492,TD!$B$50:$F$54,2,0)," ")</f>
        <v>O230117</v>
      </c>
      <c r="V492" s="163" t="str">
        <f>IFERROR(VLOOKUP(N492,TD!$B$50:$F$54,3,0)," ")</f>
        <v>4599</v>
      </c>
      <c r="W492" s="163">
        <f>IFERROR(VLOOKUP(N492,TD!$B$50:$F$54,4,0)," ")</f>
        <v>20240207</v>
      </c>
      <c r="X492" s="162" t="s">
        <v>174</v>
      </c>
      <c r="Y492" s="163" t="str">
        <f>IFERROR(VLOOKUP(X492,TD!$J$51:$K$64,2,0)," ")</f>
        <v>Infraestructura física, mantenimiento y dotación (Sedes construidas, mantenidas reforzadas)</v>
      </c>
      <c r="Z492" s="164" t="str">
        <f t="shared" si="28"/>
        <v>08-Infraestructura física, mantenimiento y dotación (Sedes construidas, mantenidas reforzadas)</v>
      </c>
      <c r="AA492" s="162" t="s">
        <v>227</v>
      </c>
      <c r="AB492" s="163" t="str">
        <f>IFERROR(VLOOKUP(AA492,TD!$N$51:$O$66,2,0)," ")</f>
        <v>Sedes mantenidas</v>
      </c>
      <c r="AC492" s="164" t="str">
        <f t="shared" si="29"/>
        <v>016_Sedes mantenidas</v>
      </c>
      <c r="AD492" s="164" t="str">
        <f t="shared" si="30"/>
        <v>08-Infraestructura física, mantenimiento y dotación (Sedes construidas, mantenidas reforzadas) 016_Sedes mantenidas</v>
      </c>
      <c r="AE492" s="163" t="str">
        <f t="shared" si="31"/>
        <v>O23011745992024020708016</v>
      </c>
      <c r="AF492" s="163" t="str">
        <f>IFERROR(VLOOKUP(AD492,TD!$J$66:$K$89,2,0)," ")</f>
        <v>PM/0131/0108/45990160207</v>
      </c>
      <c r="AG492" s="118" t="s">
        <v>385</v>
      </c>
      <c r="AH492" s="162" t="s">
        <v>193</v>
      </c>
      <c r="AI492" s="165" t="str">
        <f>CONCATENATE(PAA[[#This Row],[Id Interno]],"-",PAA[[#This Row],[tipo de Contrato (TH talento humano - B/S bienes y/o servicios)]],"-",S492,"-",T492,"-",PAA[[#This Row],[Objeto de la contratación]])</f>
        <v>20260473-TH-8126-9-Prestación de servicios de apoyo a la gestión del proceso de inventarios de la Subdirección de Gestión Corporativa.-SGC</v>
      </c>
    </row>
    <row r="493" spans="2:35" ht="56" x14ac:dyDescent="0.35">
      <c r="B493" s="23">
        <v>20260474</v>
      </c>
      <c r="C493" s="99" t="s">
        <v>672</v>
      </c>
      <c r="D493" s="23" t="s">
        <v>105</v>
      </c>
      <c r="E493" s="23" t="s">
        <v>363</v>
      </c>
      <c r="F493" s="159" t="s">
        <v>145</v>
      </c>
      <c r="G493" s="160" t="s">
        <v>373</v>
      </c>
      <c r="H493" s="161">
        <v>10</v>
      </c>
      <c r="I493" s="161">
        <v>0</v>
      </c>
      <c r="J493" s="127">
        <v>28151000</v>
      </c>
      <c r="K493" s="88" t="s">
        <v>398</v>
      </c>
      <c r="L493" s="159" t="s">
        <v>155</v>
      </c>
      <c r="M493" s="162" t="s">
        <v>422</v>
      </c>
      <c r="N493" s="23" t="s">
        <v>197</v>
      </c>
      <c r="O493" s="150" t="s">
        <v>925</v>
      </c>
      <c r="P493" s="159" t="s">
        <v>348</v>
      </c>
      <c r="Q493" s="53" t="s">
        <v>753</v>
      </c>
      <c r="R493" s="162" t="s">
        <v>208</v>
      </c>
      <c r="S493" s="162" t="str">
        <f>MID(PAA[[#This Row],[Meta Proyecto de Inversión]],1,4)</f>
        <v>8126</v>
      </c>
      <c r="T493" s="162" t="str">
        <f>MID(PAA[[#This Row],[Meta Proyecto de Inversión]],6,1)</f>
        <v>9</v>
      </c>
      <c r="U493" s="163" t="str">
        <f>IFERROR(VLOOKUP(N493,TD!$B$50:$F$54,2,0)," ")</f>
        <v>O230117</v>
      </c>
      <c r="V493" s="163" t="str">
        <f>IFERROR(VLOOKUP(N493,TD!$B$50:$F$54,3,0)," ")</f>
        <v>4599</v>
      </c>
      <c r="W493" s="163">
        <f>IFERROR(VLOOKUP(N493,TD!$B$50:$F$54,4,0)," ")</f>
        <v>20240207</v>
      </c>
      <c r="X493" s="162" t="s">
        <v>174</v>
      </c>
      <c r="Y493" s="163" t="str">
        <f>IFERROR(VLOOKUP(X493,TD!$J$51:$K$64,2,0)," ")</f>
        <v>Infraestructura física, mantenimiento y dotación (Sedes construidas, mantenidas reforzadas)</v>
      </c>
      <c r="Z493" s="164" t="str">
        <f t="shared" si="28"/>
        <v>08-Infraestructura física, mantenimiento y dotación (Sedes construidas, mantenidas reforzadas)</v>
      </c>
      <c r="AA493" s="162" t="s">
        <v>227</v>
      </c>
      <c r="AB493" s="163" t="str">
        <f>IFERROR(VLOOKUP(AA493,TD!$N$51:$O$66,2,0)," ")</f>
        <v>Sedes mantenidas</v>
      </c>
      <c r="AC493" s="164" t="str">
        <f t="shared" si="29"/>
        <v>016_Sedes mantenidas</v>
      </c>
      <c r="AD493" s="164" t="str">
        <f t="shared" si="30"/>
        <v>08-Infraestructura física, mantenimiento y dotación (Sedes construidas, mantenidas reforzadas) 016_Sedes mantenidas</v>
      </c>
      <c r="AE493" s="163" t="str">
        <f t="shared" si="31"/>
        <v>O23011745992024020708016</v>
      </c>
      <c r="AF493" s="163" t="str">
        <f>IFERROR(VLOOKUP(AD493,TD!$J$66:$K$89,2,0)," ")</f>
        <v>PM/0131/0108/45990160207</v>
      </c>
      <c r="AG493" s="118" t="s">
        <v>385</v>
      </c>
      <c r="AH493" s="162" t="s">
        <v>193</v>
      </c>
      <c r="AI493" s="165" t="str">
        <f>CONCATENATE(PAA[[#This Row],[Id Interno]],"-",PAA[[#This Row],[tipo de Contrato (TH talento humano - B/S bienes y/o servicios)]],"-",S493,"-",T493,"-",PAA[[#This Row],[Objeto de la contratación]])</f>
        <v>20260474-TH-8126-9-Prestación de servicios de apoyo a la gestión del proceso de inventarios de la Subdirección de Gestión Corporativa.-SGC</v>
      </c>
    </row>
    <row r="494" spans="2:35" ht="56" x14ac:dyDescent="0.35">
      <c r="B494" s="23">
        <v>20260475</v>
      </c>
      <c r="C494" s="99" t="s">
        <v>677</v>
      </c>
      <c r="D494" s="23" t="s">
        <v>105</v>
      </c>
      <c r="E494" s="23" t="s">
        <v>363</v>
      </c>
      <c r="F494" s="159" t="s">
        <v>145</v>
      </c>
      <c r="G494" s="160" t="s">
        <v>373</v>
      </c>
      <c r="H494" s="161">
        <v>11</v>
      </c>
      <c r="I494" s="161">
        <v>0</v>
      </c>
      <c r="J494" s="127">
        <v>30966000</v>
      </c>
      <c r="K494" s="88" t="s">
        <v>398</v>
      </c>
      <c r="L494" s="159" t="s">
        <v>155</v>
      </c>
      <c r="M494" s="162" t="s">
        <v>422</v>
      </c>
      <c r="N494" s="23" t="s">
        <v>197</v>
      </c>
      <c r="O494" s="150" t="s">
        <v>925</v>
      </c>
      <c r="P494" s="159" t="s">
        <v>348</v>
      </c>
      <c r="Q494" s="53" t="s">
        <v>753</v>
      </c>
      <c r="R494" s="162" t="s">
        <v>208</v>
      </c>
      <c r="S494" s="162" t="str">
        <f>MID(PAA[[#This Row],[Meta Proyecto de Inversión]],1,4)</f>
        <v>8126</v>
      </c>
      <c r="T494" s="162" t="str">
        <f>MID(PAA[[#This Row],[Meta Proyecto de Inversión]],6,1)</f>
        <v>9</v>
      </c>
      <c r="U494" s="163" t="str">
        <f>IFERROR(VLOOKUP(N494,TD!$B$50:$F$54,2,0)," ")</f>
        <v>O230117</v>
      </c>
      <c r="V494" s="163" t="str">
        <f>IFERROR(VLOOKUP(N494,TD!$B$50:$F$54,3,0)," ")</f>
        <v>4599</v>
      </c>
      <c r="W494" s="163">
        <f>IFERROR(VLOOKUP(N494,TD!$B$50:$F$54,4,0)," ")</f>
        <v>20240207</v>
      </c>
      <c r="X494" s="162" t="s">
        <v>174</v>
      </c>
      <c r="Y494" s="163" t="str">
        <f>IFERROR(VLOOKUP(X494,TD!$J$51:$K$64,2,0)," ")</f>
        <v>Infraestructura física, mantenimiento y dotación (Sedes construidas, mantenidas reforzadas)</v>
      </c>
      <c r="Z494" s="164" t="str">
        <f t="shared" si="28"/>
        <v>08-Infraestructura física, mantenimiento y dotación (Sedes construidas, mantenidas reforzadas)</v>
      </c>
      <c r="AA494" s="162" t="s">
        <v>227</v>
      </c>
      <c r="AB494" s="163" t="str">
        <f>IFERROR(VLOOKUP(AA494,TD!$N$51:$O$66,2,0)," ")</f>
        <v>Sedes mantenidas</v>
      </c>
      <c r="AC494" s="164" t="str">
        <f t="shared" si="29"/>
        <v>016_Sedes mantenidas</v>
      </c>
      <c r="AD494" s="164" t="str">
        <f t="shared" si="30"/>
        <v>08-Infraestructura física, mantenimiento y dotación (Sedes construidas, mantenidas reforzadas) 016_Sedes mantenidas</v>
      </c>
      <c r="AE494" s="163" t="str">
        <f t="shared" si="31"/>
        <v>O23011745992024020708016</v>
      </c>
      <c r="AF494" s="163" t="str">
        <f>IFERROR(VLOOKUP(AD494,TD!$J$66:$K$89,2,0)," ")</f>
        <v>PM/0131/0108/45990160207</v>
      </c>
      <c r="AG494" s="118" t="s">
        <v>385</v>
      </c>
      <c r="AH494" s="162" t="s">
        <v>193</v>
      </c>
      <c r="AI494" s="165" t="str">
        <f>CONCATENATE(PAA[[#This Row],[Id Interno]],"-",PAA[[#This Row],[tipo de Contrato (TH talento humano - B/S bienes y/o servicios)]],"-",S494,"-",T494,"-",PAA[[#This Row],[Objeto de la contratación]])</f>
        <v>20260475-TH-8126-9-Prestación de servicios de apoyo a la gestión documental de la Subdirección de Gestión Corporativa de la Unidad.-SGC</v>
      </c>
    </row>
    <row r="495" spans="2:35" ht="56" x14ac:dyDescent="0.35">
      <c r="B495" s="23">
        <v>20260476</v>
      </c>
      <c r="C495" s="99" t="s">
        <v>677</v>
      </c>
      <c r="D495" s="23" t="s">
        <v>105</v>
      </c>
      <c r="E495" s="23" t="s">
        <v>363</v>
      </c>
      <c r="F495" s="159" t="s">
        <v>145</v>
      </c>
      <c r="G495" s="160" t="s">
        <v>373</v>
      </c>
      <c r="H495" s="161">
        <v>11</v>
      </c>
      <c r="I495" s="161">
        <v>0</v>
      </c>
      <c r="J495" s="127">
        <v>42026000</v>
      </c>
      <c r="K495" s="88" t="s">
        <v>398</v>
      </c>
      <c r="L495" s="159" t="s">
        <v>155</v>
      </c>
      <c r="M495" s="162" t="s">
        <v>422</v>
      </c>
      <c r="N495" s="23" t="s">
        <v>197</v>
      </c>
      <c r="O495" s="150" t="s">
        <v>925</v>
      </c>
      <c r="P495" s="159" t="s">
        <v>348</v>
      </c>
      <c r="Q495" s="53" t="s">
        <v>753</v>
      </c>
      <c r="R495" s="162" t="s">
        <v>208</v>
      </c>
      <c r="S495" s="162" t="str">
        <f>MID(PAA[[#This Row],[Meta Proyecto de Inversión]],1,4)</f>
        <v>8126</v>
      </c>
      <c r="T495" s="162" t="str">
        <f>MID(PAA[[#This Row],[Meta Proyecto de Inversión]],6,1)</f>
        <v>9</v>
      </c>
      <c r="U495" s="163" t="str">
        <f>IFERROR(VLOOKUP(N495,TD!$B$50:$F$54,2,0)," ")</f>
        <v>O230117</v>
      </c>
      <c r="V495" s="163" t="str">
        <f>IFERROR(VLOOKUP(N495,TD!$B$50:$F$54,3,0)," ")</f>
        <v>4599</v>
      </c>
      <c r="W495" s="163">
        <f>IFERROR(VLOOKUP(N495,TD!$B$50:$F$54,4,0)," ")</f>
        <v>20240207</v>
      </c>
      <c r="X495" s="162" t="s">
        <v>174</v>
      </c>
      <c r="Y495" s="163" t="str">
        <f>IFERROR(VLOOKUP(X495,TD!$J$51:$K$64,2,0)," ")</f>
        <v>Infraestructura física, mantenimiento y dotación (Sedes construidas, mantenidas reforzadas)</v>
      </c>
      <c r="Z495" s="164" t="str">
        <f t="shared" si="28"/>
        <v>08-Infraestructura física, mantenimiento y dotación (Sedes construidas, mantenidas reforzadas)</v>
      </c>
      <c r="AA495" s="162" t="s">
        <v>227</v>
      </c>
      <c r="AB495" s="163" t="str">
        <f>IFERROR(VLOOKUP(AA495,TD!$N$51:$O$66,2,0)," ")</f>
        <v>Sedes mantenidas</v>
      </c>
      <c r="AC495" s="164" t="str">
        <f t="shared" si="29"/>
        <v>016_Sedes mantenidas</v>
      </c>
      <c r="AD495" s="164" t="str">
        <f t="shared" si="30"/>
        <v>08-Infraestructura física, mantenimiento y dotación (Sedes construidas, mantenidas reforzadas) 016_Sedes mantenidas</v>
      </c>
      <c r="AE495" s="163" t="str">
        <f t="shared" si="31"/>
        <v>O23011745992024020708016</v>
      </c>
      <c r="AF495" s="163" t="str">
        <f>IFERROR(VLOOKUP(AD495,TD!$J$66:$K$89,2,0)," ")</f>
        <v>PM/0131/0108/45990160207</v>
      </c>
      <c r="AG495" s="118" t="s">
        <v>385</v>
      </c>
      <c r="AH495" s="162" t="s">
        <v>193</v>
      </c>
      <c r="AI495" s="165" t="str">
        <f>CONCATENATE(PAA[[#This Row],[Id Interno]],"-",PAA[[#This Row],[tipo de Contrato (TH talento humano - B/S bienes y/o servicios)]],"-",S495,"-",T495,"-",PAA[[#This Row],[Objeto de la contratación]])</f>
        <v>20260476-TH-8126-9-Prestación de servicios de apoyo a la gestión documental de la Subdirección de Gestión Corporativa de la Unidad.-SGC</v>
      </c>
    </row>
    <row r="496" spans="2:35" ht="56" x14ac:dyDescent="0.35">
      <c r="B496" s="23">
        <v>20260477</v>
      </c>
      <c r="C496" s="99" t="s">
        <v>713</v>
      </c>
      <c r="D496" s="23" t="s">
        <v>105</v>
      </c>
      <c r="E496" s="23" t="s">
        <v>363</v>
      </c>
      <c r="F496" s="159" t="s">
        <v>145</v>
      </c>
      <c r="G496" s="160" t="s">
        <v>373</v>
      </c>
      <c r="H496" s="161">
        <v>11</v>
      </c>
      <c r="I496" s="161">
        <v>0</v>
      </c>
      <c r="J496" s="127">
        <v>30967000</v>
      </c>
      <c r="K496" s="88" t="s">
        <v>398</v>
      </c>
      <c r="L496" s="159" t="s">
        <v>155</v>
      </c>
      <c r="M496" s="162" t="s">
        <v>422</v>
      </c>
      <c r="N496" s="23" t="s">
        <v>197</v>
      </c>
      <c r="O496" s="150" t="s">
        <v>925</v>
      </c>
      <c r="P496" s="159" t="s">
        <v>348</v>
      </c>
      <c r="Q496" s="53" t="s">
        <v>753</v>
      </c>
      <c r="R496" s="162" t="s">
        <v>208</v>
      </c>
      <c r="S496" s="162" t="str">
        <f>MID(PAA[[#This Row],[Meta Proyecto de Inversión]],1,4)</f>
        <v>8126</v>
      </c>
      <c r="T496" s="162" t="str">
        <f>MID(PAA[[#This Row],[Meta Proyecto de Inversión]],6,1)</f>
        <v>9</v>
      </c>
      <c r="U496" s="163" t="str">
        <f>IFERROR(VLOOKUP(N496,TD!$B$50:$F$54,2,0)," ")</f>
        <v>O230117</v>
      </c>
      <c r="V496" s="163" t="str">
        <f>IFERROR(VLOOKUP(N496,TD!$B$50:$F$54,3,0)," ")</f>
        <v>4599</v>
      </c>
      <c r="W496" s="163">
        <f>IFERROR(VLOOKUP(N496,TD!$B$50:$F$54,4,0)," ")</f>
        <v>20240207</v>
      </c>
      <c r="X496" s="162" t="s">
        <v>174</v>
      </c>
      <c r="Y496" s="163" t="str">
        <f>IFERROR(VLOOKUP(X496,TD!$J$51:$K$64,2,0)," ")</f>
        <v>Infraestructura física, mantenimiento y dotación (Sedes construidas, mantenidas reforzadas)</v>
      </c>
      <c r="Z496" s="164" t="str">
        <f t="shared" si="28"/>
        <v>08-Infraestructura física, mantenimiento y dotación (Sedes construidas, mantenidas reforzadas)</v>
      </c>
      <c r="AA496" s="162" t="s">
        <v>227</v>
      </c>
      <c r="AB496" s="163" t="str">
        <f>IFERROR(VLOOKUP(AA496,TD!$N$51:$O$66,2,0)," ")</f>
        <v>Sedes mantenidas</v>
      </c>
      <c r="AC496" s="164" t="str">
        <f t="shared" si="29"/>
        <v>016_Sedes mantenidas</v>
      </c>
      <c r="AD496" s="164" t="str">
        <f t="shared" si="30"/>
        <v>08-Infraestructura física, mantenimiento y dotación (Sedes construidas, mantenidas reforzadas) 016_Sedes mantenidas</v>
      </c>
      <c r="AE496" s="163" t="str">
        <f t="shared" si="31"/>
        <v>O23011745992024020708016</v>
      </c>
      <c r="AF496" s="163" t="str">
        <f>IFERROR(VLOOKUP(AD496,TD!$J$66:$K$89,2,0)," ")</f>
        <v>PM/0131/0108/45990160207</v>
      </c>
      <c r="AG496" s="118" t="s">
        <v>385</v>
      </c>
      <c r="AH496" s="162" t="s">
        <v>193</v>
      </c>
      <c r="AI496" s="165" t="str">
        <f>CONCATENATE(PAA[[#This Row],[Id Interno]],"-",PAA[[#This Row],[tipo de Contrato (TH talento humano - B/S bienes y/o servicios)]],"-",S496,"-",T496,"-",PAA[[#This Row],[Objeto de la contratación]])</f>
        <v>20260477-TH-8126-9-Prestación de servicios de apoyo en las actividades asociadas a los procesos de gestión de inventarios de la Subdirección de Gestión Corporativa.-SGC</v>
      </c>
    </row>
    <row r="497" spans="2:35" ht="56" x14ac:dyDescent="0.35">
      <c r="B497" s="23">
        <v>20260478</v>
      </c>
      <c r="C497" s="99" t="s">
        <v>714</v>
      </c>
      <c r="D497" s="23" t="s">
        <v>105</v>
      </c>
      <c r="E497" s="23" t="s">
        <v>363</v>
      </c>
      <c r="F497" s="159" t="s">
        <v>145</v>
      </c>
      <c r="G497" s="160" t="s">
        <v>373</v>
      </c>
      <c r="H497" s="161">
        <v>11</v>
      </c>
      <c r="I497" s="161">
        <v>0</v>
      </c>
      <c r="J497" s="127">
        <v>47187000</v>
      </c>
      <c r="K497" s="88" t="s">
        <v>398</v>
      </c>
      <c r="L497" s="159" t="s">
        <v>155</v>
      </c>
      <c r="M497" s="162" t="s">
        <v>422</v>
      </c>
      <c r="N497" s="23" t="s">
        <v>197</v>
      </c>
      <c r="O497" s="150" t="s">
        <v>925</v>
      </c>
      <c r="P497" s="159" t="s">
        <v>348</v>
      </c>
      <c r="Q497" s="53" t="s">
        <v>753</v>
      </c>
      <c r="R497" s="162" t="s">
        <v>208</v>
      </c>
      <c r="S497" s="162" t="str">
        <f>MID(PAA[[#This Row],[Meta Proyecto de Inversión]],1,4)</f>
        <v>8126</v>
      </c>
      <c r="T497" s="162" t="str">
        <f>MID(PAA[[#This Row],[Meta Proyecto de Inversión]],6,1)</f>
        <v>9</v>
      </c>
      <c r="U497" s="163" t="str">
        <f>IFERROR(VLOOKUP(N497,TD!$B$50:$F$54,2,0)," ")</f>
        <v>O230117</v>
      </c>
      <c r="V497" s="163" t="str">
        <f>IFERROR(VLOOKUP(N497,TD!$B$50:$F$54,3,0)," ")</f>
        <v>4599</v>
      </c>
      <c r="W497" s="163">
        <f>IFERROR(VLOOKUP(N497,TD!$B$50:$F$54,4,0)," ")</f>
        <v>20240207</v>
      </c>
      <c r="X497" s="162" t="s">
        <v>174</v>
      </c>
      <c r="Y497" s="163" t="str">
        <f>IFERROR(VLOOKUP(X497,TD!$J$51:$K$64,2,0)," ")</f>
        <v>Infraestructura física, mantenimiento y dotación (Sedes construidas, mantenidas reforzadas)</v>
      </c>
      <c r="Z497" s="164" t="str">
        <f t="shared" si="28"/>
        <v>08-Infraestructura física, mantenimiento y dotación (Sedes construidas, mantenidas reforzadas)</v>
      </c>
      <c r="AA497" s="162" t="s">
        <v>227</v>
      </c>
      <c r="AB497" s="163" t="str">
        <f>IFERROR(VLOOKUP(AA497,TD!$N$51:$O$66,2,0)," ")</f>
        <v>Sedes mantenidas</v>
      </c>
      <c r="AC497" s="164" t="str">
        <f t="shared" si="29"/>
        <v>016_Sedes mantenidas</v>
      </c>
      <c r="AD497" s="164" t="str">
        <f t="shared" si="30"/>
        <v>08-Infraestructura física, mantenimiento y dotación (Sedes construidas, mantenidas reforzadas) 016_Sedes mantenidas</v>
      </c>
      <c r="AE497" s="163" t="str">
        <f t="shared" si="31"/>
        <v>O23011745992024020708016</v>
      </c>
      <c r="AF497" s="163" t="str">
        <f>IFERROR(VLOOKUP(AD497,TD!$J$66:$K$89,2,0)," ")</f>
        <v>PM/0131/0108/45990160207</v>
      </c>
      <c r="AG497" s="118" t="s">
        <v>385</v>
      </c>
      <c r="AH497" s="162" t="s">
        <v>193</v>
      </c>
      <c r="AI497" s="165" t="str">
        <f>CONCATENATE(PAA[[#This Row],[Id Interno]],"-",PAA[[#This Row],[tipo de Contrato (TH talento humano - B/S bienes y/o servicios)]],"-",S497,"-",T497,"-",PAA[[#This Row],[Objeto de la contratación]])</f>
        <v>20260478-TH-8126-9-Prestación de servicios de apoyo técnico en la gestión documental de la Subdirección de Gestión Corporativa de la Unidad-SGC</v>
      </c>
    </row>
    <row r="498" spans="2:35" ht="56" x14ac:dyDescent="0.35">
      <c r="B498" s="23">
        <v>20260479</v>
      </c>
      <c r="C498" s="99" t="s">
        <v>664</v>
      </c>
      <c r="D498" s="23" t="s">
        <v>105</v>
      </c>
      <c r="E498" s="23" t="s">
        <v>363</v>
      </c>
      <c r="F498" s="159" t="s">
        <v>145</v>
      </c>
      <c r="G498" s="160" t="s">
        <v>373</v>
      </c>
      <c r="H498" s="161">
        <v>11</v>
      </c>
      <c r="I498" s="161">
        <v>0</v>
      </c>
      <c r="J498" s="127">
        <v>36128000</v>
      </c>
      <c r="K498" s="88" t="s">
        <v>398</v>
      </c>
      <c r="L498" s="159" t="s">
        <v>155</v>
      </c>
      <c r="M498" s="162" t="s">
        <v>422</v>
      </c>
      <c r="N498" s="23" t="s">
        <v>197</v>
      </c>
      <c r="O498" s="150" t="s">
        <v>925</v>
      </c>
      <c r="P498" s="159" t="s">
        <v>348</v>
      </c>
      <c r="Q498" s="53" t="s">
        <v>753</v>
      </c>
      <c r="R498" s="162" t="s">
        <v>208</v>
      </c>
      <c r="S498" s="162" t="str">
        <f>MID(PAA[[#This Row],[Meta Proyecto de Inversión]],1,4)</f>
        <v>8126</v>
      </c>
      <c r="T498" s="162" t="str">
        <f>MID(PAA[[#This Row],[Meta Proyecto de Inversión]],6,1)</f>
        <v>9</v>
      </c>
      <c r="U498" s="163" t="str">
        <f>IFERROR(VLOOKUP(N498,TD!$B$50:$F$54,2,0)," ")</f>
        <v>O230117</v>
      </c>
      <c r="V498" s="163" t="str">
        <f>IFERROR(VLOOKUP(N498,TD!$B$50:$F$54,3,0)," ")</f>
        <v>4599</v>
      </c>
      <c r="W498" s="163">
        <f>IFERROR(VLOOKUP(N498,TD!$B$50:$F$54,4,0)," ")</f>
        <v>20240207</v>
      </c>
      <c r="X498" s="162" t="s">
        <v>174</v>
      </c>
      <c r="Y498" s="163" t="str">
        <f>IFERROR(VLOOKUP(X498,TD!$J$51:$K$64,2,0)," ")</f>
        <v>Infraestructura física, mantenimiento y dotación (Sedes construidas, mantenidas reforzadas)</v>
      </c>
      <c r="Z498" s="164" t="str">
        <f t="shared" si="28"/>
        <v>08-Infraestructura física, mantenimiento y dotación (Sedes construidas, mantenidas reforzadas)</v>
      </c>
      <c r="AA498" s="162" t="s">
        <v>227</v>
      </c>
      <c r="AB498" s="163" t="str">
        <f>IFERROR(VLOOKUP(AA498,TD!$N$51:$O$66,2,0)," ")</f>
        <v>Sedes mantenidas</v>
      </c>
      <c r="AC498" s="164" t="str">
        <f t="shared" si="29"/>
        <v>016_Sedes mantenidas</v>
      </c>
      <c r="AD498" s="164" t="str">
        <f t="shared" si="30"/>
        <v>08-Infraestructura física, mantenimiento y dotación (Sedes construidas, mantenidas reforzadas) 016_Sedes mantenidas</v>
      </c>
      <c r="AE498" s="163" t="str">
        <f t="shared" si="31"/>
        <v>O23011745992024020708016</v>
      </c>
      <c r="AF498" s="163" t="str">
        <f>IFERROR(VLOOKUP(AD498,TD!$J$66:$K$89,2,0)," ")</f>
        <v>PM/0131/0108/45990160207</v>
      </c>
      <c r="AG498" s="118" t="s">
        <v>385</v>
      </c>
      <c r="AH498" s="162" t="s">
        <v>193</v>
      </c>
      <c r="AI498" s="165" t="str">
        <f>CONCATENATE(PAA[[#This Row],[Id Interno]],"-",PAA[[#This Row],[tipo de Contrato (TH talento humano - B/S bienes y/o servicios)]],"-",S498,"-",T498,"-",PAA[[#This Row],[Objeto de la contratación]])</f>
        <v>20260479-TH-8126-9-Prestación de servicios de apoyo a la gestión en la ejecución de los planes y programas de servicio al ciudadano a cargo de la Subdirección de Gestión Corporativa.-SGC</v>
      </c>
    </row>
    <row r="499" spans="2:35" ht="56" x14ac:dyDescent="0.35">
      <c r="B499" s="23">
        <v>20260480</v>
      </c>
      <c r="C499" s="99" t="s">
        <v>664</v>
      </c>
      <c r="D499" s="23" t="s">
        <v>105</v>
      </c>
      <c r="E499" s="23" t="s">
        <v>363</v>
      </c>
      <c r="F499" s="159" t="s">
        <v>145</v>
      </c>
      <c r="G499" s="160" t="s">
        <v>373</v>
      </c>
      <c r="H499" s="161">
        <v>11</v>
      </c>
      <c r="I499" s="161">
        <v>0</v>
      </c>
      <c r="J499" s="127">
        <v>36128000</v>
      </c>
      <c r="K499" s="88" t="s">
        <v>398</v>
      </c>
      <c r="L499" s="159" t="s">
        <v>155</v>
      </c>
      <c r="M499" s="162" t="s">
        <v>422</v>
      </c>
      <c r="N499" s="23" t="s">
        <v>197</v>
      </c>
      <c r="O499" s="150" t="s">
        <v>925</v>
      </c>
      <c r="P499" s="159" t="s">
        <v>348</v>
      </c>
      <c r="Q499" s="53" t="s">
        <v>753</v>
      </c>
      <c r="R499" s="162" t="s">
        <v>208</v>
      </c>
      <c r="S499" s="162" t="str">
        <f>MID(PAA[[#This Row],[Meta Proyecto de Inversión]],1,4)</f>
        <v>8126</v>
      </c>
      <c r="T499" s="162" t="str">
        <f>MID(PAA[[#This Row],[Meta Proyecto de Inversión]],6,1)</f>
        <v>9</v>
      </c>
      <c r="U499" s="163" t="str">
        <f>IFERROR(VLOOKUP(N499,TD!$B$50:$F$54,2,0)," ")</f>
        <v>O230117</v>
      </c>
      <c r="V499" s="163" t="str">
        <f>IFERROR(VLOOKUP(N499,TD!$B$50:$F$54,3,0)," ")</f>
        <v>4599</v>
      </c>
      <c r="W499" s="163">
        <f>IFERROR(VLOOKUP(N499,TD!$B$50:$F$54,4,0)," ")</f>
        <v>20240207</v>
      </c>
      <c r="X499" s="162" t="s">
        <v>174</v>
      </c>
      <c r="Y499" s="163" t="str">
        <f>IFERROR(VLOOKUP(X499,TD!$J$51:$K$64,2,0)," ")</f>
        <v>Infraestructura física, mantenimiento y dotación (Sedes construidas, mantenidas reforzadas)</v>
      </c>
      <c r="Z499" s="164" t="str">
        <f t="shared" si="28"/>
        <v>08-Infraestructura física, mantenimiento y dotación (Sedes construidas, mantenidas reforzadas)</v>
      </c>
      <c r="AA499" s="162" t="s">
        <v>227</v>
      </c>
      <c r="AB499" s="163" t="str">
        <f>IFERROR(VLOOKUP(AA499,TD!$N$51:$O$66,2,0)," ")</f>
        <v>Sedes mantenidas</v>
      </c>
      <c r="AC499" s="164" t="str">
        <f t="shared" si="29"/>
        <v>016_Sedes mantenidas</v>
      </c>
      <c r="AD499" s="164" t="str">
        <f t="shared" si="30"/>
        <v>08-Infraestructura física, mantenimiento y dotación (Sedes construidas, mantenidas reforzadas) 016_Sedes mantenidas</v>
      </c>
      <c r="AE499" s="163" t="str">
        <f t="shared" si="31"/>
        <v>O23011745992024020708016</v>
      </c>
      <c r="AF499" s="163" t="str">
        <f>IFERROR(VLOOKUP(AD499,TD!$J$66:$K$89,2,0)," ")</f>
        <v>PM/0131/0108/45990160207</v>
      </c>
      <c r="AG499" s="118" t="s">
        <v>385</v>
      </c>
      <c r="AH499" s="162" t="s">
        <v>193</v>
      </c>
      <c r="AI499" s="165" t="str">
        <f>CONCATENATE(PAA[[#This Row],[Id Interno]],"-",PAA[[#This Row],[tipo de Contrato (TH talento humano - B/S bienes y/o servicios)]],"-",S499,"-",T499,"-",PAA[[#This Row],[Objeto de la contratación]])</f>
        <v>20260480-TH-8126-9-Prestación de servicios de apoyo a la gestión en la ejecución de los planes y programas de servicio al ciudadano a cargo de la Subdirección de Gestión Corporativa.-SGC</v>
      </c>
    </row>
    <row r="500" spans="2:35" ht="56" x14ac:dyDescent="0.35">
      <c r="B500" s="23">
        <v>20260481</v>
      </c>
      <c r="C500" s="99" t="s">
        <v>664</v>
      </c>
      <c r="D500" s="23" t="s">
        <v>105</v>
      </c>
      <c r="E500" s="23" t="s">
        <v>363</v>
      </c>
      <c r="F500" s="159" t="s">
        <v>145</v>
      </c>
      <c r="G500" s="160" t="s">
        <v>373</v>
      </c>
      <c r="H500" s="161">
        <v>11</v>
      </c>
      <c r="I500" s="161">
        <v>0</v>
      </c>
      <c r="J500" s="127">
        <v>36128000</v>
      </c>
      <c r="K500" s="88" t="s">
        <v>398</v>
      </c>
      <c r="L500" s="159" t="s">
        <v>155</v>
      </c>
      <c r="M500" s="162" t="s">
        <v>422</v>
      </c>
      <c r="N500" s="23" t="s">
        <v>197</v>
      </c>
      <c r="O500" s="150" t="s">
        <v>925</v>
      </c>
      <c r="P500" s="160" t="s">
        <v>348</v>
      </c>
      <c r="Q500" s="53" t="s">
        <v>753</v>
      </c>
      <c r="R500" s="162" t="s">
        <v>208</v>
      </c>
      <c r="S500" s="162" t="str">
        <f>MID(PAA[[#This Row],[Meta Proyecto de Inversión]],1,4)</f>
        <v>8126</v>
      </c>
      <c r="T500" s="162" t="str">
        <f>MID(PAA[[#This Row],[Meta Proyecto de Inversión]],6,1)</f>
        <v>9</v>
      </c>
      <c r="U500" s="163" t="str">
        <f>IFERROR(VLOOKUP(N500,TD!$B$50:$F$54,2,0)," ")</f>
        <v>O230117</v>
      </c>
      <c r="V500" s="163" t="str">
        <f>IFERROR(VLOOKUP(N500,TD!$B$50:$F$54,3,0)," ")</f>
        <v>4599</v>
      </c>
      <c r="W500" s="163">
        <f>IFERROR(VLOOKUP(N500,TD!$B$50:$F$54,4,0)," ")</f>
        <v>20240207</v>
      </c>
      <c r="X500" s="162" t="s">
        <v>174</v>
      </c>
      <c r="Y500" s="163" t="str">
        <f>IFERROR(VLOOKUP(X500,TD!$J$51:$K$64,2,0)," ")</f>
        <v>Infraestructura física, mantenimiento y dotación (Sedes construidas, mantenidas reforzadas)</v>
      </c>
      <c r="Z500" s="164" t="str">
        <f t="shared" si="28"/>
        <v>08-Infraestructura física, mantenimiento y dotación (Sedes construidas, mantenidas reforzadas)</v>
      </c>
      <c r="AA500" s="162" t="s">
        <v>227</v>
      </c>
      <c r="AB500" s="163" t="str">
        <f>IFERROR(VLOOKUP(AA500,TD!$N$51:$O$66,2,0)," ")</f>
        <v>Sedes mantenidas</v>
      </c>
      <c r="AC500" s="164" t="str">
        <f t="shared" si="29"/>
        <v>016_Sedes mantenidas</v>
      </c>
      <c r="AD500" s="164" t="str">
        <f t="shared" si="30"/>
        <v>08-Infraestructura física, mantenimiento y dotación (Sedes construidas, mantenidas reforzadas) 016_Sedes mantenidas</v>
      </c>
      <c r="AE500" s="163" t="str">
        <f t="shared" si="31"/>
        <v>O23011745992024020708016</v>
      </c>
      <c r="AF500" s="163" t="str">
        <f>IFERROR(VLOOKUP(AD500,TD!$J$66:$K$89,2,0)," ")</f>
        <v>PM/0131/0108/45990160207</v>
      </c>
      <c r="AG500" s="118" t="s">
        <v>385</v>
      </c>
      <c r="AH500" s="162" t="s">
        <v>193</v>
      </c>
      <c r="AI500" s="165" t="str">
        <f>CONCATENATE(PAA[[#This Row],[Id Interno]],"-",PAA[[#This Row],[tipo de Contrato (TH talento humano - B/S bienes y/o servicios)]],"-",S500,"-",T500,"-",PAA[[#This Row],[Objeto de la contratación]])</f>
        <v>20260481-TH-8126-9-Prestación de servicios de apoyo a la gestión en la ejecución de los planes y programas de servicio al ciudadano a cargo de la Subdirección de Gestión Corporativa.-SGC</v>
      </c>
    </row>
    <row r="501" spans="2:35" ht="56" x14ac:dyDescent="0.35">
      <c r="B501" s="23">
        <v>20260482</v>
      </c>
      <c r="C501" s="99" t="s">
        <v>664</v>
      </c>
      <c r="D501" s="23" t="s">
        <v>105</v>
      </c>
      <c r="E501" s="23" t="s">
        <v>363</v>
      </c>
      <c r="F501" s="159" t="s">
        <v>145</v>
      </c>
      <c r="G501" s="160" t="s">
        <v>373</v>
      </c>
      <c r="H501" s="161">
        <v>11</v>
      </c>
      <c r="I501" s="161">
        <v>0</v>
      </c>
      <c r="J501" s="127">
        <v>36128000</v>
      </c>
      <c r="K501" s="88" t="s">
        <v>398</v>
      </c>
      <c r="L501" s="159" t="s">
        <v>155</v>
      </c>
      <c r="M501" s="162" t="s">
        <v>422</v>
      </c>
      <c r="N501" s="23" t="s">
        <v>197</v>
      </c>
      <c r="O501" s="150" t="s">
        <v>925</v>
      </c>
      <c r="P501" s="159" t="s">
        <v>348</v>
      </c>
      <c r="Q501" s="53" t="s">
        <v>753</v>
      </c>
      <c r="R501" s="162" t="s">
        <v>208</v>
      </c>
      <c r="S501" s="162" t="str">
        <f>MID(PAA[[#This Row],[Meta Proyecto de Inversión]],1,4)</f>
        <v>8126</v>
      </c>
      <c r="T501" s="162" t="str">
        <f>MID(PAA[[#This Row],[Meta Proyecto de Inversión]],6,1)</f>
        <v>9</v>
      </c>
      <c r="U501" s="163" t="str">
        <f>IFERROR(VLOOKUP(N501,TD!$B$50:$F$54,2,0)," ")</f>
        <v>O230117</v>
      </c>
      <c r="V501" s="163" t="str">
        <f>IFERROR(VLOOKUP(N501,TD!$B$50:$F$54,3,0)," ")</f>
        <v>4599</v>
      </c>
      <c r="W501" s="163">
        <f>IFERROR(VLOOKUP(N501,TD!$B$50:$F$54,4,0)," ")</f>
        <v>20240207</v>
      </c>
      <c r="X501" s="162" t="s">
        <v>174</v>
      </c>
      <c r="Y501" s="163" t="str">
        <f>IFERROR(VLOOKUP(X501,TD!$J$51:$K$64,2,0)," ")</f>
        <v>Infraestructura física, mantenimiento y dotación (Sedes construidas, mantenidas reforzadas)</v>
      </c>
      <c r="Z501" s="164" t="str">
        <f t="shared" si="28"/>
        <v>08-Infraestructura física, mantenimiento y dotación (Sedes construidas, mantenidas reforzadas)</v>
      </c>
      <c r="AA501" s="162" t="s">
        <v>227</v>
      </c>
      <c r="AB501" s="163" t="str">
        <f>IFERROR(VLOOKUP(AA501,TD!$N$51:$O$66,2,0)," ")</f>
        <v>Sedes mantenidas</v>
      </c>
      <c r="AC501" s="164" t="str">
        <f t="shared" si="29"/>
        <v>016_Sedes mantenidas</v>
      </c>
      <c r="AD501" s="164" t="str">
        <f t="shared" si="30"/>
        <v>08-Infraestructura física, mantenimiento y dotación (Sedes construidas, mantenidas reforzadas) 016_Sedes mantenidas</v>
      </c>
      <c r="AE501" s="163" t="str">
        <f t="shared" si="31"/>
        <v>O23011745992024020708016</v>
      </c>
      <c r="AF501" s="163" t="str">
        <f>IFERROR(VLOOKUP(AD501,TD!$J$66:$K$89,2,0)," ")</f>
        <v>PM/0131/0108/45990160207</v>
      </c>
      <c r="AG501" s="118" t="s">
        <v>385</v>
      </c>
      <c r="AH501" s="162" t="s">
        <v>193</v>
      </c>
      <c r="AI501" s="165" t="str">
        <f>CONCATENATE(PAA[[#This Row],[Id Interno]],"-",PAA[[#This Row],[tipo de Contrato (TH talento humano - B/S bienes y/o servicios)]],"-",S501,"-",T501,"-",PAA[[#This Row],[Objeto de la contratación]])</f>
        <v>20260482-TH-8126-9-Prestación de servicios de apoyo a la gestión en la ejecución de los planes y programas de servicio al ciudadano a cargo de la Subdirección de Gestión Corporativa.-SGC</v>
      </c>
    </row>
    <row r="502" spans="2:35" ht="70" x14ac:dyDescent="0.35">
      <c r="B502" s="23">
        <v>20260483</v>
      </c>
      <c r="C502" s="99" t="s">
        <v>691</v>
      </c>
      <c r="D502" s="23" t="s">
        <v>105</v>
      </c>
      <c r="E502" s="23" t="s">
        <v>363</v>
      </c>
      <c r="F502" s="159" t="s">
        <v>145</v>
      </c>
      <c r="G502" s="160" t="s">
        <v>373</v>
      </c>
      <c r="H502" s="161">
        <v>11</v>
      </c>
      <c r="I502" s="161">
        <v>0</v>
      </c>
      <c r="J502" s="127">
        <v>36128000</v>
      </c>
      <c r="K502" s="88" t="s">
        <v>398</v>
      </c>
      <c r="L502" s="159" t="s">
        <v>155</v>
      </c>
      <c r="M502" s="162" t="s">
        <v>422</v>
      </c>
      <c r="N502" s="23" t="s">
        <v>197</v>
      </c>
      <c r="O502" s="150" t="s">
        <v>925</v>
      </c>
      <c r="P502" s="159" t="s">
        <v>348</v>
      </c>
      <c r="Q502" s="100" t="s">
        <v>753</v>
      </c>
      <c r="R502" s="162" t="s">
        <v>207</v>
      </c>
      <c r="S502" s="162" t="str">
        <f>MID(PAA[[#This Row],[Meta Proyecto de Inversión]],1,4)</f>
        <v>8126</v>
      </c>
      <c r="T502" s="162" t="str">
        <f>MID(PAA[[#This Row],[Meta Proyecto de Inversión]],6,1)</f>
        <v>8</v>
      </c>
      <c r="U502" s="163" t="str">
        <f>IFERROR(VLOOKUP(N502,TD!$B$50:$F$54,2,0)," ")</f>
        <v>O230117</v>
      </c>
      <c r="V502" s="163" t="str">
        <f>IFERROR(VLOOKUP(N502,TD!$B$50:$F$54,3,0)," ")</f>
        <v>4599</v>
      </c>
      <c r="W502" s="163">
        <f>IFERROR(VLOOKUP(N502,TD!$B$50:$F$54,4,0)," ")</f>
        <v>20240207</v>
      </c>
      <c r="X502" s="162" t="s">
        <v>174</v>
      </c>
      <c r="Y502" s="163" t="str">
        <f>IFERROR(VLOOKUP(X502,TD!$J$51:$K$64,2,0)," ")</f>
        <v>Infraestructura física, mantenimiento y dotación (Sedes construidas, mantenidas reforzadas)</v>
      </c>
      <c r="Z502" s="164" t="str">
        <f t="shared" si="28"/>
        <v>08-Infraestructura física, mantenimiento y dotación (Sedes construidas, mantenidas reforzadas)</v>
      </c>
      <c r="AA502" s="162" t="s">
        <v>227</v>
      </c>
      <c r="AB502" s="163" t="str">
        <f>IFERROR(VLOOKUP(AA502,TD!$N$51:$O$66,2,0)," ")</f>
        <v>Sedes mantenidas</v>
      </c>
      <c r="AC502" s="164" t="str">
        <f t="shared" si="29"/>
        <v>016_Sedes mantenidas</v>
      </c>
      <c r="AD502" s="164" t="str">
        <f t="shared" si="30"/>
        <v>08-Infraestructura física, mantenimiento y dotación (Sedes construidas, mantenidas reforzadas) 016_Sedes mantenidas</v>
      </c>
      <c r="AE502" s="163" t="str">
        <f t="shared" si="31"/>
        <v>O23011745992024020708016</v>
      </c>
      <c r="AF502" s="163" t="str">
        <f>IFERROR(VLOOKUP(AD502,TD!$J$66:$K$89,2,0)," ")</f>
        <v>PM/0131/0108/45990160207</v>
      </c>
      <c r="AG502" s="118" t="s">
        <v>385</v>
      </c>
      <c r="AH502" s="162" t="s">
        <v>193</v>
      </c>
      <c r="AI502" s="165" t="str">
        <f>CONCATENATE(PAA[[#This Row],[Id Interno]],"-",PAA[[#This Row],[tipo de Contrato (TH talento humano - B/S bienes y/o servicios)]],"-",S502,"-",T502,"-",PAA[[#This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03" spans="2:35" ht="70" x14ac:dyDescent="0.35">
      <c r="B503" s="23">
        <v>20260484</v>
      </c>
      <c r="C503" s="99" t="s">
        <v>691</v>
      </c>
      <c r="D503" s="23" t="s">
        <v>105</v>
      </c>
      <c r="E503" s="23" t="s">
        <v>363</v>
      </c>
      <c r="F503" s="159" t="s">
        <v>145</v>
      </c>
      <c r="G503" s="160" t="s">
        <v>373</v>
      </c>
      <c r="H503" s="161">
        <v>11</v>
      </c>
      <c r="I503" s="161">
        <v>0</v>
      </c>
      <c r="J503" s="127">
        <v>36128000</v>
      </c>
      <c r="K503" s="88" t="s">
        <v>398</v>
      </c>
      <c r="L503" s="159" t="s">
        <v>155</v>
      </c>
      <c r="M503" s="162" t="s">
        <v>422</v>
      </c>
      <c r="N503" s="23" t="s">
        <v>197</v>
      </c>
      <c r="O503" s="150" t="s">
        <v>925</v>
      </c>
      <c r="P503" s="159" t="s">
        <v>348</v>
      </c>
      <c r="Q503" s="53" t="s">
        <v>753</v>
      </c>
      <c r="R503" s="162" t="s">
        <v>207</v>
      </c>
      <c r="S503" s="162" t="str">
        <f>MID(PAA[[#This Row],[Meta Proyecto de Inversión]],1,4)</f>
        <v>8126</v>
      </c>
      <c r="T503" s="162" t="str">
        <f>MID(PAA[[#This Row],[Meta Proyecto de Inversión]],6,1)</f>
        <v>8</v>
      </c>
      <c r="U503" s="163" t="str">
        <f>IFERROR(VLOOKUP(N503,TD!$B$50:$F$54,2,0)," ")</f>
        <v>O230117</v>
      </c>
      <c r="V503" s="163" t="str">
        <f>IFERROR(VLOOKUP(N503,TD!$B$50:$F$54,3,0)," ")</f>
        <v>4599</v>
      </c>
      <c r="W503" s="163">
        <f>IFERROR(VLOOKUP(N503,TD!$B$50:$F$54,4,0)," ")</f>
        <v>20240207</v>
      </c>
      <c r="X503" s="162" t="s">
        <v>174</v>
      </c>
      <c r="Y503" s="163" t="str">
        <f>IFERROR(VLOOKUP(X503,TD!$J$51:$K$64,2,0)," ")</f>
        <v>Infraestructura física, mantenimiento y dotación (Sedes construidas, mantenidas reforzadas)</v>
      </c>
      <c r="Z503" s="164" t="str">
        <f t="shared" si="28"/>
        <v>08-Infraestructura física, mantenimiento y dotación (Sedes construidas, mantenidas reforzadas)</v>
      </c>
      <c r="AA503" s="162" t="s">
        <v>227</v>
      </c>
      <c r="AB503" s="163" t="str">
        <f>IFERROR(VLOOKUP(AA503,TD!$N$51:$O$66,2,0)," ")</f>
        <v>Sedes mantenidas</v>
      </c>
      <c r="AC503" s="164" t="str">
        <f t="shared" si="29"/>
        <v>016_Sedes mantenidas</v>
      </c>
      <c r="AD503" s="164" t="str">
        <f t="shared" si="30"/>
        <v>08-Infraestructura física, mantenimiento y dotación (Sedes construidas, mantenidas reforzadas) 016_Sedes mantenidas</v>
      </c>
      <c r="AE503" s="163" t="str">
        <f t="shared" si="31"/>
        <v>O23011745992024020708016</v>
      </c>
      <c r="AF503" s="163" t="str">
        <f>IFERROR(VLOOKUP(AD503,TD!$J$66:$K$89,2,0)," ")</f>
        <v>PM/0131/0108/45990160207</v>
      </c>
      <c r="AG503" s="118" t="s">
        <v>385</v>
      </c>
      <c r="AH503" s="162" t="s">
        <v>193</v>
      </c>
      <c r="AI503" s="165" t="str">
        <f>CONCATENATE(PAA[[#This Row],[Id Interno]],"-",PAA[[#This Row],[tipo de Contrato (TH talento humano - B/S bienes y/o servicios)]],"-",S503,"-",T503,"-",PAA[[#This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04" spans="2:35" ht="132.5" customHeight="1" x14ac:dyDescent="0.35">
      <c r="B504" s="23">
        <v>20260485</v>
      </c>
      <c r="C504" s="99" t="s">
        <v>691</v>
      </c>
      <c r="D504" s="23" t="s">
        <v>105</v>
      </c>
      <c r="E504" s="23" t="s">
        <v>363</v>
      </c>
      <c r="F504" s="159" t="s">
        <v>145</v>
      </c>
      <c r="G504" s="160" t="s">
        <v>373</v>
      </c>
      <c r="H504" s="161">
        <v>11</v>
      </c>
      <c r="I504" s="161">
        <v>0</v>
      </c>
      <c r="J504" s="127">
        <v>36128000</v>
      </c>
      <c r="K504" s="88" t="s">
        <v>398</v>
      </c>
      <c r="L504" s="159" t="s">
        <v>155</v>
      </c>
      <c r="M504" s="162" t="s">
        <v>422</v>
      </c>
      <c r="N504" s="23" t="s">
        <v>197</v>
      </c>
      <c r="O504" s="150" t="s">
        <v>925</v>
      </c>
      <c r="P504" s="159" t="s">
        <v>348</v>
      </c>
      <c r="Q504" s="53" t="s">
        <v>753</v>
      </c>
      <c r="R504" s="162" t="s">
        <v>207</v>
      </c>
      <c r="S504" s="162" t="str">
        <f>MID(PAA[[#This Row],[Meta Proyecto de Inversión]],1,4)</f>
        <v>8126</v>
      </c>
      <c r="T504" s="162" t="str">
        <f>MID(PAA[[#This Row],[Meta Proyecto de Inversión]],6,1)</f>
        <v>8</v>
      </c>
      <c r="U504" s="163" t="str">
        <f>IFERROR(VLOOKUP(N504,TD!$B$50:$F$54,2,0)," ")</f>
        <v>O230117</v>
      </c>
      <c r="V504" s="163" t="str">
        <f>IFERROR(VLOOKUP(N504,TD!$B$50:$F$54,3,0)," ")</f>
        <v>4599</v>
      </c>
      <c r="W504" s="163">
        <f>IFERROR(VLOOKUP(N504,TD!$B$50:$F$54,4,0)," ")</f>
        <v>20240207</v>
      </c>
      <c r="X504" s="162" t="s">
        <v>174</v>
      </c>
      <c r="Y504" s="163" t="str">
        <f>IFERROR(VLOOKUP(X504,TD!$J$51:$K$64,2,0)," ")</f>
        <v>Infraestructura física, mantenimiento y dotación (Sedes construidas, mantenidas reforzadas)</v>
      </c>
      <c r="Z504" s="164" t="str">
        <f t="shared" si="28"/>
        <v>08-Infraestructura física, mantenimiento y dotación (Sedes construidas, mantenidas reforzadas)</v>
      </c>
      <c r="AA504" s="162" t="s">
        <v>227</v>
      </c>
      <c r="AB504" s="163" t="str">
        <f>IFERROR(VLOOKUP(AA504,TD!$N$51:$O$66,2,0)," ")</f>
        <v>Sedes mantenidas</v>
      </c>
      <c r="AC504" s="164" t="str">
        <f t="shared" si="29"/>
        <v>016_Sedes mantenidas</v>
      </c>
      <c r="AD504" s="164" t="str">
        <f t="shared" si="30"/>
        <v>08-Infraestructura física, mantenimiento y dotación (Sedes construidas, mantenidas reforzadas) 016_Sedes mantenidas</v>
      </c>
      <c r="AE504" s="163" t="str">
        <f t="shared" si="31"/>
        <v>O23011745992024020708016</v>
      </c>
      <c r="AF504" s="163" t="str">
        <f>IFERROR(VLOOKUP(AD504,TD!$J$66:$K$89,2,0)," ")</f>
        <v>PM/0131/0108/45990160207</v>
      </c>
      <c r="AG504" s="118" t="s">
        <v>385</v>
      </c>
      <c r="AH504" s="162" t="s">
        <v>193</v>
      </c>
      <c r="AI504" s="165" t="str">
        <f>CONCATENATE(PAA[[#This Row],[Id Interno]],"-",PAA[[#This Row],[tipo de Contrato (TH talento humano - B/S bienes y/o servicios)]],"-",S504,"-",T504,"-",PAA[[#This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05" spans="2:35" ht="83.5" customHeight="1" x14ac:dyDescent="0.35">
      <c r="B505" s="23">
        <v>20260486</v>
      </c>
      <c r="C505" s="99" t="s">
        <v>715</v>
      </c>
      <c r="D505" s="23" t="s">
        <v>105</v>
      </c>
      <c r="E505" s="23" t="s">
        <v>363</v>
      </c>
      <c r="F505" s="159" t="s">
        <v>144</v>
      </c>
      <c r="G505" s="160" t="s">
        <v>373</v>
      </c>
      <c r="H505" s="161">
        <v>11</v>
      </c>
      <c r="I505" s="161">
        <v>0</v>
      </c>
      <c r="J505" s="127">
        <v>100273000</v>
      </c>
      <c r="K505" s="88" t="s">
        <v>398</v>
      </c>
      <c r="L505" s="159" t="s">
        <v>155</v>
      </c>
      <c r="M505" s="162" t="s">
        <v>422</v>
      </c>
      <c r="N505" s="23" t="s">
        <v>197</v>
      </c>
      <c r="O505" s="150" t="s">
        <v>925</v>
      </c>
      <c r="P505" s="159" t="s">
        <v>348</v>
      </c>
      <c r="Q505" s="53" t="s">
        <v>753</v>
      </c>
      <c r="R505" s="162" t="s">
        <v>208</v>
      </c>
      <c r="S505" s="162" t="str">
        <f>MID(PAA[[#This Row],[Meta Proyecto de Inversión]],1,4)</f>
        <v>8126</v>
      </c>
      <c r="T505" s="162" t="str">
        <f>MID(PAA[[#This Row],[Meta Proyecto de Inversión]],6,1)</f>
        <v>9</v>
      </c>
      <c r="U505" s="163" t="str">
        <f>IFERROR(VLOOKUP(N505,TD!$B$50:$F$54,2,0)," ")</f>
        <v>O230117</v>
      </c>
      <c r="V505" s="163" t="str">
        <f>IFERROR(VLOOKUP(N505,TD!$B$50:$F$54,3,0)," ")</f>
        <v>4599</v>
      </c>
      <c r="W505" s="163">
        <f>IFERROR(VLOOKUP(N505,TD!$B$50:$F$54,4,0)," ")</f>
        <v>20240207</v>
      </c>
      <c r="X505" s="162" t="s">
        <v>174</v>
      </c>
      <c r="Y505" s="163" t="str">
        <f>IFERROR(VLOOKUP(X505,TD!$J$51:$K$64,2,0)," ")</f>
        <v>Infraestructura física, mantenimiento y dotación (Sedes construidas, mantenidas reforzadas)</v>
      </c>
      <c r="Z505" s="164" t="str">
        <f t="shared" si="28"/>
        <v>08-Infraestructura física, mantenimiento y dotación (Sedes construidas, mantenidas reforzadas)</v>
      </c>
      <c r="AA505" s="162" t="s">
        <v>227</v>
      </c>
      <c r="AB505" s="163" t="str">
        <f>IFERROR(VLOOKUP(AA505,TD!$N$51:$O$66,2,0)," ")</f>
        <v>Sedes mantenidas</v>
      </c>
      <c r="AC505" s="164" t="str">
        <f t="shared" si="29"/>
        <v>016_Sedes mantenidas</v>
      </c>
      <c r="AD505" s="164" t="str">
        <f t="shared" si="30"/>
        <v>08-Infraestructura física, mantenimiento y dotación (Sedes construidas, mantenidas reforzadas) 016_Sedes mantenidas</v>
      </c>
      <c r="AE505" s="163" t="str">
        <f t="shared" si="31"/>
        <v>O23011745992024020708016</v>
      </c>
      <c r="AF505" s="163" t="str">
        <f>IFERROR(VLOOKUP(AD505,TD!$J$66:$K$89,2,0)," ")</f>
        <v>PM/0131/0108/45990160207</v>
      </c>
      <c r="AG505" s="118" t="s">
        <v>385</v>
      </c>
      <c r="AH505" s="171" t="s">
        <v>193</v>
      </c>
      <c r="AI505" s="165" t="str">
        <f>CONCATENATE(PAA[[#This Row],[Id Interno]],"-",PAA[[#This Row],[tipo de Contrato (TH talento humano - B/S bienes y/o servicios)]],"-",S505,"-",T505,"-",PAA[[#This Row],[Objeto de la contratación]])</f>
        <v>20260486-TH-8126-9-Prestar los servicios profesionales para el acompañamiento y seguimiento de los planes y proyectos del area de inventarios de la Subdireccion de Gestión Corporativa-SGC</v>
      </c>
    </row>
    <row r="506" spans="2:35" ht="56" x14ac:dyDescent="0.35">
      <c r="B506" s="23">
        <v>20260487</v>
      </c>
      <c r="C506" s="121" t="s">
        <v>716</v>
      </c>
      <c r="D506" s="130" t="s">
        <v>105</v>
      </c>
      <c r="E506" s="130" t="s">
        <v>363</v>
      </c>
      <c r="F506" s="172" t="s">
        <v>144</v>
      </c>
      <c r="G506" s="177" t="s">
        <v>373</v>
      </c>
      <c r="H506" s="209">
        <v>11</v>
      </c>
      <c r="I506" s="161">
        <v>0</v>
      </c>
      <c r="J506" s="132">
        <v>56772000</v>
      </c>
      <c r="K506" s="133" t="s">
        <v>398</v>
      </c>
      <c r="L506" s="172" t="s">
        <v>155</v>
      </c>
      <c r="M506" s="173" t="s">
        <v>422</v>
      </c>
      <c r="N506" s="130" t="s">
        <v>197</v>
      </c>
      <c r="O506" s="150" t="s">
        <v>925</v>
      </c>
      <c r="P506" s="172" t="s">
        <v>348</v>
      </c>
      <c r="Q506" s="134" t="s">
        <v>753</v>
      </c>
      <c r="R506" s="173" t="s">
        <v>208</v>
      </c>
      <c r="S506" s="173" t="str">
        <f>MID(PAA[[#This Row],[Meta Proyecto de Inversión]],1,4)</f>
        <v>8126</v>
      </c>
      <c r="T506" s="173" t="str">
        <f>MID(PAA[[#This Row],[Meta Proyecto de Inversión]],6,1)</f>
        <v>9</v>
      </c>
      <c r="U506" s="174" t="str">
        <f>IFERROR(VLOOKUP(N506,TD!$B$50:$F$54,2,0)," ")</f>
        <v>O230117</v>
      </c>
      <c r="V506" s="174" t="str">
        <f>IFERROR(VLOOKUP(N506,TD!$B$50:$F$54,3,0)," ")</f>
        <v>4599</v>
      </c>
      <c r="W506" s="174">
        <f>IFERROR(VLOOKUP(N506,TD!$B$50:$F$54,4,0)," ")</f>
        <v>20240207</v>
      </c>
      <c r="X506" s="173" t="s">
        <v>174</v>
      </c>
      <c r="Y506" s="163" t="str">
        <f>IFERROR(VLOOKUP(X506,TD!$J$51:$K$64,2,0)," ")</f>
        <v>Infraestructura física, mantenimiento y dotación (Sedes construidas, mantenidas reforzadas)</v>
      </c>
      <c r="Z506" s="175" t="str">
        <f t="shared" si="28"/>
        <v>08-Infraestructura física, mantenimiento y dotación (Sedes construidas, mantenidas reforzadas)</v>
      </c>
      <c r="AA506" s="173" t="s">
        <v>227</v>
      </c>
      <c r="AB506" s="163" t="str">
        <f>IFERROR(VLOOKUP(AA506,TD!$N$51:$O$66,2,0)," ")</f>
        <v>Sedes mantenidas</v>
      </c>
      <c r="AC506" s="175" t="str">
        <f t="shared" si="29"/>
        <v>016_Sedes mantenidas</v>
      </c>
      <c r="AD506" s="175" t="str">
        <f t="shared" si="30"/>
        <v>08-Infraestructura física, mantenimiento y dotación (Sedes construidas, mantenidas reforzadas) 016_Sedes mantenidas</v>
      </c>
      <c r="AE506" s="174" t="str">
        <f t="shared" si="31"/>
        <v>O23011745992024020708016</v>
      </c>
      <c r="AF506" s="163" t="str">
        <f>IFERROR(VLOOKUP(AD506,TD!$J$66:$K$89,2,0)," ")</f>
        <v>PM/0131/0108/45990160207</v>
      </c>
      <c r="AG506" s="135" t="s">
        <v>385</v>
      </c>
      <c r="AH506" s="176" t="s">
        <v>193</v>
      </c>
      <c r="AI506" s="165" t="str">
        <f>CONCATENATE(PAA[[#This Row],[Id Interno]],"-",PAA[[#This Row],[tipo de Contrato (TH talento humano - B/S bienes y/o servicios)]],"-",S506,"-",T506,"-",PAA[[#This Row],[Objeto de la contratación]])</f>
        <v>20260487-TH-8126-9-Prestar los servicios profesionales en el area de inventarios de la Subdireccion de Gestión Corporativa-SGC</v>
      </c>
    </row>
    <row r="507" spans="2:35" ht="56" x14ac:dyDescent="0.35">
      <c r="B507" s="23">
        <v>20260488</v>
      </c>
      <c r="C507" s="121" t="s">
        <v>717</v>
      </c>
      <c r="D507" s="130" t="s">
        <v>105</v>
      </c>
      <c r="E507" s="130" t="s">
        <v>363</v>
      </c>
      <c r="F507" s="172" t="s">
        <v>145</v>
      </c>
      <c r="G507" s="177" t="s">
        <v>373</v>
      </c>
      <c r="H507" s="209">
        <v>10</v>
      </c>
      <c r="I507" s="161">
        <v>0</v>
      </c>
      <c r="J507" s="132">
        <v>38205000</v>
      </c>
      <c r="K507" s="133" t="s">
        <v>398</v>
      </c>
      <c r="L507" s="172" t="s">
        <v>155</v>
      </c>
      <c r="M507" s="173" t="s">
        <v>422</v>
      </c>
      <c r="N507" s="130" t="s">
        <v>197</v>
      </c>
      <c r="O507" s="150" t="s">
        <v>925</v>
      </c>
      <c r="P507" s="172" t="s">
        <v>348</v>
      </c>
      <c r="Q507" s="134" t="s">
        <v>753</v>
      </c>
      <c r="R507" s="173" t="s">
        <v>208</v>
      </c>
      <c r="S507" s="173" t="str">
        <f>MID(PAA[[#This Row],[Meta Proyecto de Inversión]],1,4)</f>
        <v>8126</v>
      </c>
      <c r="T507" s="173" t="str">
        <f>MID(PAA[[#This Row],[Meta Proyecto de Inversión]],6,1)</f>
        <v>9</v>
      </c>
      <c r="U507" s="174" t="str">
        <f>IFERROR(VLOOKUP(N507,TD!$B$50:$F$54,2,0)," ")</f>
        <v>O230117</v>
      </c>
      <c r="V507" s="174" t="str">
        <f>IFERROR(VLOOKUP(N507,TD!$B$50:$F$54,3,0)," ")</f>
        <v>4599</v>
      </c>
      <c r="W507" s="174">
        <f>IFERROR(VLOOKUP(N507,TD!$B$50:$F$54,4,0)," ")</f>
        <v>20240207</v>
      </c>
      <c r="X507" s="173" t="s">
        <v>174</v>
      </c>
      <c r="Y507" s="163" t="str">
        <f>IFERROR(VLOOKUP(X507,TD!$J$51:$K$64,2,0)," ")</f>
        <v>Infraestructura física, mantenimiento y dotación (Sedes construidas, mantenidas reforzadas)</v>
      </c>
      <c r="Z507" s="175" t="str">
        <f t="shared" si="28"/>
        <v>08-Infraestructura física, mantenimiento y dotación (Sedes construidas, mantenidas reforzadas)</v>
      </c>
      <c r="AA507" s="173" t="s">
        <v>227</v>
      </c>
      <c r="AB507" s="163" t="str">
        <f>IFERROR(VLOOKUP(AA507,TD!$N$51:$O$66,2,0)," ")</f>
        <v>Sedes mantenidas</v>
      </c>
      <c r="AC507" s="175" t="str">
        <f t="shared" si="29"/>
        <v>016_Sedes mantenidas</v>
      </c>
      <c r="AD507" s="175" t="str">
        <f t="shared" si="30"/>
        <v>08-Infraestructura física, mantenimiento y dotación (Sedes construidas, mantenidas reforzadas) 016_Sedes mantenidas</v>
      </c>
      <c r="AE507" s="174" t="str">
        <f t="shared" si="31"/>
        <v>O23011745992024020708016</v>
      </c>
      <c r="AF507" s="163" t="str">
        <f>IFERROR(VLOOKUP(AD507,TD!$J$66:$K$89,2,0)," ")</f>
        <v>PM/0131/0108/45990160207</v>
      </c>
      <c r="AG507" s="135" t="s">
        <v>385</v>
      </c>
      <c r="AH507" s="162" t="s">
        <v>193</v>
      </c>
      <c r="AI507" s="165" t="str">
        <f>CONCATENATE(PAA[[#This Row],[Id Interno]],"-",PAA[[#This Row],[tipo de Contrato (TH talento humano - B/S bienes y/o servicios)]],"-",S507,"-",T507,"-",PAA[[#This Row],[Objeto de la contratación]])</f>
        <v>20260488-TH-8126-9-Prestación de servicios de apoyo en las actividades asociadas a los procesos administrativo de la Subdirección de Gestión Corporativa- SGC</v>
      </c>
    </row>
    <row r="508" spans="2:35" ht="56" x14ac:dyDescent="0.35">
      <c r="B508" s="23">
        <v>20260489</v>
      </c>
      <c r="C508" s="99" t="s">
        <v>718</v>
      </c>
      <c r="D508" s="23" t="s">
        <v>105</v>
      </c>
      <c r="E508" s="23" t="s">
        <v>363</v>
      </c>
      <c r="F508" s="159" t="s">
        <v>144</v>
      </c>
      <c r="G508" s="160" t="s">
        <v>373</v>
      </c>
      <c r="H508" s="161">
        <v>11</v>
      </c>
      <c r="I508" s="161">
        <v>0</v>
      </c>
      <c r="J508" s="127">
        <v>77000000</v>
      </c>
      <c r="K508" s="88" t="s">
        <v>398</v>
      </c>
      <c r="L508" s="159" t="s">
        <v>155</v>
      </c>
      <c r="M508" s="162" t="s">
        <v>422</v>
      </c>
      <c r="N508" s="23" t="s">
        <v>197</v>
      </c>
      <c r="O508" s="150" t="s">
        <v>925</v>
      </c>
      <c r="P508" s="159" t="s">
        <v>348</v>
      </c>
      <c r="Q508" s="53" t="s">
        <v>753</v>
      </c>
      <c r="R508" s="162" t="s">
        <v>208</v>
      </c>
      <c r="S508" s="162" t="str">
        <f>MID(PAA[[#This Row],[Meta Proyecto de Inversión]],1,4)</f>
        <v>8126</v>
      </c>
      <c r="T508" s="162" t="str">
        <f>MID(PAA[[#This Row],[Meta Proyecto de Inversión]],6,1)</f>
        <v>9</v>
      </c>
      <c r="U508" s="163" t="str">
        <f>IFERROR(VLOOKUP(N508,TD!$B$50:$F$54,2,0)," ")</f>
        <v>O230117</v>
      </c>
      <c r="V508" s="163" t="str">
        <f>IFERROR(VLOOKUP(N508,TD!$B$50:$F$54,3,0)," ")</f>
        <v>4599</v>
      </c>
      <c r="W508" s="163">
        <f>IFERROR(VLOOKUP(N508,TD!$B$50:$F$54,4,0)," ")</f>
        <v>20240207</v>
      </c>
      <c r="X508" s="162" t="s">
        <v>174</v>
      </c>
      <c r="Y508" s="163" t="str">
        <f>IFERROR(VLOOKUP(X508,TD!$J$51:$K$64,2,0)," ")</f>
        <v>Infraestructura física, mantenimiento y dotación (Sedes construidas, mantenidas reforzadas)</v>
      </c>
      <c r="Z508" s="164" t="str">
        <f t="shared" si="28"/>
        <v>08-Infraestructura física, mantenimiento y dotación (Sedes construidas, mantenidas reforzadas)</v>
      </c>
      <c r="AA508" s="162" t="s">
        <v>227</v>
      </c>
      <c r="AB508" s="163" t="str">
        <f>IFERROR(VLOOKUP(AA508,TD!$N$51:$O$66,2,0)," ")</f>
        <v>Sedes mantenidas</v>
      </c>
      <c r="AC508" s="164" t="str">
        <f t="shared" si="29"/>
        <v>016_Sedes mantenidas</v>
      </c>
      <c r="AD508" s="164" t="str">
        <f t="shared" si="30"/>
        <v>08-Infraestructura física, mantenimiento y dotación (Sedes construidas, mantenidas reforzadas) 016_Sedes mantenidas</v>
      </c>
      <c r="AE508" s="163" t="str">
        <f t="shared" si="31"/>
        <v>O23011745992024020708016</v>
      </c>
      <c r="AF508" s="163" t="str">
        <f>IFERROR(VLOOKUP(AD508,TD!$J$66:$K$89,2,0)," ")</f>
        <v>PM/0131/0108/45990160207</v>
      </c>
      <c r="AG508" s="118" t="s">
        <v>385</v>
      </c>
      <c r="AH508" s="171" t="s">
        <v>193</v>
      </c>
      <c r="AI508" s="165" t="str">
        <f>CONCATENATE(PAA[[#This Row],[Id Interno]],"-",PAA[[#This Row],[tipo de Contrato (TH talento humano - B/S bienes y/o servicios)]],"-",S508,"-",T508,"-",PAA[[#This Row],[Objeto de la contratación]])</f>
        <v>20260489-TH-8126-9-Prestar los servicios profesionales para el acompañamiento y seguimiento de los planes y proyectos del grupo del almacén de la Subdireccion de Gestión Corporativa-SGC</v>
      </c>
    </row>
    <row r="509" spans="2:35" ht="84" x14ac:dyDescent="0.35">
      <c r="B509" s="23">
        <v>20260490</v>
      </c>
      <c r="C509" s="99" t="s">
        <v>711</v>
      </c>
      <c r="D509" s="23" t="s">
        <v>105</v>
      </c>
      <c r="E509" s="23" t="s">
        <v>363</v>
      </c>
      <c r="F509" s="159" t="s">
        <v>144</v>
      </c>
      <c r="G509" s="160" t="s">
        <v>373</v>
      </c>
      <c r="H509" s="161">
        <v>11</v>
      </c>
      <c r="I509" s="161">
        <v>0</v>
      </c>
      <c r="J509" s="127">
        <v>56772000</v>
      </c>
      <c r="K509" s="88" t="s">
        <v>398</v>
      </c>
      <c r="L509" s="159" t="s">
        <v>155</v>
      </c>
      <c r="M509" s="162" t="s">
        <v>422</v>
      </c>
      <c r="N509" s="23" t="s">
        <v>197</v>
      </c>
      <c r="O509" s="150" t="s">
        <v>925</v>
      </c>
      <c r="P509" s="159" t="s">
        <v>348</v>
      </c>
      <c r="Q509" s="53" t="s">
        <v>753</v>
      </c>
      <c r="R509" s="162" t="s">
        <v>207</v>
      </c>
      <c r="S509" s="162" t="str">
        <f>MID(PAA[[#This Row],[Meta Proyecto de Inversión]],1,4)</f>
        <v>8126</v>
      </c>
      <c r="T509" s="162" t="str">
        <f>MID(PAA[[#This Row],[Meta Proyecto de Inversión]],6,1)</f>
        <v>8</v>
      </c>
      <c r="U509" s="163" t="str">
        <f>IFERROR(VLOOKUP(N509,TD!$B$50:$F$54,2,0)," ")</f>
        <v>O230117</v>
      </c>
      <c r="V509" s="163" t="str">
        <f>IFERROR(VLOOKUP(N509,TD!$B$50:$F$54,3,0)," ")</f>
        <v>4599</v>
      </c>
      <c r="W509" s="163">
        <f>IFERROR(VLOOKUP(N509,TD!$B$50:$F$54,4,0)," ")</f>
        <v>20240207</v>
      </c>
      <c r="X509" s="162" t="s">
        <v>174</v>
      </c>
      <c r="Y509" s="163" t="str">
        <f>IFERROR(VLOOKUP(X509,TD!$J$51:$K$64,2,0)," ")</f>
        <v>Infraestructura física, mantenimiento y dotación (Sedes construidas, mantenidas reforzadas)</v>
      </c>
      <c r="Z509" s="164" t="str">
        <f t="shared" si="28"/>
        <v>08-Infraestructura física, mantenimiento y dotación (Sedes construidas, mantenidas reforzadas)</v>
      </c>
      <c r="AA509" s="162" t="s">
        <v>227</v>
      </c>
      <c r="AB509" s="163" t="str">
        <f>IFERROR(VLOOKUP(AA509,TD!$N$51:$O$66,2,0)," ")</f>
        <v>Sedes mantenidas</v>
      </c>
      <c r="AC509" s="164" t="str">
        <f t="shared" si="29"/>
        <v>016_Sedes mantenidas</v>
      </c>
      <c r="AD509" s="164" t="str">
        <f t="shared" si="30"/>
        <v>08-Infraestructura física, mantenimiento y dotación (Sedes construidas, mantenidas reforzadas) 016_Sedes mantenidas</v>
      </c>
      <c r="AE509" s="163" t="str">
        <f t="shared" si="31"/>
        <v>O23011745992024020708016</v>
      </c>
      <c r="AF509" s="163" t="str">
        <f>IFERROR(VLOOKUP(AD509,TD!$J$66:$K$89,2,0)," ")</f>
        <v>PM/0131/0108/45990160207</v>
      </c>
      <c r="AG509" s="118" t="s">
        <v>385</v>
      </c>
      <c r="AH509" s="171" t="s">
        <v>193</v>
      </c>
      <c r="AI509" s="165" t="str">
        <f>CONCATENATE(PAA[[#This Row],[Id Interno]],"-",PAA[[#This Row],[tipo de Contrato (TH talento humano - B/S bienes y/o servicios)]],"-",S509,"-",T509,"-",PAA[[#This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10" spans="2:35" ht="56" x14ac:dyDescent="0.35">
      <c r="B510" s="23">
        <v>20260491</v>
      </c>
      <c r="C510" s="99" t="s">
        <v>719</v>
      </c>
      <c r="D510" s="23" t="s">
        <v>105</v>
      </c>
      <c r="E510" s="23" t="s">
        <v>363</v>
      </c>
      <c r="F510" s="159" t="s">
        <v>144</v>
      </c>
      <c r="G510" s="160" t="s">
        <v>373</v>
      </c>
      <c r="H510" s="161">
        <v>6</v>
      </c>
      <c r="I510" s="161">
        <v>0</v>
      </c>
      <c r="J510" s="127">
        <v>42000000</v>
      </c>
      <c r="K510" s="88" t="s">
        <v>398</v>
      </c>
      <c r="L510" s="159" t="s">
        <v>155</v>
      </c>
      <c r="M510" s="162" t="s">
        <v>422</v>
      </c>
      <c r="N510" s="23" t="s">
        <v>197</v>
      </c>
      <c r="O510" s="150" t="s">
        <v>925</v>
      </c>
      <c r="P510" s="159" t="s">
        <v>348</v>
      </c>
      <c r="Q510" s="53" t="s">
        <v>753</v>
      </c>
      <c r="R510" s="162" t="s">
        <v>208</v>
      </c>
      <c r="S510" s="162" t="str">
        <f>MID(PAA[[#This Row],[Meta Proyecto de Inversión]],1,4)</f>
        <v>8126</v>
      </c>
      <c r="T510" s="162" t="str">
        <f>MID(PAA[[#This Row],[Meta Proyecto de Inversión]],6,1)</f>
        <v>9</v>
      </c>
      <c r="U510" s="163" t="str">
        <f>IFERROR(VLOOKUP(N510,TD!$B$50:$F$54,2,0)," ")</f>
        <v>O230117</v>
      </c>
      <c r="V510" s="163" t="str">
        <f>IFERROR(VLOOKUP(N510,TD!$B$50:$F$54,3,0)," ")</f>
        <v>4599</v>
      </c>
      <c r="W510" s="163">
        <f>IFERROR(VLOOKUP(N510,TD!$B$50:$F$54,4,0)," ")</f>
        <v>20240207</v>
      </c>
      <c r="X510" s="162" t="s">
        <v>174</v>
      </c>
      <c r="Y510" s="163" t="str">
        <f>IFERROR(VLOOKUP(X510,TD!$J$51:$K$64,2,0)," ")</f>
        <v>Infraestructura física, mantenimiento y dotación (Sedes construidas, mantenidas reforzadas)</v>
      </c>
      <c r="Z510" s="164" t="str">
        <f t="shared" si="28"/>
        <v>08-Infraestructura física, mantenimiento y dotación (Sedes construidas, mantenidas reforzadas)</v>
      </c>
      <c r="AA510" s="162" t="s">
        <v>227</v>
      </c>
      <c r="AB510" s="163" t="str">
        <f>IFERROR(VLOOKUP(AA510,TD!$N$51:$O$66,2,0)," ")</f>
        <v>Sedes mantenidas</v>
      </c>
      <c r="AC510" s="164" t="str">
        <f t="shared" si="29"/>
        <v>016_Sedes mantenidas</v>
      </c>
      <c r="AD510" s="164" t="str">
        <f t="shared" si="30"/>
        <v>08-Infraestructura física, mantenimiento y dotación (Sedes construidas, mantenidas reforzadas) 016_Sedes mantenidas</v>
      </c>
      <c r="AE510" s="163" t="str">
        <f t="shared" si="31"/>
        <v>O23011745992024020708016</v>
      </c>
      <c r="AF510" s="163" t="str">
        <f>IFERROR(VLOOKUP(AD510,TD!$J$66:$K$89,2,0)," ")</f>
        <v>PM/0131/0108/45990160207</v>
      </c>
      <c r="AG510" s="118" t="s">
        <v>385</v>
      </c>
      <c r="AH510" s="171" t="s">
        <v>193</v>
      </c>
      <c r="AI510" s="165" t="str">
        <f>CONCATENATE(PAA[[#This Row],[Id Interno]],"-",PAA[[#This Row],[tipo de Contrato (TH talento humano - B/S bienes y/o servicios)]],"-",S510,"-",T510,"-",PAA[[#This Row],[Objeto de la contratación]])</f>
        <v>20260491-TH-8126-9-Prestación de servicios profesionales en el acompañamiento y asistencia al proceso de gestión documental de la UAE Cuerpo oficial de Bomberos. -SGC</v>
      </c>
    </row>
    <row r="511" spans="2:35" ht="56" x14ac:dyDescent="0.35">
      <c r="B511" s="23">
        <v>20260492</v>
      </c>
      <c r="C511" s="99" t="s">
        <v>720</v>
      </c>
      <c r="D511" s="23" t="s">
        <v>105</v>
      </c>
      <c r="E511" s="23" t="s">
        <v>363</v>
      </c>
      <c r="F511" s="159" t="s">
        <v>144</v>
      </c>
      <c r="G511" s="160" t="s">
        <v>373</v>
      </c>
      <c r="H511" s="161">
        <v>11</v>
      </c>
      <c r="I511" s="161">
        <v>0</v>
      </c>
      <c r="J511" s="127">
        <v>77000000</v>
      </c>
      <c r="K511" s="88" t="s">
        <v>398</v>
      </c>
      <c r="L511" s="159" t="s">
        <v>155</v>
      </c>
      <c r="M511" s="162" t="s">
        <v>422</v>
      </c>
      <c r="N511" s="23" t="s">
        <v>197</v>
      </c>
      <c r="O511" s="150" t="s">
        <v>925</v>
      </c>
      <c r="P511" s="159" t="s">
        <v>348</v>
      </c>
      <c r="Q511" s="53" t="s">
        <v>753</v>
      </c>
      <c r="R511" s="162" t="s">
        <v>207</v>
      </c>
      <c r="S511" s="162" t="str">
        <f>MID(PAA[[#This Row],[Meta Proyecto de Inversión]],1,4)</f>
        <v>8126</v>
      </c>
      <c r="T511" s="162" t="str">
        <f>MID(PAA[[#This Row],[Meta Proyecto de Inversión]],6,1)</f>
        <v>8</v>
      </c>
      <c r="U511" s="163" t="str">
        <f>IFERROR(VLOOKUP(N511,TD!$B$50:$F$54,2,0)," ")</f>
        <v>O230117</v>
      </c>
      <c r="V511" s="163" t="str">
        <f>IFERROR(VLOOKUP(N511,TD!$B$50:$F$54,3,0)," ")</f>
        <v>4599</v>
      </c>
      <c r="W511" s="163">
        <f>IFERROR(VLOOKUP(N511,TD!$B$50:$F$54,4,0)," ")</f>
        <v>20240207</v>
      </c>
      <c r="X511" s="162" t="s">
        <v>174</v>
      </c>
      <c r="Y511" s="163" t="str">
        <f>IFERROR(VLOOKUP(X511,TD!$J$51:$K$64,2,0)," ")</f>
        <v>Infraestructura física, mantenimiento y dotación (Sedes construidas, mantenidas reforzadas)</v>
      </c>
      <c r="Z511" s="164" t="str">
        <f t="shared" si="28"/>
        <v>08-Infraestructura física, mantenimiento y dotación (Sedes construidas, mantenidas reforzadas)</v>
      </c>
      <c r="AA511" s="162" t="s">
        <v>227</v>
      </c>
      <c r="AB511" s="163" t="str">
        <f>IFERROR(VLOOKUP(AA511,TD!$N$51:$O$66,2,0)," ")</f>
        <v>Sedes mantenidas</v>
      </c>
      <c r="AC511" s="164" t="str">
        <f t="shared" si="29"/>
        <v>016_Sedes mantenidas</v>
      </c>
      <c r="AD511" s="164" t="str">
        <f t="shared" si="30"/>
        <v>08-Infraestructura física, mantenimiento y dotación (Sedes construidas, mantenidas reforzadas) 016_Sedes mantenidas</v>
      </c>
      <c r="AE511" s="163" t="str">
        <f t="shared" si="31"/>
        <v>O23011745992024020708016</v>
      </c>
      <c r="AF511" s="163" t="str">
        <f>IFERROR(VLOOKUP(AD511,TD!$J$66:$K$89,2,0)," ")</f>
        <v>PM/0131/0108/45990160207</v>
      </c>
      <c r="AG511" s="118" t="s">
        <v>385</v>
      </c>
      <c r="AH511" s="171" t="s">
        <v>193</v>
      </c>
      <c r="AI511" s="165" t="str">
        <f>CONCATENATE(PAA[[#This Row],[Id Interno]],"-",PAA[[#This Row],[tipo de Contrato (TH talento humano - B/S bienes y/o servicios)]],"-",S511,"-",T511,"-",PAA[[#This Row],[Objeto de la contratación]])</f>
        <v>20260492-TH-8126-8-Prestación de servicios profesionales especializados para desarrollar las actividades técnicas y administrativas del Área de Infraestructura de la Subdirección de Gestión Corporativa-SGC.</v>
      </c>
    </row>
    <row r="512" spans="2:35" ht="56" x14ac:dyDescent="0.35">
      <c r="B512" s="23">
        <v>20260493</v>
      </c>
      <c r="C512" s="99" t="s">
        <v>721</v>
      </c>
      <c r="D512" s="23" t="s">
        <v>105</v>
      </c>
      <c r="E512" s="23" t="s">
        <v>363</v>
      </c>
      <c r="F512" s="159" t="s">
        <v>144</v>
      </c>
      <c r="G512" s="160" t="s">
        <v>373</v>
      </c>
      <c r="H512" s="161">
        <v>11</v>
      </c>
      <c r="I512" s="161">
        <v>0</v>
      </c>
      <c r="J512" s="127">
        <v>77000000</v>
      </c>
      <c r="K512" s="88" t="s">
        <v>398</v>
      </c>
      <c r="L512" s="159" t="s">
        <v>155</v>
      </c>
      <c r="M512" s="162" t="s">
        <v>422</v>
      </c>
      <c r="N512" s="23" t="s">
        <v>197</v>
      </c>
      <c r="O512" s="150" t="s">
        <v>925</v>
      </c>
      <c r="P512" s="159" t="s">
        <v>348</v>
      </c>
      <c r="Q512" s="53" t="s">
        <v>753</v>
      </c>
      <c r="R512" s="162" t="s">
        <v>207</v>
      </c>
      <c r="S512" s="162" t="str">
        <f>MID(PAA[[#This Row],[Meta Proyecto de Inversión]],1,4)</f>
        <v>8126</v>
      </c>
      <c r="T512" s="162" t="str">
        <f>MID(PAA[[#This Row],[Meta Proyecto de Inversión]],6,1)</f>
        <v>8</v>
      </c>
      <c r="U512" s="163" t="str">
        <f>IFERROR(VLOOKUP(N512,TD!$B$50:$F$54,2,0)," ")</f>
        <v>O230117</v>
      </c>
      <c r="V512" s="163" t="str">
        <f>IFERROR(VLOOKUP(N512,TD!$B$50:$F$54,3,0)," ")</f>
        <v>4599</v>
      </c>
      <c r="W512" s="163">
        <f>IFERROR(VLOOKUP(N512,TD!$B$50:$F$54,4,0)," ")</f>
        <v>20240207</v>
      </c>
      <c r="X512" s="162" t="s">
        <v>174</v>
      </c>
      <c r="Y512" s="163" t="str">
        <f>IFERROR(VLOOKUP(X512,TD!$J$51:$K$64,2,0)," ")</f>
        <v>Infraestructura física, mantenimiento y dotación (Sedes construidas, mantenidas reforzadas)</v>
      </c>
      <c r="Z512" s="164" t="str">
        <f t="shared" si="28"/>
        <v>08-Infraestructura física, mantenimiento y dotación (Sedes construidas, mantenidas reforzadas)</v>
      </c>
      <c r="AA512" s="162" t="s">
        <v>227</v>
      </c>
      <c r="AB512" s="163" t="str">
        <f>IFERROR(VLOOKUP(AA512,TD!$N$51:$O$66,2,0)," ")</f>
        <v>Sedes mantenidas</v>
      </c>
      <c r="AC512" s="164" t="str">
        <f t="shared" si="29"/>
        <v>016_Sedes mantenidas</v>
      </c>
      <c r="AD512" s="164" t="str">
        <f t="shared" si="30"/>
        <v>08-Infraestructura física, mantenimiento y dotación (Sedes construidas, mantenidas reforzadas) 016_Sedes mantenidas</v>
      </c>
      <c r="AE512" s="163" t="str">
        <f t="shared" si="31"/>
        <v>O23011745992024020708016</v>
      </c>
      <c r="AF512" s="163" t="str">
        <f>IFERROR(VLOOKUP(AD512,TD!$J$66:$K$89,2,0)," ")</f>
        <v>PM/0131/0108/45990160207</v>
      </c>
      <c r="AG512" s="118" t="s">
        <v>385</v>
      </c>
      <c r="AH512" s="162" t="s">
        <v>193</v>
      </c>
      <c r="AI512" s="165" t="str">
        <f>CONCATENATE(PAA[[#This Row],[Id Interno]],"-",PAA[[#This Row],[tipo de Contrato (TH talento humano - B/S bienes y/o servicios)]],"-",S512,"-",T512,"-",PAA[[#This Row],[Objeto de la contratación]])</f>
        <v>20260493-TH-8126-8-Prestación de servicios profesionales especializados para desarrollar las actividades técnicas y administrativas del Área de Infraestructura de la Subdirección de Gestión Corporativa-SGC</v>
      </c>
    </row>
    <row r="513" spans="2:35" ht="56" x14ac:dyDescent="0.35">
      <c r="B513" s="23">
        <v>20260494</v>
      </c>
      <c r="C513" s="99" t="s">
        <v>722</v>
      </c>
      <c r="D513" s="23" t="s">
        <v>105</v>
      </c>
      <c r="E513" s="23" t="s">
        <v>363</v>
      </c>
      <c r="F513" s="159" t="s">
        <v>144</v>
      </c>
      <c r="G513" s="160" t="s">
        <v>373</v>
      </c>
      <c r="H513" s="161">
        <v>6</v>
      </c>
      <c r="I513" s="161">
        <v>0</v>
      </c>
      <c r="J513" s="127">
        <v>42000000</v>
      </c>
      <c r="K513" s="88" t="s">
        <v>398</v>
      </c>
      <c r="L513" s="159" t="s">
        <v>155</v>
      </c>
      <c r="M513" s="162" t="s">
        <v>422</v>
      </c>
      <c r="N513" s="23" t="s">
        <v>197</v>
      </c>
      <c r="O513" s="150" t="s">
        <v>925</v>
      </c>
      <c r="P513" s="170" t="s">
        <v>348</v>
      </c>
      <c r="Q513" s="53" t="s">
        <v>753</v>
      </c>
      <c r="R513" s="162" t="s">
        <v>207</v>
      </c>
      <c r="S513" s="162" t="str">
        <f>MID(PAA[[#This Row],[Meta Proyecto de Inversión]],1,4)</f>
        <v>8126</v>
      </c>
      <c r="T513" s="162" t="str">
        <f>MID(PAA[[#This Row],[Meta Proyecto de Inversión]],6,1)</f>
        <v>8</v>
      </c>
      <c r="U513" s="163" t="str">
        <f>IFERROR(VLOOKUP(N513,TD!$B$50:$F$54,2,0)," ")</f>
        <v>O230117</v>
      </c>
      <c r="V513" s="163" t="str">
        <f>IFERROR(VLOOKUP(N513,TD!$B$50:$F$54,3,0)," ")</f>
        <v>4599</v>
      </c>
      <c r="W513" s="163">
        <f>IFERROR(VLOOKUP(N513,TD!$B$50:$F$54,4,0)," ")</f>
        <v>20240207</v>
      </c>
      <c r="X513" s="162" t="s">
        <v>174</v>
      </c>
      <c r="Y513" s="163" t="str">
        <f>IFERROR(VLOOKUP(X513,TD!$J$51:$K$64,2,0)," ")</f>
        <v>Infraestructura física, mantenimiento y dotación (Sedes construidas, mantenidas reforzadas)</v>
      </c>
      <c r="Z513" s="164" t="str">
        <f t="shared" si="28"/>
        <v>08-Infraestructura física, mantenimiento y dotación (Sedes construidas, mantenidas reforzadas)</v>
      </c>
      <c r="AA513" s="162" t="s">
        <v>227</v>
      </c>
      <c r="AB513" s="163" t="str">
        <f>IFERROR(VLOOKUP(AA513,TD!$N$51:$O$66,2,0)," ")</f>
        <v>Sedes mantenidas</v>
      </c>
      <c r="AC513" s="164" t="str">
        <f t="shared" si="29"/>
        <v>016_Sedes mantenidas</v>
      </c>
      <c r="AD513" s="164" t="str">
        <f t="shared" si="30"/>
        <v>08-Infraestructura física, mantenimiento y dotación (Sedes construidas, mantenidas reforzadas) 016_Sedes mantenidas</v>
      </c>
      <c r="AE513" s="163" t="str">
        <f t="shared" si="31"/>
        <v>O23011745992024020708016</v>
      </c>
      <c r="AF513" s="163" t="str">
        <f>IFERROR(VLOOKUP(AD513,TD!$J$66:$K$89,2,0)," ")</f>
        <v>PM/0131/0108/45990160207</v>
      </c>
      <c r="AG513" s="118" t="s">
        <v>385</v>
      </c>
      <c r="AH513" s="171" t="s">
        <v>193</v>
      </c>
      <c r="AI513" s="165" t="str">
        <f>CONCATENATE(PAA[[#This Row],[Id Interno]],"-",PAA[[#This Row],[tipo de Contrato (TH talento humano - B/S bienes y/o servicios)]],"-",S513,"-",T513,"-",PAA[[#This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14" spans="2:35" ht="56" x14ac:dyDescent="0.35">
      <c r="B514" s="99">
        <v>20260495</v>
      </c>
      <c r="C514" s="99" t="s">
        <v>723</v>
      </c>
      <c r="D514" s="99" t="s">
        <v>114</v>
      </c>
      <c r="E514" s="99" t="s">
        <v>402</v>
      </c>
      <c r="F514" s="160" t="s">
        <v>89</v>
      </c>
      <c r="G514" s="160" t="s">
        <v>374</v>
      </c>
      <c r="H514" s="166">
        <v>10</v>
      </c>
      <c r="I514" s="166">
        <v>0</v>
      </c>
      <c r="J514" s="118">
        <v>335521880</v>
      </c>
      <c r="K514" s="126" t="s">
        <v>398</v>
      </c>
      <c r="L514" s="160" t="s">
        <v>155</v>
      </c>
      <c r="M514" s="167" t="s">
        <v>422</v>
      </c>
      <c r="N514" s="99" t="s">
        <v>197</v>
      </c>
      <c r="O514" s="150" t="s">
        <v>925</v>
      </c>
      <c r="P514" s="160" t="s">
        <v>348</v>
      </c>
      <c r="Q514" s="128" t="s">
        <v>754</v>
      </c>
      <c r="R514" s="167" t="s">
        <v>207</v>
      </c>
      <c r="S514" s="162" t="str">
        <f>MID(PAA[[#This Row],[Meta Proyecto de Inversión]],1,4)</f>
        <v>8126</v>
      </c>
      <c r="T514" s="162" t="str">
        <f>MID(PAA[[#This Row],[Meta Proyecto de Inversión]],6,1)</f>
        <v>8</v>
      </c>
      <c r="U514" s="168" t="str">
        <f>IFERROR(VLOOKUP(N514,TD!$B$50:$F$54,2,0)," ")</f>
        <v>O230117</v>
      </c>
      <c r="V514" s="168" t="str">
        <f>IFERROR(VLOOKUP(N514,TD!$B$50:$F$54,3,0)," ")</f>
        <v>4599</v>
      </c>
      <c r="W514" s="168">
        <f>IFERROR(VLOOKUP(N514,TD!$B$50:$F$54,4,0)," ")</f>
        <v>20240207</v>
      </c>
      <c r="X514" s="167" t="s">
        <v>174</v>
      </c>
      <c r="Y514" s="168" t="str">
        <f>IFERROR(VLOOKUP(X514,TD!$J$51:$K$64,2,0)," ")</f>
        <v>Infraestructura física, mantenimiento y dotación (Sedes construidas, mantenidas reforzadas)</v>
      </c>
      <c r="Z514" s="164" t="str">
        <f t="shared" si="28"/>
        <v>08-Infraestructura física, mantenimiento y dotación (Sedes construidas, mantenidas reforzadas)</v>
      </c>
      <c r="AA514" s="167" t="s">
        <v>227</v>
      </c>
      <c r="AB514" s="168" t="str">
        <f>IFERROR(VLOOKUP(AA514,TD!$N$51:$O$66,2,0)," ")</f>
        <v>Sedes mantenidas</v>
      </c>
      <c r="AC514" s="164" t="str">
        <f t="shared" si="29"/>
        <v>016_Sedes mantenidas</v>
      </c>
      <c r="AD514" s="164" t="str">
        <f t="shared" si="30"/>
        <v>08-Infraestructura física, mantenimiento y dotación (Sedes construidas, mantenidas reforzadas) 016_Sedes mantenidas</v>
      </c>
      <c r="AE514" s="168" t="str">
        <f t="shared" si="31"/>
        <v>O23011745992024020708016</v>
      </c>
      <c r="AF514" s="168" t="str">
        <f>IFERROR(VLOOKUP(AD514,TD!$J$66:$K$89,2,0)," ")</f>
        <v>PM/0131/0108/45990160207</v>
      </c>
      <c r="AG514" s="118" t="s">
        <v>134</v>
      </c>
      <c r="AH514" s="181" t="s">
        <v>193</v>
      </c>
      <c r="AI514" s="169" t="str">
        <f>CONCATENATE(PAA[[#This Row],[Id Interno]],"-",PAA[[#This Row],[tipo de Contrato (TH talento humano - B/S bienes y/o servicios)]],"-",S514,"-",T514,"-",PAA[[#This Row],[Objeto de la contratación]])</f>
        <v>20260495-BS-8126-8-Contratar la prestación del servicio de aseo y cafetería incluido insumos para la Unidad Administrativa Especial Cuerpo Oficial de Bomberos Bogotá -SGC</v>
      </c>
    </row>
    <row r="515" spans="2:35" ht="56" x14ac:dyDescent="0.35">
      <c r="B515" s="99">
        <v>20260496</v>
      </c>
      <c r="C515" s="99" t="s">
        <v>971</v>
      </c>
      <c r="D515" s="99" t="s">
        <v>92</v>
      </c>
      <c r="E515" s="99" t="s">
        <v>402</v>
      </c>
      <c r="F515" s="160" t="s">
        <v>111</v>
      </c>
      <c r="G515" s="160" t="s">
        <v>377</v>
      </c>
      <c r="H515" s="166">
        <v>8</v>
      </c>
      <c r="I515" s="166">
        <v>0</v>
      </c>
      <c r="J515" s="118">
        <v>16000000</v>
      </c>
      <c r="K515" s="126" t="s">
        <v>398</v>
      </c>
      <c r="L515" s="160" t="s">
        <v>155</v>
      </c>
      <c r="M515" s="167" t="s">
        <v>422</v>
      </c>
      <c r="N515" s="99" t="s">
        <v>197</v>
      </c>
      <c r="O515" s="150" t="s">
        <v>925</v>
      </c>
      <c r="P515" s="160" t="s">
        <v>348</v>
      </c>
      <c r="Q515" s="128" t="s">
        <v>755</v>
      </c>
      <c r="R515" s="167" t="s">
        <v>207</v>
      </c>
      <c r="S515" s="162" t="str">
        <f>MID(PAA[[#This Row],[Meta Proyecto de Inversión]],1,4)</f>
        <v>8126</v>
      </c>
      <c r="T515" s="162" t="str">
        <f>MID(PAA[[#This Row],[Meta Proyecto de Inversión]],6,1)</f>
        <v>8</v>
      </c>
      <c r="U515" s="168" t="str">
        <f>IFERROR(VLOOKUP(N515,TD!$B$50:$F$54,2,0)," ")</f>
        <v>O230117</v>
      </c>
      <c r="V515" s="168" t="str">
        <f>IFERROR(VLOOKUP(N515,TD!$B$50:$F$54,3,0)," ")</f>
        <v>4599</v>
      </c>
      <c r="W515" s="168">
        <f>IFERROR(VLOOKUP(N515,TD!$B$50:$F$54,4,0)," ")</f>
        <v>20240207</v>
      </c>
      <c r="X515" s="167" t="s">
        <v>174</v>
      </c>
      <c r="Y515" s="168" t="str">
        <f>IFERROR(VLOOKUP(X515,TD!$J$51:$K$64,2,0)," ")</f>
        <v>Infraestructura física, mantenimiento y dotación (Sedes construidas, mantenidas reforzadas)</v>
      </c>
      <c r="Z515" s="164" t="str">
        <f t="shared" si="28"/>
        <v>08-Infraestructura física, mantenimiento y dotación (Sedes construidas, mantenidas reforzadas)</v>
      </c>
      <c r="AA515" s="167" t="s">
        <v>227</v>
      </c>
      <c r="AB515" s="168" t="str">
        <f>IFERROR(VLOOKUP(AA515,TD!$N$51:$O$66,2,0)," ")</f>
        <v>Sedes mantenidas</v>
      </c>
      <c r="AC515" s="164" t="str">
        <f t="shared" si="29"/>
        <v>016_Sedes mantenidas</v>
      </c>
      <c r="AD515" s="164" t="str">
        <f t="shared" si="30"/>
        <v>08-Infraestructura física, mantenimiento y dotación (Sedes construidas, mantenidas reforzadas) 016_Sedes mantenidas</v>
      </c>
      <c r="AE515" s="168" t="str">
        <f t="shared" si="31"/>
        <v>O23011745992024020708016</v>
      </c>
      <c r="AF515" s="168" t="str">
        <f>IFERROR(VLOOKUP(AD515,TD!$J$66:$K$89,2,0)," ")</f>
        <v>PM/0131/0108/45990160207</v>
      </c>
      <c r="AG515" s="118" t="s">
        <v>906</v>
      </c>
      <c r="AH515" s="181" t="s">
        <v>193</v>
      </c>
      <c r="AI515" s="169" t="str">
        <f>CONCATENATE(PAA[[#This Row],[Id Interno]],"-",PAA[[#This Row],[tipo de Contrato (TH talento humano - B/S bienes y/o servicios)]],"-",S515,"-",T515,"-",PAA[[#This Row],[Objeto de la contratación]])</f>
        <v>20260496-BS-8126-8-Prestar el servicio y mantenimiento de equipos de higienización, desodorización y aromatización para la Unidad Administrativa Especial Cuerpo Oficial de Bomberos Bogotá-SGC</v>
      </c>
    </row>
    <row r="516" spans="2:35" ht="70" x14ac:dyDescent="0.35">
      <c r="B516" s="99">
        <v>20260497</v>
      </c>
      <c r="C516" s="99" t="s">
        <v>928</v>
      </c>
      <c r="D516" s="99" t="s">
        <v>92</v>
      </c>
      <c r="E516" s="99" t="s">
        <v>402</v>
      </c>
      <c r="F516" s="160" t="s">
        <v>136</v>
      </c>
      <c r="G516" s="160" t="s">
        <v>377</v>
      </c>
      <c r="H516" s="166">
        <v>8</v>
      </c>
      <c r="I516" s="166">
        <v>0</v>
      </c>
      <c r="J516" s="118">
        <v>48000000</v>
      </c>
      <c r="K516" s="126" t="s">
        <v>398</v>
      </c>
      <c r="L516" s="160" t="s">
        <v>155</v>
      </c>
      <c r="M516" s="167" t="s">
        <v>422</v>
      </c>
      <c r="N516" s="99" t="s">
        <v>197</v>
      </c>
      <c r="O516" s="150" t="s">
        <v>925</v>
      </c>
      <c r="P516" s="160" t="s">
        <v>348</v>
      </c>
      <c r="Q516" s="128" t="s">
        <v>1027</v>
      </c>
      <c r="R516" s="167" t="s">
        <v>207</v>
      </c>
      <c r="S516" s="162" t="str">
        <f>MID(PAA[[#This Row],[Meta Proyecto de Inversión]],1,4)</f>
        <v>8126</v>
      </c>
      <c r="T516" s="162" t="str">
        <f>MID(PAA[[#This Row],[Meta Proyecto de Inversión]],6,1)</f>
        <v>8</v>
      </c>
      <c r="U516" s="168" t="str">
        <f>IFERROR(VLOOKUP(N516,TD!$B$50:$F$54,2,0)," ")</f>
        <v>O230117</v>
      </c>
      <c r="V516" s="168" t="str">
        <f>IFERROR(VLOOKUP(N516,TD!$B$50:$F$54,3,0)," ")</f>
        <v>4599</v>
      </c>
      <c r="W516" s="168">
        <f>IFERROR(VLOOKUP(N516,TD!$B$50:$F$54,4,0)," ")</f>
        <v>20240207</v>
      </c>
      <c r="X516" s="167" t="s">
        <v>174</v>
      </c>
      <c r="Y516" s="168" t="str">
        <f>IFERROR(VLOOKUP(X516,TD!$J$51:$K$64,2,0)," ")</f>
        <v>Infraestructura física, mantenimiento y dotación (Sedes construidas, mantenidas reforzadas)</v>
      </c>
      <c r="Z516" s="164" t="str">
        <f t="shared" si="28"/>
        <v>08-Infraestructura física, mantenimiento y dotación (Sedes construidas, mantenidas reforzadas)</v>
      </c>
      <c r="AA516" s="167" t="s">
        <v>227</v>
      </c>
      <c r="AB516" s="168" t="str">
        <f>IFERROR(VLOOKUP(AA516,TD!$N$51:$O$66,2,0)," ")</f>
        <v>Sedes mantenidas</v>
      </c>
      <c r="AC516" s="164" t="str">
        <f t="shared" si="29"/>
        <v>016_Sedes mantenidas</v>
      </c>
      <c r="AD516" s="164" t="str">
        <f t="shared" si="30"/>
        <v>08-Infraestructura física, mantenimiento y dotación (Sedes construidas, mantenidas reforzadas) 016_Sedes mantenidas</v>
      </c>
      <c r="AE516" s="168" t="str">
        <f t="shared" si="31"/>
        <v>O23011745992024020708016</v>
      </c>
      <c r="AF516" s="168" t="str">
        <f>IFERROR(VLOOKUP(AD516,TD!$J$66:$K$89,2,0)," ")</f>
        <v>PM/0131/0108/45990160207</v>
      </c>
      <c r="AG516" s="118" t="s">
        <v>80</v>
      </c>
      <c r="AH516" s="181" t="s">
        <v>193</v>
      </c>
      <c r="AI516" s="169" t="str">
        <f>CONCATENATE(PAA[[#This Row],[Id Interno]],"-",PAA[[#This Row],[tipo de Contrato (TH talento humano - B/S bienes y/o servicios)]],"-",S516,"-",T516,"-",PAA[[#This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17" spans="2:35" ht="56" x14ac:dyDescent="0.35">
      <c r="B517" s="99">
        <v>20260498</v>
      </c>
      <c r="C517" s="99" t="s">
        <v>929</v>
      </c>
      <c r="D517" s="99" t="s">
        <v>92</v>
      </c>
      <c r="E517" s="99" t="s">
        <v>402</v>
      </c>
      <c r="F517" s="160" t="s">
        <v>136</v>
      </c>
      <c r="G517" s="160" t="s">
        <v>377</v>
      </c>
      <c r="H517" s="166">
        <v>8</v>
      </c>
      <c r="I517" s="166">
        <v>0</v>
      </c>
      <c r="J517" s="118">
        <v>48000000</v>
      </c>
      <c r="K517" s="126" t="s">
        <v>398</v>
      </c>
      <c r="L517" s="160" t="s">
        <v>155</v>
      </c>
      <c r="M517" s="167" t="s">
        <v>422</v>
      </c>
      <c r="N517" s="99" t="s">
        <v>197</v>
      </c>
      <c r="O517" s="150" t="s">
        <v>925</v>
      </c>
      <c r="P517" s="160" t="s">
        <v>348</v>
      </c>
      <c r="Q517" s="128">
        <v>72151802</v>
      </c>
      <c r="R517" s="167" t="s">
        <v>207</v>
      </c>
      <c r="S517" s="162" t="str">
        <f>MID(PAA[[#This Row],[Meta Proyecto de Inversión]],1,4)</f>
        <v>8126</v>
      </c>
      <c r="T517" s="162" t="str">
        <f>MID(PAA[[#This Row],[Meta Proyecto de Inversión]],6,1)</f>
        <v>8</v>
      </c>
      <c r="U517" s="168" t="str">
        <f>IFERROR(VLOOKUP(N517,TD!$B$50:$F$54,2,0)," ")</f>
        <v>O230117</v>
      </c>
      <c r="V517" s="168" t="str">
        <f>IFERROR(VLOOKUP(N517,TD!$B$50:$F$54,3,0)," ")</f>
        <v>4599</v>
      </c>
      <c r="W517" s="168">
        <f>IFERROR(VLOOKUP(N517,TD!$B$50:$F$54,4,0)," ")</f>
        <v>20240207</v>
      </c>
      <c r="X517" s="167" t="s">
        <v>174</v>
      </c>
      <c r="Y517" s="168" t="str">
        <f>IFERROR(VLOOKUP(X517,TD!$J$51:$K$64,2,0)," ")</f>
        <v>Infraestructura física, mantenimiento y dotación (Sedes construidas, mantenidas reforzadas)</v>
      </c>
      <c r="Z517" s="164" t="str">
        <f t="shared" si="28"/>
        <v>08-Infraestructura física, mantenimiento y dotación (Sedes construidas, mantenidas reforzadas)</v>
      </c>
      <c r="AA517" s="167" t="s">
        <v>227</v>
      </c>
      <c r="AB517" s="168" t="str">
        <f>IFERROR(VLOOKUP(AA517,TD!$N$51:$O$66,2,0)," ")</f>
        <v>Sedes mantenidas</v>
      </c>
      <c r="AC517" s="164" t="str">
        <f t="shared" si="29"/>
        <v>016_Sedes mantenidas</v>
      </c>
      <c r="AD517" s="164" t="str">
        <f t="shared" si="30"/>
        <v>08-Infraestructura física, mantenimiento y dotación (Sedes construidas, mantenidas reforzadas) 016_Sedes mantenidas</v>
      </c>
      <c r="AE517" s="168" t="str">
        <f t="shared" si="31"/>
        <v>O23011745992024020708016</v>
      </c>
      <c r="AF517" s="168" t="str">
        <f>IFERROR(VLOOKUP(AD517,TD!$J$66:$K$89,2,0)," ")</f>
        <v>PM/0131/0108/45990160207</v>
      </c>
      <c r="AG517" s="118" t="s">
        <v>80</v>
      </c>
      <c r="AH517" s="181" t="s">
        <v>193</v>
      </c>
      <c r="AI517" s="169" t="str">
        <f>CONCATENATE(PAA[[#This Row],[Id Interno]],"-",PAA[[#This Row],[tipo de Contrato (TH talento humano - B/S bienes y/o servicios)]],"-",S517,"-",T517,"-",PAA[[#This Row],[Objeto de la contratación]])</f>
        <v>20260498-BS-8126-8-Mantenimiento preventivo y/o correctivo, y suministro de repuestos de los equipos de gimnasio de las diferentes instalaciones a cargo de la Unidad Administrativa Especial Cuerpo Oficial de Bomberos Bogotá -SGC</v>
      </c>
    </row>
    <row r="518" spans="2:35" ht="56" x14ac:dyDescent="0.35">
      <c r="B518" s="23">
        <v>20260500</v>
      </c>
      <c r="C518" s="99" t="s">
        <v>725</v>
      </c>
      <c r="D518" s="23" t="s">
        <v>92</v>
      </c>
      <c r="E518" s="23" t="s">
        <v>402</v>
      </c>
      <c r="F518" s="159" t="s">
        <v>136</v>
      </c>
      <c r="G518" s="160" t="s">
        <v>377</v>
      </c>
      <c r="H518" s="161">
        <v>11</v>
      </c>
      <c r="I518" s="161">
        <v>0</v>
      </c>
      <c r="J518" s="127">
        <v>20000000</v>
      </c>
      <c r="K518" s="88" t="s">
        <v>398</v>
      </c>
      <c r="L518" s="159" t="s">
        <v>155</v>
      </c>
      <c r="M518" s="162" t="s">
        <v>422</v>
      </c>
      <c r="N518" s="23" t="s">
        <v>197</v>
      </c>
      <c r="O518" s="150" t="s">
        <v>925</v>
      </c>
      <c r="P518" s="159" t="s">
        <v>348</v>
      </c>
      <c r="Q518" s="53" t="s">
        <v>757</v>
      </c>
      <c r="R518" s="162" t="s">
        <v>207</v>
      </c>
      <c r="S518" s="162" t="str">
        <f>MID(PAA[[#This Row],[Meta Proyecto de Inversión]],1,4)</f>
        <v>8126</v>
      </c>
      <c r="T518" s="162" t="str">
        <f>MID(PAA[[#This Row],[Meta Proyecto de Inversión]],6,1)</f>
        <v>8</v>
      </c>
      <c r="U518" s="163" t="str">
        <f>IFERROR(VLOOKUP(N518,TD!$B$50:$F$54,2,0)," ")</f>
        <v>O230117</v>
      </c>
      <c r="V518" s="163" t="str">
        <f>IFERROR(VLOOKUP(N518,TD!$B$50:$F$54,3,0)," ")</f>
        <v>4599</v>
      </c>
      <c r="W518" s="163">
        <f>IFERROR(VLOOKUP(N518,TD!$B$50:$F$54,4,0)," ")</f>
        <v>20240207</v>
      </c>
      <c r="X518" s="162" t="s">
        <v>174</v>
      </c>
      <c r="Y518" s="163" t="str">
        <f>IFERROR(VLOOKUP(X518,TD!$J$51:$K$64,2,0)," ")</f>
        <v>Infraestructura física, mantenimiento y dotación (Sedes construidas, mantenidas reforzadas)</v>
      </c>
      <c r="Z518" s="164" t="str">
        <f t="shared" si="28"/>
        <v>08-Infraestructura física, mantenimiento y dotación (Sedes construidas, mantenidas reforzadas)</v>
      </c>
      <c r="AA518" s="162" t="s">
        <v>227</v>
      </c>
      <c r="AB518" s="163" t="str">
        <f>IFERROR(VLOOKUP(AA518,TD!$N$51:$O$66,2,0)," ")</f>
        <v>Sedes mantenidas</v>
      </c>
      <c r="AC518" s="164" t="str">
        <f t="shared" si="29"/>
        <v>016_Sedes mantenidas</v>
      </c>
      <c r="AD518" s="164" t="str">
        <f t="shared" si="30"/>
        <v>08-Infraestructura física, mantenimiento y dotación (Sedes construidas, mantenidas reforzadas) 016_Sedes mantenidas</v>
      </c>
      <c r="AE518" s="163" t="str">
        <f t="shared" si="31"/>
        <v>O23011745992024020708016</v>
      </c>
      <c r="AF518" s="163" t="str">
        <f>IFERROR(VLOOKUP(AD518,TD!$J$66:$K$89,2,0)," ")</f>
        <v>PM/0131/0108/45990160207</v>
      </c>
      <c r="AG518" s="118" t="s">
        <v>906</v>
      </c>
      <c r="AH518" s="171" t="s">
        <v>193</v>
      </c>
      <c r="AI518" s="165" t="str">
        <f>CONCATENATE(PAA[[#This Row],[Id Interno]],"-",PAA[[#This Row],[tipo de Contrato (TH talento humano - B/S bienes y/o servicios)]],"-",S518,"-",T518,"-",PAA[[#This Row],[Objeto de la contratación]])</f>
        <v>20260500-BS-8126-8-Mantenimiento preventivo y/o correctivo, suministros y repuestos de los electrodomésticos de las instalaciones a cargo de la UAE Cuerpo Oficial de Bomberos Bogotá-SGC</v>
      </c>
    </row>
    <row r="519" spans="2:35" ht="56" x14ac:dyDescent="0.35">
      <c r="B519" s="23">
        <v>20260501</v>
      </c>
      <c r="C519" s="99" t="s">
        <v>726</v>
      </c>
      <c r="D519" s="23" t="s">
        <v>83</v>
      </c>
      <c r="E519" s="23" t="s">
        <v>402</v>
      </c>
      <c r="F519" s="159" t="s">
        <v>136</v>
      </c>
      <c r="G519" s="160" t="s">
        <v>375</v>
      </c>
      <c r="H519" s="161">
        <v>11</v>
      </c>
      <c r="I519" s="161">
        <v>0</v>
      </c>
      <c r="J519" s="127">
        <v>120000000</v>
      </c>
      <c r="K519" s="88" t="s">
        <v>398</v>
      </c>
      <c r="L519" s="159" t="s">
        <v>155</v>
      </c>
      <c r="M519" s="162" t="s">
        <v>422</v>
      </c>
      <c r="N519" s="23" t="s">
        <v>197</v>
      </c>
      <c r="O519" s="150" t="s">
        <v>925</v>
      </c>
      <c r="P519" s="159" t="s">
        <v>348</v>
      </c>
      <c r="Q519" s="53" t="s">
        <v>758</v>
      </c>
      <c r="R519" s="162" t="s">
        <v>207</v>
      </c>
      <c r="S519" s="162" t="str">
        <f>MID(PAA[[#This Row],[Meta Proyecto de Inversión]],1,4)</f>
        <v>8126</v>
      </c>
      <c r="T519" s="162" t="str">
        <f>MID(PAA[[#This Row],[Meta Proyecto de Inversión]],6,1)</f>
        <v>8</v>
      </c>
      <c r="U519" s="163" t="str">
        <f>IFERROR(VLOOKUP(N519,TD!$B$50:$F$54,2,0)," ")</f>
        <v>O230117</v>
      </c>
      <c r="V519" s="163" t="str">
        <f>IFERROR(VLOOKUP(N519,TD!$B$50:$F$54,3,0)," ")</f>
        <v>4599</v>
      </c>
      <c r="W519" s="163">
        <f>IFERROR(VLOOKUP(N519,TD!$B$50:$F$54,4,0)," ")</f>
        <v>20240207</v>
      </c>
      <c r="X519" s="162" t="s">
        <v>174</v>
      </c>
      <c r="Y519" s="163" t="str">
        <f>IFERROR(VLOOKUP(X519,TD!$J$51:$K$64,2,0)," ")</f>
        <v>Infraestructura física, mantenimiento y dotación (Sedes construidas, mantenidas reforzadas)</v>
      </c>
      <c r="Z519" s="164" t="str">
        <f t="shared" si="28"/>
        <v>08-Infraestructura física, mantenimiento y dotación (Sedes construidas, mantenidas reforzadas)</v>
      </c>
      <c r="AA519" s="162" t="s">
        <v>227</v>
      </c>
      <c r="AB519" s="163" t="str">
        <f>IFERROR(VLOOKUP(AA519,TD!$N$51:$O$66,2,0)," ")</f>
        <v>Sedes mantenidas</v>
      </c>
      <c r="AC519" s="164" t="str">
        <f t="shared" si="29"/>
        <v>016_Sedes mantenidas</v>
      </c>
      <c r="AD519" s="164" t="str">
        <f t="shared" si="30"/>
        <v>08-Infraestructura física, mantenimiento y dotación (Sedes construidas, mantenidas reforzadas) 016_Sedes mantenidas</v>
      </c>
      <c r="AE519" s="163" t="str">
        <f t="shared" si="31"/>
        <v>O23011745992024020708016</v>
      </c>
      <c r="AF519" s="163" t="str">
        <f>IFERROR(VLOOKUP(AD519,TD!$J$66:$K$89,2,0)," ")</f>
        <v>PM/0131/0108/45990160207</v>
      </c>
      <c r="AG519" s="118" t="s">
        <v>908</v>
      </c>
      <c r="AH519" s="171" t="s">
        <v>193</v>
      </c>
      <c r="AI519" s="165" t="str">
        <f>CONCATENATE(PAA[[#This Row],[Id Interno]],"-",PAA[[#This Row],[tipo de Contrato (TH talento humano - B/S bienes y/o servicios)]],"-",S519,"-",T519,"-",PAA[[#This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20" spans="2:35" ht="84" x14ac:dyDescent="0.35">
      <c r="B520" s="23">
        <v>20260502</v>
      </c>
      <c r="C520" s="99" t="s">
        <v>727</v>
      </c>
      <c r="D520" s="23" t="s">
        <v>83</v>
      </c>
      <c r="E520" s="23" t="s">
        <v>402</v>
      </c>
      <c r="F520" s="159" t="s">
        <v>136</v>
      </c>
      <c r="G520" s="160" t="s">
        <v>376</v>
      </c>
      <c r="H520" s="161">
        <v>10</v>
      </c>
      <c r="I520" s="161">
        <v>0</v>
      </c>
      <c r="J520" s="127">
        <v>180000000</v>
      </c>
      <c r="K520" s="88" t="s">
        <v>398</v>
      </c>
      <c r="L520" s="159" t="s">
        <v>155</v>
      </c>
      <c r="M520" s="162" t="s">
        <v>422</v>
      </c>
      <c r="N520" s="23" t="s">
        <v>197</v>
      </c>
      <c r="O520" s="150" t="s">
        <v>925</v>
      </c>
      <c r="P520" s="159" t="s">
        <v>348</v>
      </c>
      <c r="Q520" s="53" t="s">
        <v>759</v>
      </c>
      <c r="R520" s="162" t="s">
        <v>207</v>
      </c>
      <c r="S520" s="162" t="str">
        <f>MID(PAA[[#This Row],[Meta Proyecto de Inversión]],1,4)</f>
        <v>8126</v>
      </c>
      <c r="T520" s="162" t="str">
        <f>MID(PAA[[#This Row],[Meta Proyecto de Inversión]],6,1)</f>
        <v>8</v>
      </c>
      <c r="U520" s="163" t="str">
        <f>IFERROR(VLOOKUP(N520,TD!$B$50:$F$54,2,0)," ")</f>
        <v>O230117</v>
      </c>
      <c r="V520" s="163" t="str">
        <f>IFERROR(VLOOKUP(N520,TD!$B$50:$F$54,3,0)," ")</f>
        <v>4599</v>
      </c>
      <c r="W520" s="163">
        <f>IFERROR(VLOOKUP(N520,TD!$B$50:$F$54,4,0)," ")</f>
        <v>20240207</v>
      </c>
      <c r="X520" s="162" t="s">
        <v>174</v>
      </c>
      <c r="Y520" s="163" t="str">
        <f>IFERROR(VLOOKUP(X520,TD!$J$51:$K$64,2,0)," ")</f>
        <v>Infraestructura física, mantenimiento y dotación (Sedes construidas, mantenidas reforzadas)</v>
      </c>
      <c r="Z520" s="164" t="str">
        <f t="shared" si="28"/>
        <v>08-Infraestructura física, mantenimiento y dotación (Sedes construidas, mantenidas reforzadas)</v>
      </c>
      <c r="AA520" s="162" t="s">
        <v>227</v>
      </c>
      <c r="AB520" s="163" t="str">
        <f>IFERROR(VLOOKUP(AA520,TD!$N$51:$O$66,2,0)," ")</f>
        <v>Sedes mantenidas</v>
      </c>
      <c r="AC520" s="164" t="str">
        <f t="shared" si="29"/>
        <v>016_Sedes mantenidas</v>
      </c>
      <c r="AD520" s="164" t="str">
        <f t="shared" si="30"/>
        <v>08-Infraestructura física, mantenimiento y dotación (Sedes construidas, mantenidas reforzadas) 016_Sedes mantenidas</v>
      </c>
      <c r="AE520" s="163" t="str">
        <f t="shared" si="31"/>
        <v>O23011745992024020708016</v>
      </c>
      <c r="AF520" s="163" t="str">
        <f>IFERROR(VLOOKUP(AD520,TD!$J$66:$K$89,2,0)," ")</f>
        <v>PM/0131/0108/45990160207</v>
      </c>
      <c r="AG520" s="118" t="s">
        <v>565</v>
      </c>
      <c r="AH520" s="171" t="s">
        <v>193</v>
      </c>
      <c r="AI520" s="165" t="str">
        <f>CONCATENATE(PAA[[#This Row],[Id Interno]],"-",PAA[[#This Row],[tipo de Contrato (TH talento humano - B/S bienes y/o servicios)]],"-",S520,"-",T520,"-",PAA[[#This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21" spans="2:35" ht="56" x14ac:dyDescent="0.35">
      <c r="B521" s="99">
        <v>20260503</v>
      </c>
      <c r="C521" s="99" t="s">
        <v>1028</v>
      </c>
      <c r="D521" s="99" t="s">
        <v>83</v>
      </c>
      <c r="E521" s="99" t="s">
        <v>402</v>
      </c>
      <c r="F521" s="160" t="s">
        <v>136</v>
      </c>
      <c r="G521" s="160" t="s">
        <v>375</v>
      </c>
      <c r="H521" s="166">
        <v>10</v>
      </c>
      <c r="I521" s="166">
        <v>0</v>
      </c>
      <c r="J521" s="118">
        <v>180000000</v>
      </c>
      <c r="K521" s="126" t="s">
        <v>398</v>
      </c>
      <c r="L521" s="160" t="s">
        <v>155</v>
      </c>
      <c r="M521" s="167" t="s">
        <v>422</v>
      </c>
      <c r="N521" s="99" t="s">
        <v>197</v>
      </c>
      <c r="O521" s="150" t="s">
        <v>925</v>
      </c>
      <c r="P521" s="160" t="s">
        <v>348</v>
      </c>
      <c r="Q521" s="128" t="s">
        <v>760</v>
      </c>
      <c r="R521" s="167" t="s">
        <v>207</v>
      </c>
      <c r="S521" s="162" t="str">
        <f>MID(PAA[[#This Row],[Meta Proyecto de Inversión]],1,4)</f>
        <v>8126</v>
      </c>
      <c r="T521" s="162" t="str">
        <f>MID(PAA[[#This Row],[Meta Proyecto de Inversión]],6,1)</f>
        <v>8</v>
      </c>
      <c r="U521" s="168" t="str">
        <f>IFERROR(VLOOKUP(N521,TD!$B$50:$F$54,2,0)," ")</f>
        <v>O230117</v>
      </c>
      <c r="V521" s="168" t="str">
        <f>IFERROR(VLOOKUP(N521,TD!$B$50:$F$54,3,0)," ")</f>
        <v>4599</v>
      </c>
      <c r="W521" s="168">
        <f>IFERROR(VLOOKUP(N521,TD!$B$50:$F$54,4,0)," ")</f>
        <v>20240207</v>
      </c>
      <c r="X521" s="167" t="s">
        <v>174</v>
      </c>
      <c r="Y521" s="168" t="str">
        <f>IFERROR(VLOOKUP(X521,TD!$J$51:$K$64,2,0)," ")</f>
        <v>Infraestructura física, mantenimiento y dotación (Sedes construidas, mantenidas reforzadas)</v>
      </c>
      <c r="Z521" s="164" t="str">
        <f t="shared" si="28"/>
        <v>08-Infraestructura física, mantenimiento y dotación (Sedes construidas, mantenidas reforzadas)</v>
      </c>
      <c r="AA521" s="167" t="s">
        <v>227</v>
      </c>
      <c r="AB521" s="168" t="str">
        <f>IFERROR(VLOOKUP(AA521,TD!$N$51:$O$66,2,0)," ")</f>
        <v>Sedes mantenidas</v>
      </c>
      <c r="AC521" s="164" t="str">
        <f t="shared" si="29"/>
        <v>016_Sedes mantenidas</v>
      </c>
      <c r="AD521" s="164" t="str">
        <f t="shared" si="30"/>
        <v>08-Infraestructura física, mantenimiento y dotación (Sedes construidas, mantenidas reforzadas) 016_Sedes mantenidas</v>
      </c>
      <c r="AE521" s="168" t="str">
        <f t="shared" si="31"/>
        <v>O23011745992024020708016</v>
      </c>
      <c r="AF521" s="168" t="str">
        <f>IFERROR(VLOOKUP(AD521,TD!$J$66:$K$89,2,0)," ")</f>
        <v>PM/0131/0108/45990160207</v>
      </c>
      <c r="AG521" s="118" t="s">
        <v>907</v>
      </c>
      <c r="AH521" s="167" t="s">
        <v>193</v>
      </c>
      <c r="AI521" s="169" t="str">
        <f>CONCATENATE(PAA[[#This Row],[Id Interno]],"-",PAA[[#This Row],[tipo de Contrato (TH talento humano - B/S bienes y/o servicios)]],"-",S521,"-",T521,"-",PAA[[#This Row],[Objeto de la contratación]])</f>
        <v>20260503-BS-8126-8-Mantenimiento preventivo y correctivo de la red contraincendios  y sistemas de detención de alarmas contra incendios a las instalaciones de la  Unidad Administrativa Especial Cuerpo Oficial de Bomberos Bogotá -SGC</v>
      </c>
    </row>
    <row r="522" spans="2:35" ht="56" x14ac:dyDescent="0.35">
      <c r="B522" s="99">
        <v>20260505</v>
      </c>
      <c r="C522" s="99" t="s">
        <v>729</v>
      </c>
      <c r="D522" s="99" t="s">
        <v>78</v>
      </c>
      <c r="E522" s="99" t="s">
        <v>402</v>
      </c>
      <c r="F522" s="160" t="s">
        <v>97</v>
      </c>
      <c r="G522" s="160" t="s">
        <v>377</v>
      </c>
      <c r="H522" s="166">
        <v>10</v>
      </c>
      <c r="I522" s="166">
        <v>0</v>
      </c>
      <c r="J522" s="118">
        <v>800472500</v>
      </c>
      <c r="K522" s="126" t="s">
        <v>398</v>
      </c>
      <c r="L522" s="160" t="s">
        <v>155</v>
      </c>
      <c r="M522" s="167" t="s">
        <v>422</v>
      </c>
      <c r="N522" s="99" t="s">
        <v>197</v>
      </c>
      <c r="O522" s="150" t="s">
        <v>925</v>
      </c>
      <c r="P522" s="160" t="s">
        <v>348</v>
      </c>
      <c r="Q522" s="128" t="s">
        <v>761</v>
      </c>
      <c r="R522" s="167" t="s">
        <v>207</v>
      </c>
      <c r="S522" s="162" t="str">
        <f>MID(PAA[[#This Row],[Meta Proyecto de Inversión]],1,4)</f>
        <v>8126</v>
      </c>
      <c r="T522" s="162" t="str">
        <f>MID(PAA[[#This Row],[Meta Proyecto de Inversión]],6,1)</f>
        <v>8</v>
      </c>
      <c r="U522" s="168" t="str">
        <f>IFERROR(VLOOKUP(N522,TD!$B$50:$F$54,2,0)," ")</f>
        <v>O230117</v>
      </c>
      <c r="V522" s="168" t="str">
        <f>IFERROR(VLOOKUP(N522,TD!$B$50:$F$54,3,0)," ")</f>
        <v>4599</v>
      </c>
      <c r="W522" s="168">
        <f>IFERROR(VLOOKUP(N522,TD!$B$50:$F$54,4,0)," ")</f>
        <v>20240207</v>
      </c>
      <c r="X522" s="167" t="s">
        <v>174</v>
      </c>
      <c r="Y522" s="168" t="str">
        <f>IFERROR(VLOOKUP(X522,TD!$J$51:$K$64,2,0)," ")</f>
        <v>Infraestructura física, mantenimiento y dotación (Sedes construidas, mantenidas reforzadas)</v>
      </c>
      <c r="Z522" s="164" t="str">
        <f t="shared" si="28"/>
        <v>08-Infraestructura física, mantenimiento y dotación (Sedes construidas, mantenidas reforzadas)</v>
      </c>
      <c r="AA522" s="167" t="s">
        <v>227</v>
      </c>
      <c r="AB522" s="168" t="str">
        <f>IFERROR(VLOOKUP(AA522,TD!$N$51:$O$66,2,0)," ")</f>
        <v>Sedes mantenidas</v>
      </c>
      <c r="AC522" s="164" t="str">
        <f t="shared" si="29"/>
        <v>016_Sedes mantenidas</v>
      </c>
      <c r="AD522" s="164" t="str">
        <f t="shared" si="30"/>
        <v>08-Infraestructura física, mantenimiento y dotación (Sedes construidas, mantenidas reforzadas) 016_Sedes mantenidas</v>
      </c>
      <c r="AE522" s="168" t="str">
        <f t="shared" si="31"/>
        <v>O23011745992024020708016</v>
      </c>
      <c r="AF522" s="168" t="str">
        <f>IFERROR(VLOOKUP(AD522,TD!$J$66:$K$89,2,0)," ")</f>
        <v>PM/0131/0108/45990160207</v>
      </c>
      <c r="AG522" s="118" t="s">
        <v>94</v>
      </c>
      <c r="AH522" s="181" t="s">
        <v>193</v>
      </c>
      <c r="AI522" s="169" t="str">
        <f>CONCATENATE(PAA[[#This Row],[Id Interno]],"-",PAA[[#This Row],[tipo de Contrato (TH talento humano - B/S bienes y/o servicios)]],"-",S522,"-",T522,"-",PAA[[#This Row],[Objeto de la contratación]])</f>
        <v>20260505-BS-8126-8-Realizar el mantenimiento predictivo, preventivo, correctivo y mejoras a las instalaciones de las dependencias de la Unidad Administrativa Especial Cuerpo Oficial de Bomberos Bogotá -SGC</v>
      </c>
    </row>
    <row r="523" spans="2:35" ht="70" x14ac:dyDescent="0.35">
      <c r="B523" s="23">
        <v>20260506</v>
      </c>
      <c r="C523" s="99" t="s">
        <v>919</v>
      </c>
      <c r="D523" s="23" t="s">
        <v>100</v>
      </c>
      <c r="E523" s="23" t="s">
        <v>402</v>
      </c>
      <c r="F523" s="23" t="s">
        <v>131</v>
      </c>
      <c r="G523" s="129" t="s">
        <v>377</v>
      </c>
      <c r="H523" s="136">
        <v>10</v>
      </c>
      <c r="I523" s="161">
        <v>0</v>
      </c>
      <c r="J523" s="127">
        <v>200000000</v>
      </c>
      <c r="K523" s="88" t="s">
        <v>398</v>
      </c>
      <c r="L523" s="159" t="s">
        <v>155</v>
      </c>
      <c r="M523" s="162" t="s">
        <v>422</v>
      </c>
      <c r="N523" s="23" t="s">
        <v>197</v>
      </c>
      <c r="O523" s="150" t="s">
        <v>925</v>
      </c>
      <c r="P523" s="162" t="s">
        <v>348</v>
      </c>
      <c r="Q523" s="53" t="s">
        <v>762</v>
      </c>
      <c r="R523" s="162" t="s">
        <v>207</v>
      </c>
      <c r="S523" s="162" t="str">
        <f>MID(PAA[[#This Row],[Meta Proyecto de Inversión]],1,4)</f>
        <v>8126</v>
      </c>
      <c r="T523" s="162" t="str">
        <f>MID(PAA[[#This Row],[Meta Proyecto de Inversión]],6,1)</f>
        <v>8</v>
      </c>
      <c r="U523" s="163" t="str">
        <f>IFERROR(VLOOKUP(N523,TD!$B$50:$F$54,2,0)," ")</f>
        <v>O230117</v>
      </c>
      <c r="V523" s="163" t="str">
        <f>IFERROR(VLOOKUP(N523,TD!$B$50:$F$54,3,0)," ")</f>
        <v>4599</v>
      </c>
      <c r="W523" s="163">
        <f>IFERROR(VLOOKUP(N523,TD!$B$50:$F$54,4,0)," ")</f>
        <v>20240207</v>
      </c>
      <c r="X523" s="162" t="s">
        <v>174</v>
      </c>
      <c r="Y523" s="163" t="str">
        <f>IFERROR(VLOOKUP(X523,TD!$J$51:$K$64,2,0)," ")</f>
        <v>Infraestructura física, mantenimiento y dotación (Sedes construidas, mantenidas reforzadas)</v>
      </c>
      <c r="Z523" s="164" t="str">
        <f t="shared" si="28"/>
        <v>08-Infraestructura física, mantenimiento y dotación (Sedes construidas, mantenidas reforzadas)</v>
      </c>
      <c r="AA523" s="162" t="s">
        <v>227</v>
      </c>
      <c r="AB523" s="163" t="str">
        <f>IFERROR(VLOOKUP(AA523,TD!$N$51:$O$66,2,0)," ")</f>
        <v>Sedes mantenidas</v>
      </c>
      <c r="AC523" s="164" t="str">
        <f t="shared" si="29"/>
        <v>016_Sedes mantenidas</v>
      </c>
      <c r="AD523" s="164" t="str">
        <f t="shared" si="30"/>
        <v>08-Infraestructura física, mantenimiento y dotación (Sedes construidas, mantenidas reforzadas) 016_Sedes mantenidas</v>
      </c>
      <c r="AE523" s="163" t="str">
        <f t="shared" si="31"/>
        <v>O23011745992024020708016</v>
      </c>
      <c r="AF523" s="163" t="str">
        <f>IFERROR(VLOOKUP(AD523,TD!$J$66:$K$89,2,0)," ")</f>
        <v>PM/0131/0108/45990160207</v>
      </c>
      <c r="AG523" s="118" t="s">
        <v>94</v>
      </c>
      <c r="AH523" s="162" t="s">
        <v>193</v>
      </c>
      <c r="AI523" s="165" t="str">
        <f>CONCATENATE(PAA[[#This Row],[Id Interno]],"-",PAA[[#This Row],[tipo de Contrato (TH talento humano - B/S bienes y/o servicios)]],"-",S523,"-",T523,"-",PAA[[#This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24" spans="2:35" ht="56" x14ac:dyDescent="0.35">
      <c r="B524" s="23">
        <v>20260508</v>
      </c>
      <c r="C524" s="23" t="s">
        <v>730</v>
      </c>
      <c r="D524" s="23" t="s">
        <v>83</v>
      </c>
      <c r="E524" s="23" t="s">
        <v>402</v>
      </c>
      <c r="F524" s="23" t="s">
        <v>136</v>
      </c>
      <c r="G524" s="157" t="s">
        <v>377</v>
      </c>
      <c r="H524" s="136">
        <v>10</v>
      </c>
      <c r="I524" s="161">
        <v>0</v>
      </c>
      <c r="J524" s="127">
        <v>127000000</v>
      </c>
      <c r="K524" s="88" t="s">
        <v>398</v>
      </c>
      <c r="L524" s="159" t="s">
        <v>155</v>
      </c>
      <c r="M524" s="162" t="s">
        <v>422</v>
      </c>
      <c r="N524" s="23" t="s">
        <v>197</v>
      </c>
      <c r="O524" s="151" t="s">
        <v>925</v>
      </c>
      <c r="P524" s="162" t="s">
        <v>348</v>
      </c>
      <c r="Q524" s="53" t="s">
        <v>763</v>
      </c>
      <c r="R524" s="162" t="s">
        <v>207</v>
      </c>
      <c r="S524" s="162" t="str">
        <f>MID(PAA[[#This Row],[Meta Proyecto de Inversión]],1,4)</f>
        <v>8126</v>
      </c>
      <c r="T524" s="162" t="str">
        <f>MID(PAA[[#This Row],[Meta Proyecto de Inversión]],6,1)</f>
        <v>8</v>
      </c>
      <c r="U524" s="163" t="str">
        <f>IFERROR(VLOOKUP(N524,TD!$B$50:$F$54,2,0)," ")</f>
        <v>O230117</v>
      </c>
      <c r="V524" s="163" t="str">
        <f>IFERROR(VLOOKUP(N524,TD!$B$50:$F$54,3,0)," ")</f>
        <v>4599</v>
      </c>
      <c r="W524" s="163">
        <f>IFERROR(VLOOKUP(N524,TD!$B$50:$F$54,4,0)," ")</f>
        <v>20240207</v>
      </c>
      <c r="X524" s="162" t="s">
        <v>174</v>
      </c>
      <c r="Y524" s="163" t="str">
        <f>IFERROR(VLOOKUP(X524,TD!$J$51:$K$64,2,0)," ")</f>
        <v>Infraestructura física, mantenimiento y dotación (Sedes construidas, mantenidas reforzadas)</v>
      </c>
      <c r="Z524" s="164" t="str">
        <f t="shared" ref="Z524:Z587" si="32">CONCATENATE(X524,"-",Y524)</f>
        <v>08-Infraestructura física, mantenimiento y dotación (Sedes construidas, mantenidas reforzadas)</v>
      </c>
      <c r="AA524" s="162" t="s">
        <v>227</v>
      </c>
      <c r="AB524" s="163" t="str">
        <f>IFERROR(VLOOKUP(AA524,TD!$N$51:$O$66,2,0)," ")</f>
        <v>Sedes mantenidas</v>
      </c>
      <c r="AC524" s="164" t="str">
        <f t="shared" ref="AC524:AC587" si="33">CONCATENATE(AA524,"_",AB524)</f>
        <v>016_Sedes mantenidas</v>
      </c>
      <c r="AD524" s="164" t="str">
        <f t="shared" ref="AD524:AD587" si="34">CONCATENATE(Z524," ",AC524)</f>
        <v>08-Infraestructura física, mantenimiento y dotación (Sedes construidas, mantenidas reforzadas) 016_Sedes mantenidas</v>
      </c>
      <c r="AE524" s="163" t="str">
        <f t="shared" ref="AE524:AE587" si="35">CONCATENATE(U524,V524,W524,X524,AA524)</f>
        <v>O23011745992024020708016</v>
      </c>
      <c r="AF524" s="163" t="str">
        <f>IFERROR(VLOOKUP(AD524,TD!$J$66:$K$89,2,0)," ")</f>
        <v>PM/0131/0108/45990160207</v>
      </c>
      <c r="AG524" s="127" t="s">
        <v>906</v>
      </c>
      <c r="AH524" s="171" t="s">
        <v>193</v>
      </c>
      <c r="AI524" s="165" t="str">
        <f>CONCATENATE(PAA[[#This Row],[Id Interno]],"-",PAA[[#This Row],[tipo de Contrato (TH talento humano - B/S bienes y/o servicios)]],"-",S524,"-",T524,"-",PAA[[#This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25" spans="2:35" ht="70" x14ac:dyDescent="0.35">
      <c r="B525" s="99">
        <v>20260509</v>
      </c>
      <c r="C525" s="99" t="s">
        <v>731</v>
      </c>
      <c r="D525" s="99" t="s">
        <v>119</v>
      </c>
      <c r="E525" s="99" t="s">
        <v>402</v>
      </c>
      <c r="F525" s="99" t="s">
        <v>128</v>
      </c>
      <c r="G525" s="129" t="s">
        <v>377</v>
      </c>
      <c r="H525" s="180">
        <v>0</v>
      </c>
      <c r="I525" s="166">
        <v>0</v>
      </c>
      <c r="J525" s="118">
        <v>49611875</v>
      </c>
      <c r="K525" s="126" t="s">
        <v>398</v>
      </c>
      <c r="L525" s="160" t="s">
        <v>155</v>
      </c>
      <c r="M525" s="167" t="s">
        <v>422</v>
      </c>
      <c r="N525" s="99" t="s">
        <v>197</v>
      </c>
      <c r="O525" s="150" t="s">
        <v>925</v>
      </c>
      <c r="P525" s="167" t="s">
        <v>348</v>
      </c>
      <c r="Q525" s="128" t="s">
        <v>335</v>
      </c>
      <c r="R525" s="167" t="s">
        <v>207</v>
      </c>
      <c r="S525" s="162" t="str">
        <f>MID(PAA[[#This Row],[Meta Proyecto de Inversión]],1,4)</f>
        <v>8126</v>
      </c>
      <c r="T525" s="162" t="str">
        <f>MID(PAA[[#This Row],[Meta Proyecto de Inversión]],6,1)</f>
        <v>8</v>
      </c>
      <c r="U525" s="168" t="str">
        <f>IFERROR(VLOOKUP(N525,TD!$B$50:$F$54,2,0)," ")</f>
        <v>O230117</v>
      </c>
      <c r="V525" s="168" t="str">
        <f>IFERROR(VLOOKUP(N525,TD!$B$50:$F$54,3,0)," ")</f>
        <v>4599</v>
      </c>
      <c r="W525" s="168">
        <f>IFERROR(VLOOKUP(N525,TD!$B$50:$F$54,4,0)," ")</f>
        <v>20240207</v>
      </c>
      <c r="X525" s="167" t="s">
        <v>174</v>
      </c>
      <c r="Y525" s="168" t="str">
        <f>IFERROR(VLOOKUP(X525,TD!$J$51:$K$64,2,0)," ")</f>
        <v>Infraestructura física, mantenimiento y dotación (Sedes construidas, mantenidas reforzadas)</v>
      </c>
      <c r="Z525" s="164" t="str">
        <f t="shared" si="32"/>
        <v>08-Infraestructura física, mantenimiento y dotación (Sedes construidas, mantenidas reforzadas)</v>
      </c>
      <c r="AA525" s="167" t="s">
        <v>227</v>
      </c>
      <c r="AB525" s="168" t="str">
        <f>IFERROR(VLOOKUP(AA525,TD!$N$51:$O$66,2,0)," ")</f>
        <v>Sedes mantenidas</v>
      </c>
      <c r="AC525" s="164" t="str">
        <f t="shared" si="33"/>
        <v>016_Sedes mantenidas</v>
      </c>
      <c r="AD525" s="164" t="str">
        <f t="shared" si="34"/>
        <v>08-Infraestructura física, mantenimiento y dotación (Sedes construidas, mantenidas reforzadas) 016_Sedes mantenidas</v>
      </c>
      <c r="AE525" s="168" t="str">
        <f t="shared" si="35"/>
        <v>O23011745992024020708016</v>
      </c>
      <c r="AF525" s="168" t="str">
        <f>IFERROR(VLOOKUP(AD525,TD!$J$66:$K$89,2,0)," ")</f>
        <v>PM/0131/0108/45990160207</v>
      </c>
      <c r="AG525" s="118" t="s">
        <v>134</v>
      </c>
      <c r="AH525" s="167" t="s">
        <v>194</v>
      </c>
      <c r="AI525" s="169" t="str">
        <f>CONCATENATE(PAA[[#This Row],[Id Interno]],"-",PAA[[#This Row],[tipo de Contrato (TH talento humano - B/S bienes y/o servicios)]],"-",S525,"-",T525,"-",PAA[[#This Row],[Objeto de la contratación]])</f>
        <v xml:space="preserve">20260509-BS-8126-8-Proceso para amparar el Pago de Pasivos exigibles </v>
      </c>
    </row>
    <row r="526" spans="2:35" ht="56" x14ac:dyDescent="0.35">
      <c r="B526" s="23">
        <v>20260519</v>
      </c>
      <c r="C526" s="99" t="s">
        <v>735</v>
      </c>
      <c r="D526" s="23" t="s">
        <v>92</v>
      </c>
      <c r="E526" s="23" t="s">
        <v>402</v>
      </c>
      <c r="F526" s="23" t="s">
        <v>89</v>
      </c>
      <c r="G526" s="129" t="s">
        <v>377</v>
      </c>
      <c r="H526" s="136">
        <v>8</v>
      </c>
      <c r="I526" s="161">
        <v>0</v>
      </c>
      <c r="J526" s="127">
        <v>30000000</v>
      </c>
      <c r="K526" s="88" t="s">
        <v>398</v>
      </c>
      <c r="L526" s="159" t="s">
        <v>155</v>
      </c>
      <c r="M526" s="162" t="s">
        <v>422</v>
      </c>
      <c r="N526" s="23" t="s">
        <v>330</v>
      </c>
      <c r="O526" s="150" t="s">
        <v>925</v>
      </c>
      <c r="P526" s="162" t="s">
        <v>161</v>
      </c>
      <c r="Q526" s="53" t="s">
        <v>766</v>
      </c>
      <c r="R526" s="162" t="s">
        <v>331</v>
      </c>
      <c r="S526" s="162" t="str">
        <f>MID(PAA[[#This Row],[Meta Proyecto de Inversión]],1,4)</f>
        <v>No a</v>
      </c>
      <c r="T526" s="162" t="str">
        <f>MID(PAA[[#This Row],[Meta Proyecto de Inversión]],6,1)</f>
        <v>l</v>
      </c>
      <c r="U526" s="163" t="str">
        <f>IFERROR(VLOOKUP(N526,TD!$B$50:$F$54,2,0)," ")</f>
        <v>NA</v>
      </c>
      <c r="V526" s="163" t="str">
        <f>IFERROR(VLOOKUP(N526,TD!$B$50:$F$54,3,0)," ")</f>
        <v>NA</v>
      </c>
      <c r="W526" s="163" t="str">
        <f>IFERROR(VLOOKUP(N526,TD!$B$50:$F$54,4,0)," ")</f>
        <v>NA</v>
      </c>
      <c r="X526" s="162" t="s">
        <v>335</v>
      </c>
      <c r="Y526" s="163" t="str">
        <f>IFERROR(VLOOKUP(X526,TD!$J$51:$K$64,2,0)," ")</f>
        <v>N/A</v>
      </c>
      <c r="Z526" s="164" t="str">
        <f t="shared" si="32"/>
        <v>N/A-N/A</v>
      </c>
      <c r="AA526" s="162" t="s">
        <v>335</v>
      </c>
      <c r="AB526" s="163" t="str">
        <f>IFERROR(VLOOKUP(AA526,TD!$N$51:$O$66,2,0)," ")</f>
        <v>N/A</v>
      </c>
      <c r="AC526" s="164" t="str">
        <f t="shared" si="33"/>
        <v>N/A_N/A</v>
      </c>
      <c r="AD526" s="164" t="str">
        <f t="shared" si="34"/>
        <v>N/A-N/A N/A_N/A</v>
      </c>
      <c r="AE526" s="163" t="str">
        <f t="shared" si="35"/>
        <v>NANANAN/AN/A</v>
      </c>
      <c r="AF526" s="163" t="str">
        <f>IFERROR(VLOOKUP(AD526,TD!$J$66:$K$89,2,0)," ")</f>
        <v>N/A</v>
      </c>
      <c r="AG526" s="118" t="s">
        <v>332</v>
      </c>
      <c r="AH526" s="171" t="s">
        <v>193</v>
      </c>
      <c r="AI526" s="165" t="str">
        <f>CONCATENATE(PAA[[#This Row],[Id Interno]],"-",PAA[[#This Row],[tipo de Contrato (TH talento humano - B/S bienes y/o servicios)]],"-",S526,"-",T526,"-",PAA[[#This Row],[Objeto de la contratación]])</f>
        <v>20260519-BS-No a-l-Prestar el servicio de recolección y disposición final de los residuos sanitarios y aguas no tratadas de las instalaciones de la Unidad Administrativa Especial Cuerpo Oficial de Bomberos de Bogotá – SGC</v>
      </c>
    </row>
    <row r="527" spans="2:35" ht="98" x14ac:dyDescent="0.35">
      <c r="B527" s="23">
        <v>20260520</v>
      </c>
      <c r="C527" s="99" t="s">
        <v>736</v>
      </c>
      <c r="D527" s="23" t="s">
        <v>92</v>
      </c>
      <c r="E527" s="23" t="s">
        <v>402</v>
      </c>
      <c r="F527" s="23" t="s">
        <v>146</v>
      </c>
      <c r="G527" s="129" t="s">
        <v>376</v>
      </c>
      <c r="H527" s="136">
        <v>10</v>
      </c>
      <c r="I527" s="161">
        <v>0</v>
      </c>
      <c r="J527" s="127">
        <v>24000000</v>
      </c>
      <c r="K527" s="88" t="s">
        <v>398</v>
      </c>
      <c r="L527" s="159" t="s">
        <v>155</v>
      </c>
      <c r="M527" s="162" t="s">
        <v>422</v>
      </c>
      <c r="N527" s="23" t="s">
        <v>330</v>
      </c>
      <c r="O527" s="150" t="s">
        <v>925</v>
      </c>
      <c r="P527" s="162" t="s">
        <v>161</v>
      </c>
      <c r="Q527" s="53" t="s">
        <v>767</v>
      </c>
      <c r="R527" s="162" t="s">
        <v>331</v>
      </c>
      <c r="S527" s="162" t="str">
        <f>MID(PAA[[#This Row],[Meta Proyecto de Inversión]],1,4)</f>
        <v>No a</v>
      </c>
      <c r="T527" s="162" t="str">
        <f>MID(PAA[[#This Row],[Meta Proyecto de Inversión]],6,1)</f>
        <v>l</v>
      </c>
      <c r="U527" s="163" t="str">
        <f>IFERROR(VLOOKUP(N527,TD!$B$50:$F$54,2,0)," ")</f>
        <v>NA</v>
      </c>
      <c r="V527" s="163" t="str">
        <f>IFERROR(VLOOKUP(N527,TD!$B$50:$F$54,3,0)," ")</f>
        <v>NA</v>
      </c>
      <c r="W527" s="163" t="str">
        <f>IFERROR(VLOOKUP(N527,TD!$B$50:$F$54,4,0)," ")</f>
        <v>NA</v>
      </c>
      <c r="X527" s="162" t="s">
        <v>335</v>
      </c>
      <c r="Y527" s="163" t="str">
        <f>IFERROR(VLOOKUP(X527,TD!$J$51:$K$64,2,0)," ")</f>
        <v>N/A</v>
      </c>
      <c r="Z527" s="164" t="str">
        <f t="shared" si="32"/>
        <v>N/A-N/A</v>
      </c>
      <c r="AA527" s="162" t="s">
        <v>335</v>
      </c>
      <c r="AB527" s="163" t="str">
        <f>IFERROR(VLOOKUP(AA527,TD!$N$51:$O$66,2,0)," ")</f>
        <v>N/A</v>
      </c>
      <c r="AC527" s="164" t="str">
        <f t="shared" si="33"/>
        <v>N/A_N/A</v>
      </c>
      <c r="AD527" s="164" t="str">
        <f t="shared" si="34"/>
        <v>N/A-N/A N/A_N/A</v>
      </c>
      <c r="AE527" s="163" t="str">
        <f t="shared" si="35"/>
        <v>NANANAN/AN/A</v>
      </c>
      <c r="AF527" s="163" t="str">
        <f>IFERROR(VLOOKUP(AD527,TD!$J$66:$K$89,2,0)," ")</f>
        <v>N/A</v>
      </c>
      <c r="AG527" s="118" t="s">
        <v>332</v>
      </c>
      <c r="AH527" s="171" t="s">
        <v>193</v>
      </c>
      <c r="AI527" s="165" t="str">
        <f>CONCATENATE(PAA[[#This Row],[Id Interno]],"-",PAA[[#This Row],[tipo de Contrato (TH talento humano - B/S bienes y/o servicios)]],"-",S527,"-",T527,"-",PAA[[#This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28" spans="2:35" ht="140" x14ac:dyDescent="0.35">
      <c r="B528" s="23">
        <v>20260521</v>
      </c>
      <c r="C528" s="99" t="s">
        <v>737</v>
      </c>
      <c r="D528" s="23" t="s">
        <v>114</v>
      </c>
      <c r="E528" s="23" t="s">
        <v>402</v>
      </c>
      <c r="F528" s="23" t="s">
        <v>89</v>
      </c>
      <c r="G528" s="129" t="s">
        <v>373</v>
      </c>
      <c r="H528" s="136">
        <v>1</v>
      </c>
      <c r="I528" s="161">
        <v>0</v>
      </c>
      <c r="J528" s="127">
        <v>17698013</v>
      </c>
      <c r="K528" s="88" t="s">
        <v>398</v>
      </c>
      <c r="L528" s="159" t="s">
        <v>155</v>
      </c>
      <c r="M528" s="162" t="s">
        <v>422</v>
      </c>
      <c r="N528" s="23" t="s">
        <v>330</v>
      </c>
      <c r="O528" s="150" t="s">
        <v>925</v>
      </c>
      <c r="P528" s="162" t="s">
        <v>161</v>
      </c>
      <c r="Q528" s="53" t="s">
        <v>768</v>
      </c>
      <c r="R528" s="162" t="s">
        <v>331</v>
      </c>
      <c r="S528" s="162" t="str">
        <f>MID(PAA[[#This Row],[Meta Proyecto de Inversión]],1,4)</f>
        <v>No a</v>
      </c>
      <c r="T528" s="162" t="str">
        <f>MID(PAA[[#This Row],[Meta Proyecto de Inversión]],6,1)</f>
        <v>l</v>
      </c>
      <c r="U528" s="163" t="str">
        <f>IFERROR(VLOOKUP(N528,TD!$B$50:$F$54,2,0)," ")</f>
        <v>NA</v>
      </c>
      <c r="V528" s="163" t="str">
        <f>IFERROR(VLOOKUP(N528,TD!$B$50:$F$54,3,0)," ")</f>
        <v>NA</v>
      </c>
      <c r="W528" s="163" t="str">
        <f>IFERROR(VLOOKUP(N528,TD!$B$50:$F$54,4,0)," ")</f>
        <v>NA</v>
      </c>
      <c r="X528" s="162" t="s">
        <v>335</v>
      </c>
      <c r="Y528" s="163" t="str">
        <f>IFERROR(VLOOKUP(X528,TD!$J$51:$K$64,2,0)," ")</f>
        <v>N/A</v>
      </c>
      <c r="Z528" s="164" t="str">
        <f t="shared" si="32"/>
        <v>N/A-N/A</v>
      </c>
      <c r="AA528" s="162" t="s">
        <v>335</v>
      </c>
      <c r="AB528" s="163" t="str">
        <f>IFERROR(VLOOKUP(AA528,TD!$N$51:$O$66,2,0)," ")</f>
        <v>N/A</v>
      </c>
      <c r="AC528" s="164" t="str">
        <f t="shared" si="33"/>
        <v>N/A_N/A</v>
      </c>
      <c r="AD528" s="164" t="str">
        <f t="shared" si="34"/>
        <v>N/A-N/A N/A_N/A</v>
      </c>
      <c r="AE528" s="163" t="str">
        <f t="shared" si="35"/>
        <v>NANANAN/AN/A</v>
      </c>
      <c r="AF528" s="163" t="str">
        <f>IFERROR(VLOOKUP(AD528,TD!$J$66:$K$89,2,0)," ")</f>
        <v>N/A</v>
      </c>
      <c r="AG528" s="118" t="s">
        <v>332</v>
      </c>
      <c r="AH528" s="171" t="s">
        <v>194</v>
      </c>
      <c r="AI528" s="165" t="str">
        <f>CONCATENATE(PAA[[#This Row],[Id Interno]],"-",PAA[[#This Row],[tipo de Contrato (TH talento humano - B/S bienes y/o servicios)]],"-",S528,"-",T528,"-",PAA[[#This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29" spans="2:35" ht="126" x14ac:dyDescent="0.35">
      <c r="B529" s="23">
        <v>20260522</v>
      </c>
      <c r="C529" s="121" t="s">
        <v>738</v>
      </c>
      <c r="D529" s="130" t="s">
        <v>114</v>
      </c>
      <c r="E529" s="23" t="s">
        <v>402</v>
      </c>
      <c r="F529" s="130" t="s">
        <v>89</v>
      </c>
      <c r="G529" s="131" t="s">
        <v>375</v>
      </c>
      <c r="H529" s="137">
        <v>8</v>
      </c>
      <c r="I529" s="161">
        <v>0</v>
      </c>
      <c r="J529" s="132">
        <v>88070951</v>
      </c>
      <c r="K529" s="133" t="s">
        <v>398</v>
      </c>
      <c r="L529" s="172" t="s">
        <v>155</v>
      </c>
      <c r="M529" s="173" t="s">
        <v>422</v>
      </c>
      <c r="N529" s="130" t="s">
        <v>330</v>
      </c>
      <c r="O529" s="150" t="s">
        <v>925</v>
      </c>
      <c r="P529" s="173" t="s">
        <v>161</v>
      </c>
      <c r="Q529" s="134" t="s">
        <v>768</v>
      </c>
      <c r="R529" s="173" t="s">
        <v>331</v>
      </c>
      <c r="S529" s="173" t="str">
        <f>MID(PAA[[#This Row],[Meta Proyecto de Inversión]],1,4)</f>
        <v>No a</v>
      </c>
      <c r="T529" s="173" t="str">
        <f>MID(PAA[[#This Row],[Meta Proyecto de Inversión]],6,1)</f>
        <v>l</v>
      </c>
      <c r="U529" s="174" t="str">
        <f>IFERROR(VLOOKUP(N529,TD!$B$50:$F$54,2,0)," ")</f>
        <v>NA</v>
      </c>
      <c r="V529" s="174" t="str">
        <f>IFERROR(VLOOKUP(N529,TD!$B$50:$F$54,3,0)," ")</f>
        <v>NA</v>
      </c>
      <c r="W529" s="174" t="str">
        <f>IFERROR(VLOOKUP(N529,TD!$B$50:$F$54,4,0)," ")</f>
        <v>NA</v>
      </c>
      <c r="X529" s="173" t="s">
        <v>335</v>
      </c>
      <c r="Y529" s="163" t="str">
        <f>IFERROR(VLOOKUP(X529,TD!$J$51:$K$64,2,0)," ")</f>
        <v>N/A</v>
      </c>
      <c r="Z529" s="175" t="str">
        <f t="shared" si="32"/>
        <v>N/A-N/A</v>
      </c>
      <c r="AA529" s="173" t="s">
        <v>335</v>
      </c>
      <c r="AB529" s="163" t="str">
        <f>IFERROR(VLOOKUP(AA529,TD!$N$51:$O$66,2,0)," ")</f>
        <v>N/A</v>
      </c>
      <c r="AC529" s="175" t="str">
        <f t="shared" si="33"/>
        <v>N/A_N/A</v>
      </c>
      <c r="AD529" s="175" t="str">
        <f t="shared" si="34"/>
        <v>N/A-N/A N/A_N/A</v>
      </c>
      <c r="AE529" s="174" t="str">
        <f t="shared" si="35"/>
        <v>NANANAN/AN/A</v>
      </c>
      <c r="AF529" s="163" t="str">
        <f>IFERROR(VLOOKUP(AD529,TD!$J$66:$K$89,2,0)," ")</f>
        <v>N/A</v>
      </c>
      <c r="AG529" s="135" t="s">
        <v>332</v>
      </c>
      <c r="AH529" s="176" t="s">
        <v>193</v>
      </c>
      <c r="AI529" s="165" t="str">
        <f>CONCATENATE(PAA[[#This Row],[Id Interno]],"-",PAA[[#This Row],[tipo de Contrato (TH talento humano - B/S bienes y/o servicios)]],"-",S529,"-",T529,"-",PAA[[#This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0" spans="2:35" ht="56" x14ac:dyDescent="0.35">
      <c r="B530" s="23">
        <v>20260523</v>
      </c>
      <c r="C530" s="99" t="s">
        <v>723</v>
      </c>
      <c r="D530" s="23" t="s">
        <v>114</v>
      </c>
      <c r="E530" s="23" t="s">
        <v>402</v>
      </c>
      <c r="F530" s="23" t="s">
        <v>89</v>
      </c>
      <c r="G530" s="129" t="s">
        <v>374</v>
      </c>
      <c r="H530" s="136">
        <v>10</v>
      </c>
      <c r="I530" s="161">
        <v>0</v>
      </c>
      <c r="J530" s="127">
        <v>755000000</v>
      </c>
      <c r="K530" s="88" t="s">
        <v>398</v>
      </c>
      <c r="L530" s="159" t="s">
        <v>155</v>
      </c>
      <c r="M530" s="162" t="s">
        <v>422</v>
      </c>
      <c r="N530" s="23" t="s">
        <v>330</v>
      </c>
      <c r="O530" s="150" t="s">
        <v>925</v>
      </c>
      <c r="P530" s="162" t="s">
        <v>161</v>
      </c>
      <c r="Q530" s="53" t="s">
        <v>754</v>
      </c>
      <c r="R530" s="162" t="s">
        <v>331</v>
      </c>
      <c r="S530" s="162" t="str">
        <f>MID(PAA[[#This Row],[Meta Proyecto de Inversión]],1,4)</f>
        <v>No a</v>
      </c>
      <c r="T530" s="162" t="str">
        <f>MID(PAA[[#This Row],[Meta Proyecto de Inversión]],6,1)</f>
        <v>l</v>
      </c>
      <c r="U530" s="163" t="str">
        <f>IFERROR(VLOOKUP(N530,TD!$B$50:$F$54,2,0)," ")</f>
        <v>NA</v>
      </c>
      <c r="V530" s="163" t="str">
        <f>IFERROR(VLOOKUP(N530,TD!$B$50:$F$54,3,0)," ")</f>
        <v>NA</v>
      </c>
      <c r="W530" s="163" t="str">
        <f>IFERROR(VLOOKUP(N530,TD!$B$50:$F$54,4,0)," ")</f>
        <v>NA</v>
      </c>
      <c r="X530" s="162" t="s">
        <v>335</v>
      </c>
      <c r="Y530" s="163" t="str">
        <f>IFERROR(VLOOKUP(X530,TD!$J$51:$K$64,2,0)," ")</f>
        <v>N/A</v>
      </c>
      <c r="Z530" s="164" t="str">
        <f t="shared" si="32"/>
        <v>N/A-N/A</v>
      </c>
      <c r="AA530" s="162" t="s">
        <v>335</v>
      </c>
      <c r="AB530" s="163" t="str">
        <f>IFERROR(VLOOKUP(AA530,TD!$N$51:$O$66,2,0)," ")</f>
        <v>N/A</v>
      </c>
      <c r="AC530" s="164" t="str">
        <f t="shared" si="33"/>
        <v>N/A_N/A</v>
      </c>
      <c r="AD530" s="164" t="str">
        <f t="shared" si="34"/>
        <v>N/A-N/A N/A_N/A</v>
      </c>
      <c r="AE530" s="163" t="str">
        <f t="shared" si="35"/>
        <v>NANANAN/AN/A</v>
      </c>
      <c r="AF530" s="163" t="str">
        <f>IFERROR(VLOOKUP(AD530,TD!$J$66:$K$89,2,0)," ")</f>
        <v>N/A</v>
      </c>
      <c r="AG530" s="118" t="s">
        <v>332</v>
      </c>
      <c r="AH530" s="171" t="s">
        <v>193</v>
      </c>
      <c r="AI530" s="165" t="str">
        <f>CONCATENATE(PAA[[#This Row],[Id Interno]],"-",PAA[[#This Row],[tipo de Contrato (TH talento humano - B/S bienes y/o servicios)]],"-",S530,"-",T530,"-",PAA[[#This Row],[Objeto de la contratación]])</f>
        <v>20260523-BS-No a-l-Contratar la prestación del servicio de aseo y cafetería incluido insumos para la Unidad Administrativa Especial Cuerpo Oficial de Bomberos Bogotá -SGC</v>
      </c>
    </row>
    <row r="531" spans="2:35" ht="56" x14ac:dyDescent="0.35">
      <c r="B531" s="23">
        <v>20260524</v>
      </c>
      <c r="C531" s="99" t="s">
        <v>723</v>
      </c>
      <c r="D531" s="23" t="s">
        <v>114</v>
      </c>
      <c r="E531" s="23" t="s">
        <v>402</v>
      </c>
      <c r="F531" s="23" t="s">
        <v>89</v>
      </c>
      <c r="G531" s="129" t="s">
        <v>374</v>
      </c>
      <c r="H531" s="136">
        <v>10</v>
      </c>
      <c r="I531" s="161">
        <v>0</v>
      </c>
      <c r="J531" s="127">
        <v>388000000</v>
      </c>
      <c r="K531" s="88" t="s">
        <v>398</v>
      </c>
      <c r="L531" s="159" t="s">
        <v>155</v>
      </c>
      <c r="M531" s="162" t="s">
        <v>422</v>
      </c>
      <c r="N531" s="23" t="s">
        <v>330</v>
      </c>
      <c r="O531" s="150" t="s">
        <v>925</v>
      </c>
      <c r="P531" s="162" t="s">
        <v>161</v>
      </c>
      <c r="Q531" s="53" t="s">
        <v>754</v>
      </c>
      <c r="R531" s="162" t="s">
        <v>331</v>
      </c>
      <c r="S531" s="162" t="str">
        <f>MID(PAA[[#This Row],[Meta Proyecto de Inversión]],1,4)</f>
        <v>No a</v>
      </c>
      <c r="T531" s="162" t="str">
        <f>MID(PAA[[#This Row],[Meta Proyecto de Inversión]],6,1)</f>
        <v>l</v>
      </c>
      <c r="U531" s="163" t="str">
        <f>IFERROR(VLOOKUP(N531,TD!$B$50:$F$54,2,0)," ")</f>
        <v>NA</v>
      </c>
      <c r="V531" s="163" t="str">
        <f>IFERROR(VLOOKUP(N531,TD!$B$50:$F$54,3,0)," ")</f>
        <v>NA</v>
      </c>
      <c r="W531" s="163" t="str">
        <f>IFERROR(VLOOKUP(N531,TD!$B$50:$F$54,4,0)," ")</f>
        <v>NA</v>
      </c>
      <c r="X531" s="162" t="s">
        <v>335</v>
      </c>
      <c r="Y531" s="163" t="str">
        <f>IFERROR(VLOOKUP(X531,TD!$J$51:$K$64,2,0)," ")</f>
        <v>N/A</v>
      </c>
      <c r="Z531" s="164" t="str">
        <f t="shared" si="32"/>
        <v>N/A-N/A</v>
      </c>
      <c r="AA531" s="162" t="s">
        <v>335</v>
      </c>
      <c r="AB531" s="163" t="str">
        <f>IFERROR(VLOOKUP(AA531,TD!$N$51:$O$66,2,0)," ")</f>
        <v>N/A</v>
      </c>
      <c r="AC531" s="164" t="str">
        <f t="shared" si="33"/>
        <v>N/A_N/A</v>
      </c>
      <c r="AD531" s="164" t="str">
        <f t="shared" si="34"/>
        <v>N/A-N/A N/A_N/A</v>
      </c>
      <c r="AE531" s="163" t="str">
        <f t="shared" si="35"/>
        <v>NANANAN/AN/A</v>
      </c>
      <c r="AF531" s="163" t="str">
        <f>IFERROR(VLOOKUP(AD531,TD!$J$66:$K$89,2,0)," ")</f>
        <v>N/A</v>
      </c>
      <c r="AG531" s="118" t="s">
        <v>332</v>
      </c>
      <c r="AH531" s="171" t="s">
        <v>193</v>
      </c>
      <c r="AI531" s="165" t="str">
        <f>CONCATENATE(PAA[[#This Row],[Id Interno]],"-",PAA[[#This Row],[tipo de Contrato (TH talento humano - B/S bienes y/o servicios)]],"-",S531,"-",T531,"-",PAA[[#This Row],[Objeto de la contratación]])</f>
        <v>20260524-BS-No a-l-Contratar la prestación del servicio de aseo y cafetería incluido insumos para la Unidad Administrativa Especial Cuerpo Oficial de Bomberos Bogotá -SGC</v>
      </c>
    </row>
    <row r="532" spans="2:35" ht="140" x14ac:dyDescent="0.35">
      <c r="B532" s="23">
        <v>20260525</v>
      </c>
      <c r="C532" s="99" t="s">
        <v>739</v>
      </c>
      <c r="D532" s="23" t="s">
        <v>88</v>
      </c>
      <c r="E532" s="23" t="s">
        <v>402</v>
      </c>
      <c r="F532" s="23" t="s">
        <v>111</v>
      </c>
      <c r="G532" s="129" t="s">
        <v>376</v>
      </c>
      <c r="H532" s="136">
        <v>8</v>
      </c>
      <c r="I532" s="161">
        <v>0</v>
      </c>
      <c r="J532" s="127">
        <v>85000000</v>
      </c>
      <c r="K532" s="88" t="s">
        <v>398</v>
      </c>
      <c r="L532" s="159" t="s">
        <v>155</v>
      </c>
      <c r="M532" s="162" t="s">
        <v>422</v>
      </c>
      <c r="N532" s="23" t="s">
        <v>330</v>
      </c>
      <c r="O532" s="150" t="s">
        <v>925</v>
      </c>
      <c r="P532" s="162" t="s">
        <v>161</v>
      </c>
      <c r="Q532" s="53" t="s">
        <v>769</v>
      </c>
      <c r="R532" s="162" t="s">
        <v>331</v>
      </c>
      <c r="S532" s="162" t="str">
        <f>MID(PAA[[#This Row],[Meta Proyecto de Inversión]],1,4)</f>
        <v>No a</v>
      </c>
      <c r="T532" s="162" t="str">
        <f>MID(PAA[[#This Row],[Meta Proyecto de Inversión]],6,1)</f>
        <v>l</v>
      </c>
      <c r="U532" s="163" t="str">
        <f>IFERROR(VLOOKUP(N532,TD!$B$50:$F$54,2,0)," ")</f>
        <v>NA</v>
      </c>
      <c r="V532" s="163" t="str">
        <f>IFERROR(VLOOKUP(N532,TD!$B$50:$F$54,3,0)," ")</f>
        <v>NA</v>
      </c>
      <c r="W532" s="163" t="str">
        <f>IFERROR(VLOOKUP(N532,TD!$B$50:$F$54,4,0)," ")</f>
        <v>NA</v>
      </c>
      <c r="X532" s="162" t="s">
        <v>335</v>
      </c>
      <c r="Y532" s="163" t="str">
        <f>IFERROR(VLOOKUP(X532,TD!$J$51:$K$64,2,0)," ")</f>
        <v>N/A</v>
      </c>
      <c r="Z532" s="164" t="str">
        <f t="shared" si="32"/>
        <v>N/A-N/A</v>
      </c>
      <c r="AA532" s="162" t="s">
        <v>335</v>
      </c>
      <c r="AB532" s="163" t="str">
        <f>IFERROR(VLOOKUP(AA532,TD!$N$51:$O$66,2,0)," ")</f>
        <v>N/A</v>
      </c>
      <c r="AC532" s="164" t="str">
        <f t="shared" si="33"/>
        <v>N/A_N/A</v>
      </c>
      <c r="AD532" s="164" t="str">
        <f t="shared" si="34"/>
        <v>N/A-N/A N/A_N/A</v>
      </c>
      <c r="AE532" s="163" t="str">
        <f t="shared" si="35"/>
        <v>NANANAN/AN/A</v>
      </c>
      <c r="AF532" s="163" t="str">
        <f>IFERROR(VLOOKUP(AD532,TD!$J$66:$K$89,2,0)," ")</f>
        <v>N/A</v>
      </c>
      <c r="AG532" s="118" t="s">
        <v>332</v>
      </c>
      <c r="AH532" s="171" t="s">
        <v>193</v>
      </c>
      <c r="AI532" s="165" t="str">
        <f>CONCATENATE(PAA[[#This Row],[Id Interno]],"-",PAA[[#This Row],[tipo de Contrato (TH talento humano - B/S bienes y/o servicios)]],"-",S532,"-",T532,"-",PAA[[#This Row],[Objeto de la contratación]])</f>
        <v>20260525-BS-No a-l-Suministro  de implementos  de  papelería y oficina para las dependencias  para la Unidad Administrativa Especial Cuerpo Oficial de Bomberos Bogotá -SGC</v>
      </c>
    </row>
    <row r="533" spans="2:35" ht="112" x14ac:dyDescent="0.35">
      <c r="B533" s="23">
        <v>20260526</v>
      </c>
      <c r="C533" s="99" t="s">
        <v>740</v>
      </c>
      <c r="D533" s="23" t="s">
        <v>88</v>
      </c>
      <c r="E533" s="23" t="s">
        <v>402</v>
      </c>
      <c r="F533" s="23" t="s">
        <v>111</v>
      </c>
      <c r="G533" s="129" t="s">
        <v>376</v>
      </c>
      <c r="H533" s="136">
        <v>8</v>
      </c>
      <c r="I533" s="161">
        <v>0</v>
      </c>
      <c r="J533" s="127">
        <v>205000000</v>
      </c>
      <c r="K533" s="88" t="s">
        <v>398</v>
      </c>
      <c r="L533" s="159" t="s">
        <v>155</v>
      </c>
      <c r="M533" s="162" t="s">
        <v>422</v>
      </c>
      <c r="N533" s="23" t="s">
        <v>330</v>
      </c>
      <c r="O533" s="150" t="s">
        <v>925</v>
      </c>
      <c r="P533" s="162" t="s">
        <v>161</v>
      </c>
      <c r="Q533" s="53" t="s">
        <v>770</v>
      </c>
      <c r="R533" s="162" t="s">
        <v>331</v>
      </c>
      <c r="S533" s="162" t="str">
        <f>MID(PAA[[#This Row],[Meta Proyecto de Inversión]],1,4)</f>
        <v>No a</v>
      </c>
      <c r="T533" s="162" t="str">
        <f>MID(PAA[[#This Row],[Meta Proyecto de Inversión]],6,1)</f>
        <v>l</v>
      </c>
      <c r="U533" s="163" t="str">
        <f>IFERROR(VLOOKUP(N533,TD!$B$50:$F$54,2,0)," ")</f>
        <v>NA</v>
      </c>
      <c r="V533" s="163" t="str">
        <f>IFERROR(VLOOKUP(N533,TD!$B$50:$F$54,3,0)," ")</f>
        <v>NA</v>
      </c>
      <c r="W533" s="163" t="str">
        <f>IFERROR(VLOOKUP(N533,TD!$B$50:$F$54,4,0)," ")</f>
        <v>NA</v>
      </c>
      <c r="X533" s="162" t="s">
        <v>335</v>
      </c>
      <c r="Y533" s="163" t="str">
        <f>IFERROR(VLOOKUP(X533,TD!$J$51:$K$64,2,0)," ")</f>
        <v>N/A</v>
      </c>
      <c r="Z533" s="164" t="str">
        <f t="shared" si="32"/>
        <v>N/A-N/A</v>
      </c>
      <c r="AA533" s="162" t="s">
        <v>335</v>
      </c>
      <c r="AB533" s="163" t="str">
        <f>IFERROR(VLOOKUP(AA533,TD!$N$51:$O$66,2,0)," ")</f>
        <v>N/A</v>
      </c>
      <c r="AC533" s="164" t="str">
        <f t="shared" si="33"/>
        <v>N/A_N/A</v>
      </c>
      <c r="AD533" s="164" t="str">
        <f t="shared" si="34"/>
        <v>N/A-N/A N/A_N/A</v>
      </c>
      <c r="AE533" s="163" t="str">
        <f t="shared" si="35"/>
        <v>NANANAN/AN/A</v>
      </c>
      <c r="AF533" s="163" t="str">
        <f>IFERROR(VLOOKUP(AD533,TD!$J$66:$K$89,2,0)," ")</f>
        <v>N/A</v>
      </c>
      <c r="AG533" s="118" t="s">
        <v>332</v>
      </c>
      <c r="AH533" s="171" t="s">
        <v>193</v>
      </c>
      <c r="AI533" s="165" t="str">
        <f>CONCATENATE(PAA[[#This Row],[Id Interno]],"-",PAA[[#This Row],[tipo de Contrato (TH talento humano - B/S bienes y/o servicios)]],"-",S533,"-",T533,"-",PAA[[#This Row],[Objeto de la contratación]])</f>
        <v>20260526-BS-No a-l-Suministro de insumos para las impresoras de las dependencias  para la Unidad Administrativa Especial Cuerpo Oficial de Bomberos Bogotá -SGC</v>
      </c>
    </row>
    <row r="534" spans="2:35" ht="56" x14ac:dyDescent="0.35">
      <c r="B534" s="23">
        <v>20260527</v>
      </c>
      <c r="C534" s="99" t="s">
        <v>657</v>
      </c>
      <c r="D534" s="23" t="s">
        <v>78</v>
      </c>
      <c r="E534" s="23" t="s">
        <v>402</v>
      </c>
      <c r="F534" s="23" t="s">
        <v>89</v>
      </c>
      <c r="G534" s="129" t="s">
        <v>373</v>
      </c>
      <c r="H534" s="136">
        <v>12</v>
      </c>
      <c r="I534" s="161">
        <v>0</v>
      </c>
      <c r="J534" s="127">
        <v>1000000000</v>
      </c>
      <c r="K534" s="88" t="s">
        <v>398</v>
      </c>
      <c r="L534" s="159" t="s">
        <v>155</v>
      </c>
      <c r="M534" s="162" t="s">
        <v>422</v>
      </c>
      <c r="N534" s="23" t="s">
        <v>330</v>
      </c>
      <c r="O534" s="150" t="s">
        <v>925</v>
      </c>
      <c r="P534" s="162" t="s">
        <v>161</v>
      </c>
      <c r="Q534" s="53" t="s">
        <v>750</v>
      </c>
      <c r="R534" s="162" t="s">
        <v>331</v>
      </c>
      <c r="S534" s="162" t="str">
        <f>MID(PAA[[#This Row],[Meta Proyecto de Inversión]],1,4)</f>
        <v>No a</v>
      </c>
      <c r="T534" s="162" t="str">
        <f>MID(PAA[[#This Row],[Meta Proyecto de Inversión]],6,1)</f>
        <v>l</v>
      </c>
      <c r="U534" s="163" t="str">
        <f>IFERROR(VLOOKUP(N534,TD!$B$50:$F$54,2,0)," ")</f>
        <v>NA</v>
      </c>
      <c r="V534" s="163" t="str">
        <f>IFERROR(VLOOKUP(N534,TD!$B$50:$F$54,3,0)," ")</f>
        <v>NA</v>
      </c>
      <c r="W534" s="163" t="str">
        <f>IFERROR(VLOOKUP(N534,TD!$B$50:$F$54,4,0)," ")</f>
        <v>NA</v>
      </c>
      <c r="X534" s="162" t="s">
        <v>335</v>
      </c>
      <c r="Y534" s="163" t="str">
        <f>IFERROR(VLOOKUP(X534,TD!$J$51:$K$64,2,0)," ")</f>
        <v>N/A</v>
      </c>
      <c r="Z534" s="164" t="str">
        <f t="shared" si="32"/>
        <v>N/A-N/A</v>
      </c>
      <c r="AA534" s="162" t="s">
        <v>335</v>
      </c>
      <c r="AB534" s="163" t="str">
        <f>IFERROR(VLOOKUP(AA534,TD!$N$51:$O$66,2,0)," ")</f>
        <v>N/A</v>
      </c>
      <c r="AC534" s="164" t="str">
        <f t="shared" si="33"/>
        <v>N/A_N/A</v>
      </c>
      <c r="AD534" s="164" t="str">
        <f t="shared" si="34"/>
        <v>N/A-N/A N/A_N/A</v>
      </c>
      <c r="AE534" s="163" t="str">
        <f t="shared" si="35"/>
        <v>NANANAN/AN/A</v>
      </c>
      <c r="AF534" s="163" t="str">
        <f>IFERROR(VLOOKUP(AD534,TD!$J$66:$K$89,2,0)," ")</f>
        <v>N/A</v>
      </c>
      <c r="AG534" s="118" t="s">
        <v>332</v>
      </c>
      <c r="AH534" s="171" t="s">
        <v>193</v>
      </c>
      <c r="AI534" s="165" t="str">
        <f>CONCATENATE(PAA[[#This Row],[Id Interno]],"-",PAA[[#This Row],[tipo de Contrato (TH talento humano - B/S bienes y/o servicios)]],"-",S534,"-",T534,"-",PAA[[#This Row],[Objeto de la contratación]])</f>
        <v>20260527-BS-No a-l-Prestar el servicio de vigilancia y seguridad privada en la modalidad de vigilancia fija, según especificaciones técnicas, en las instalaciones donde la UAE Especial Cuerpo Oficial de Bomberos requiera-SGC</v>
      </c>
    </row>
    <row r="535" spans="2:35" ht="28" x14ac:dyDescent="0.35">
      <c r="B535" s="23">
        <v>20260528</v>
      </c>
      <c r="C535" s="23" t="s">
        <v>741</v>
      </c>
      <c r="D535" s="23" t="s">
        <v>92</v>
      </c>
      <c r="E535" s="23" t="s">
        <v>402</v>
      </c>
      <c r="F535" s="23" t="s">
        <v>111</v>
      </c>
      <c r="G535" s="157" t="s">
        <v>375</v>
      </c>
      <c r="H535" s="136">
        <v>7</v>
      </c>
      <c r="I535" s="161">
        <v>0</v>
      </c>
      <c r="J535" s="127">
        <v>48900000</v>
      </c>
      <c r="K535" s="88" t="s">
        <v>398</v>
      </c>
      <c r="L535" s="159" t="s">
        <v>155</v>
      </c>
      <c r="M535" s="162" t="s">
        <v>422</v>
      </c>
      <c r="N535" s="23" t="s">
        <v>330</v>
      </c>
      <c r="O535" s="151" t="s">
        <v>925</v>
      </c>
      <c r="P535" s="162" t="s">
        <v>161</v>
      </c>
      <c r="Q535" s="53" t="s">
        <v>999</v>
      </c>
      <c r="R535" s="162" t="s">
        <v>331</v>
      </c>
      <c r="S535" s="162" t="str">
        <f>MID(PAA[[#This Row],[Meta Proyecto de Inversión]],1,4)</f>
        <v>No a</v>
      </c>
      <c r="T535" s="162" t="str">
        <f>MID(PAA[[#This Row],[Meta Proyecto de Inversión]],6,1)</f>
        <v>l</v>
      </c>
      <c r="U535" s="163" t="str">
        <f>IFERROR(VLOOKUP(N535,TD!$B$50:$F$54,2,0)," ")</f>
        <v>NA</v>
      </c>
      <c r="V535" s="163" t="str">
        <f>IFERROR(VLOOKUP(N535,TD!$B$50:$F$54,3,0)," ")</f>
        <v>NA</v>
      </c>
      <c r="W535" s="163" t="str">
        <f>IFERROR(VLOOKUP(N535,TD!$B$50:$F$54,4,0)," ")</f>
        <v>NA</v>
      </c>
      <c r="X535" s="162" t="s">
        <v>335</v>
      </c>
      <c r="Y535" s="163" t="str">
        <f>IFERROR(VLOOKUP(X535,TD!$J$51:$K$64,2,0)," ")</f>
        <v>N/A</v>
      </c>
      <c r="Z535" s="164" t="str">
        <f t="shared" si="32"/>
        <v>N/A-N/A</v>
      </c>
      <c r="AA535" s="162" t="s">
        <v>335</v>
      </c>
      <c r="AB535" s="163" t="str">
        <f>IFERROR(VLOOKUP(AA535,TD!$N$51:$O$66,2,0)," ")</f>
        <v>N/A</v>
      </c>
      <c r="AC535" s="164" t="str">
        <f t="shared" si="33"/>
        <v>N/A_N/A</v>
      </c>
      <c r="AD535" s="164" t="str">
        <f t="shared" si="34"/>
        <v>N/A-N/A N/A_N/A</v>
      </c>
      <c r="AE535" s="163" t="str">
        <f t="shared" si="35"/>
        <v>NANANAN/AN/A</v>
      </c>
      <c r="AF535" s="163" t="str">
        <f>IFERROR(VLOOKUP(AD535,TD!$J$66:$K$89,2,0)," ")</f>
        <v>N/A</v>
      </c>
      <c r="AG535" s="127" t="s">
        <v>332</v>
      </c>
      <c r="AH535" s="171" t="s">
        <v>193</v>
      </c>
      <c r="AI535" s="165" t="str">
        <f>CONCATENATE(PAA[[#This Row],[Id Interno]],"-",PAA[[#This Row],[tipo de Contrato (TH talento humano - B/S bienes y/o servicios)]],"-",S535,"-",T535,"-",PAA[[#This Row],[Objeto de la contratación]])</f>
        <v>20260528-BS-No a-l-Suministro de insumos para lavandería-SGC</v>
      </c>
    </row>
    <row r="536" spans="2:35" ht="28" x14ac:dyDescent="0.35">
      <c r="B536" s="23">
        <v>20260529</v>
      </c>
      <c r="C536" s="99" t="s">
        <v>742</v>
      </c>
      <c r="D536" s="23" t="s">
        <v>105</v>
      </c>
      <c r="E536" s="23" t="s">
        <v>402</v>
      </c>
      <c r="F536" s="23" t="s">
        <v>106</v>
      </c>
      <c r="G536" s="129" t="s">
        <v>373</v>
      </c>
      <c r="H536" s="136">
        <v>12</v>
      </c>
      <c r="I536" s="161">
        <v>0</v>
      </c>
      <c r="J536" s="127">
        <v>178000000</v>
      </c>
      <c r="K536" s="88" t="s">
        <v>398</v>
      </c>
      <c r="L536" s="159" t="s">
        <v>155</v>
      </c>
      <c r="M536" s="162" t="s">
        <v>422</v>
      </c>
      <c r="N536" s="23" t="s">
        <v>330</v>
      </c>
      <c r="O536" s="150" t="s">
        <v>925</v>
      </c>
      <c r="P536" s="162" t="s">
        <v>161</v>
      </c>
      <c r="Q536" s="53" t="s">
        <v>771</v>
      </c>
      <c r="R536" s="162" t="s">
        <v>331</v>
      </c>
      <c r="S536" s="162" t="str">
        <f>MID(PAA[[#This Row],[Meta Proyecto de Inversión]],1,4)</f>
        <v>No a</v>
      </c>
      <c r="T536" s="162" t="str">
        <f>MID(PAA[[#This Row],[Meta Proyecto de Inversión]],6,1)</f>
        <v>l</v>
      </c>
      <c r="U536" s="163" t="str">
        <f>IFERROR(VLOOKUP(N536,TD!$B$50:$F$54,2,0)," ")</f>
        <v>NA</v>
      </c>
      <c r="V536" s="163" t="str">
        <f>IFERROR(VLOOKUP(N536,TD!$B$50:$F$54,3,0)," ")</f>
        <v>NA</v>
      </c>
      <c r="W536" s="163" t="str">
        <f>IFERROR(VLOOKUP(N536,TD!$B$50:$F$54,4,0)," ")</f>
        <v>NA</v>
      </c>
      <c r="X536" s="162" t="s">
        <v>335</v>
      </c>
      <c r="Y536" s="163" t="str">
        <f>IFERROR(VLOOKUP(X536,TD!$J$51:$K$64,2,0)," ")</f>
        <v>N/A</v>
      </c>
      <c r="Z536" s="164" t="str">
        <f t="shared" si="32"/>
        <v>N/A-N/A</v>
      </c>
      <c r="AA536" s="162" t="s">
        <v>335</v>
      </c>
      <c r="AB536" s="163" t="str">
        <f>IFERROR(VLOOKUP(AA536,TD!$N$51:$O$66,2,0)," ")</f>
        <v>N/A</v>
      </c>
      <c r="AC536" s="164" t="str">
        <f t="shared" si="33"/>
        <v>N/A_N/A</v>
      </c>
      <c r="AD536" s="164" t="str">
        <f t="shared" si="34"/>
        <v>N/A-N/A N/A_N/A</v>
      </c>
      <c r="AE536" s="163" t="str">
        <f t="shared" si="35"/>
        <v>NANANAN/AN/A</v>
      </c>
      <c r="AF536" s="163" t="str">
        <f>IFERROR(VLOOKUP(AD536,TD!$J$66:$K$89,2,0)," ")</f>
        <v>N/A</v>
      </c>
      <c r="AG536" s="118" t="s">
        <v>332</v>
      </c>
      <c r="AH536" s="171" t="s">
        <v>193</v>
      </c>
      <c r="AI536" s="165" t="str">
        <f>CONCATENATE(PAA[[#This Row],[Id Interno]],"-",PAA[[#This Row],[tipo de Contrato (TH talento humano - B/S bienes y/o servicios)]],"-",S536,"-",T536,"-",PAA[[#This Row],[Objeto de la contratación]])</f>
        <v>20260529-BS-No a-l-Arrendamiento de instalaciones estación Ferias-SGC</v>
      </c>
    </row>
    <row r="537" spans="2:35" ht="42" x14ac:dyDescent="0.35">
      <c r="B537" s="23">
        <v>20260530</v>
      </c>
      <c r="C537" s="23" t="s">
        <v>743</v>
      </c>
      <c r="D537" s="23" t="s">
        <v>105</v>
      </c>
      <c r="E537" s="23" t="s">
        <v>402</v>
      </c>
      <c r="F537" s="23" t="s">
        <v>136</v>
      </c>
      <c r="G537" s="157" t="s">
        <v>377</v>
      </c>
      <c r="H537" s="136">
        <v>2</v>
      </c>
      <c r="I537" s="161">
        <v>0</v>
      </c>
      <c r="J537" s="127">
        <v>5241332</v>
      </c>
      <c r="K537" s="88" t="s">
        <v>398</v>
      </c>
      <c r="L537" s="159" t="s">
        <v>155</v>
      </c>
      <c r="M537" s="162" t="s">
        <v>422</v>
      </c>
      <c r="N537" s="23" t="s">
        <v>330</v>
      </c>
      <c r="O537" s="151" t="s">
        <v>925</v>
      </c>
      <c r="P537" s="162" t="s">
        <v>161</v>
      </c>
      <c r="Q537" s="53" t="s">
        <v>772</v>
      </c>
      <c r="R537" s="162" t="s">
        <v>331</v>
      </c>
      <c r="S537" s="162" t="str">
        <f>MID(PAA[[#This Row],[Meta Proyecto de Inversión]],1,4)</f>
        <v>No a</v>
      </c>
      <c r="T537" s="162" t="str">
        <f>MID(PAA[[#This Row],[Meta Proyecto de Inversión]],6,1)</f>
        <v>l</v>
      </c>
      <c r="U537" s="163" t="str">
        <f>IFERROR(VLOOKUP(N537,TD!$B$50:$F$54,2,0)," ")</f>
        <v>NA</v>
      </c>
      <c r="V537" s="163" t="str">
        <f>IFERROR(VLOOKUP(N537,TD!$B$50:$F$54,3,0)," ")</f>
        <v>NA</v>
      </c>
      <c r="W537" s="163" t="str">
        <f>IFERROR(VLOOKUP(N537,TD!$B$50:$F$54,4,0)," ")</f>
        <v>NA</v>
      </c>
      <c r="X537" s="162" t="s">
        <v>335</v>
      </c>
      <c r="Y537" s="163" t="str">
        <f>IFERROR(VLOOKUP(X537,TD!$J$51:$K$64,2,0)," ")</f>
        <v>N/A</v>
      </c>
      <c r="Z537" s="164" t="str">
        <f t="shared" si="32"/>
        <v>N/A-N/A</v>
      </c>
      <c r="AA537" s="162" t="s">
        <v>335</v>
      </c>
      <c r="AB537" s="163" t="str">
        <f>IFERROR(VLOOKUP(AA537,TD!$N$51:$O$66,2,0)," ")</f>
        <v>N/A</v>
      </c>
      <c r="AC537" s="164" t="str">
        <f t="shared" si="33"/>
        <v>N/A_N/A</v>
      </c>
      <c r="AD537" s="164" t="str">
        <f t="shared" si="34"/>
        <v>N/A-N/A N/A_N/A</v>
      </c>
      <c r="AE537" s="163" t="str">
        <f t="shared" si="35"/>
        <v>NANANAN/AN/A</v>
      </c>
      <c r="AF537" s="163" t="str">
        <f>IFERROR(VLOOKUP(AD537,TD!$J$66:$K$89,2,0)," ")</f>
        <v>N/A</v>
      </c>
      <c r="AG537" s="127" t="s">
        <v>332</v>
      </c>
      <c r="AH537" s="171" t="s">
        <v>194</v>
      </c>
      <c r="AI537" s="165" t="str">
        <f>CONCATENATE(PAA[[#This Row],[Id Interno]],"-",PAA[[#This Row],[tipo de Contrato (TH talento humano - B/S bienes y/o servicios)]],"-",S537,"-",T537,"-",PAA[[#This Row],[Objeto de la contratación]])</f>
        <v>20260530-BS-No a-l-Adición y prórroga No. 1 al contrato 491 de 2025 que tiene como objeto “Mantenimiento ascensor nueva Estación de Bomberos de Fontibón-SGC</v>
      </c>
    </row>
    <row r="538" spans="2:35" ht="42" x14ac:dyDescent="0.35">
      <c r="B538" s="23">
        <v>20260531</v>
      </c>
      <c r="C538" s="23" t="s">
        <v>744</v>
      </c>
      <c r="D538" s="23" t="s">
        <v>105</v>
      </c>
      <c r="E538" s="23" t="s">
        <v>402</v>
      </c>
      <c r="F538" s="23" t="s">
        <v>136</v>
      </c>
      <c r="G538" s="157" t="s">
        <v>380</v>
      </c>
      <c r="H538" s="136">
        <v>6</v>
      </c>
      <c r="I538" s="161">
        <v>0</v>
      </c>
      <c r="J538" s="127">
        <v>8658668</v>
      </c>
      <c r="K538" s="88" t="s">
        <v>398</v>
      </c>
      <c r="L538" s="159" t="s">
        <v>155</v>
      </c>
      <c r="M538" s="162" t="s">
        <v>422</v>
      </c>
      <c r="N538" s="23" t="s">
        <v>330</v>
      </c>
      <c r="O538" s="151" t="s">
        <v>925</v>
      </c>
      <c r="P538" s="162" t="s">
        <v>161</v>
      </c>
      <c r="Q538" s="53" t="s">
        <v>772</v>
      </c>
      <c r="R538" s="162" t="s">
        <v>331</v>
      </c>
      <c r="S538" s="162" t="str">
        <f>MID(PAA[[#This Row],[Meta Proyecto de Inversión]],1,4)</f>
        <v>No a</v>
      </c>
      <c r="T538" s="162" t="str">
        <f>MID(PAA[[#This Row],[Meta Proyecto de Inversión]],6,1)</f>
        <v>l</v>
      </c>
      <c r="U538" s="163" t="str">
        <f>IFERROR(VLOOKUP(N538,TD!$B$50:$F$54,2,0)," ")</f>
        <v>NA</v>
      </c>
      <c r="V538" s="163" t="str">
        <f>IFERROR(VLOOKUP(N538,TD!$B$50:$F$54,3,0)," ")</f>
        <v>NA</v>
      </c>
      <c r="W538" s="163" t="str">
        <f>IFERROR(VLOOKUP(N538,TD!$B$50:$F$54,4,0)," ")</f>
        <v>NA</v>
      </c>
      <c r="X538" s="162" t="s">
        <v>335</v>
      </c>
      <c r="Y538" s="163" t="str">
        <f>IFERROR(VLOOKUP(X538,TD!$J$51:$K$64,2,0)," ")</f>
        <v>N/A</v>
      </c>
      <c r="Z538" s="164" t="str">
        <f t="shared" si="32"/>
        <v>N/A-N/A</v>
      </c>
      <c r="AA538" s="162" t="s">
        <v>335</v>
      </c>
      <c r="AB538" s="163" t="str">
        <f>IFERROR(VLOOKUP(AA538,TD!$N$51:$O$66,2,0)," ")</f>
        <v>N/A</v>
      </c>
      <c r="AC538" s="164" t="str">
        <f t="shared" si="33"/>
        <v>N/A_N/A</v>
      </c>
      <c r="AD538" s="164" t="str">
        <f t="shared" si="34"/>
        <v>N/A-N/A N/A_N/A</v>
      </c>
      <c r="AE538" s="163" t="str">
        <f t="shared" si="35"/>
        <v>NANANAN/AN/A</v>
      </c>
      <c r="AF538" s="163" t="str">
        <f>IFERROR(VLOOKUP(AD538,TD!$J$66:$K$89,2,0)," ")</f>
        <v>N/A</v>
      </c>
      <c r="AG538" s="127" t="s">
        <v>332</v>
      </c>
      <c r="AH538" s="171" t="s">
        <v>193</v>
      </c>
      <c r="AI538" s="165" t="str">
        <f>CONCATENATE(PAA[[#This Row],[Id Interno]],"-",PAA[[#This Row],[tipo de Contrato (TH talento humano - B/S bienes y/o servicios)]],"-",S538,"-",T538,"-",PAA[[#This Row],[Objeto de la contratación]])</f>
        <v>20260531-BS-No a-l-Mantenimiento correctivo y preventivo con suministro de repuestos para el ascensor estación de bomberos Fontibón B6 -SGC</v>
      </c>
    </row>
    <row r="539" spans="2:35" ht="42" x14ac:dyDescent="0.35">
      <c r="B539" s="99">
        <v>20260532</v>
      </c>
      <c r="C539" s="99" t="s">
        <v>1029</v>
      </c>
      <c r="D539" s="99" t="s">
        <v>105</v>
      </c>
      <c r="E539" s="99" t="s">
        <v>402</v>
      </c>
      <c r="F539" s="99" t="s">
        <v>136</v>
      </c>
      <c r="G539" s="129" t="s">
        <v>376</v>
      </c>
      <c r="H539" s="180">
        <v>2</v>
      </c>
      <c r="I539" s="166">
        <v>0</v>
      </c>
      <c r="J539" s="118">
        <v>10250000</v>
      </c>
      <c r="K539" s="126" t="s">
        <v>398</v>
      </c>
      <c r="L539" s="160" t="s">
        <v>155</v>
      </c>
      <c r="M539" s="167" t="s">
        <v>422</v>
      </c>
      <c r="N539" s="99" t="s">
        <v>330</v>
      </c>
      <c r="O539" s="150" t="s">
        <v>925</v>
      </c>
      <c r="P539" s="167" t="s">
        <v>161</v>
      </c>
      <c r="Q539" s="128" t="s">
        <v>772</v>
      </c>
      <c r="R539" s="167" t="s">
        <v>331</v>
      </c>
      <c r="S539" s="162" t="str">
        <f>MID(PAA[[#This Row],[Meta Proyecto de Inversión]],1,4)</f>
        <v>No a</v>
      </c>
      <c r="T539" s="162" t="str">
        <f>MID(PAA[[#This Row],[Meta Proyecto de Inversión]],6,1)</f>
        <v>l</v>
      </c>
      <c r="U539" s="168" t="str">
        <f>IFERROR(VLOOKUP(N539,TD!$B$50:$F$54,2,0)," ")</f>
        <v>NA</v>
      </c>
      <c r="V539" s="168" t="str">
        <f>IFERROR(VLOOKUP(N539,TD!$B$50:$F$54,3,0)," ")</f>
        <v>NA</v>
      </c>
      <c r="W539" s="168" t="str">
        <f>IFERROR(VLOOKUP(N539,TD!$B$50:$F$54,4,0)," ")</f>
        <v>NA</v>
      </c>
      <c r="X539" s="167" t="s">
        <v>335</v>
      </c>
      <c r="Y539" s="168" t="str">
        <f>IFERROR(VLOOKUP(X539,TD!$J$51:$K$64,2,0)," ")</f>
        <v>N/A</v>
      </c>
      <c r="Z539" s="164" t="str">
        <f t="shared" si="32"/>
        <v>N/A-N/A</v>
      </c>
      <c r="AA539" s="167" t="s">
        <v>335</v>
      </c>
      <c r="AB539" s="168" t="str">
        <f>IFERROR(VLOOKUP(AA539,TD!$N$51:$O$66,2,0)," ")</f>
        <v>N/A</v>
      </c>
      <c r="AC539" s="164" t="str">
        <f t="shared" si="33"/>
        <v>N/A_N/A</v>
      </c>
      <c r="AD539" s="164" t="str">
        <f t="shared" si="34"/>
        <v>N/A-N/A N/A_N/A</v>
      </c>
      <c r="AE539" s="168" t="str">
        <f t="shared" si="35"/>
        <v>NANANAN/AN/A</v>
      </c>
      <c r="AF539" s="168" t="str">
        <f>IFERROR(VLOOKUP(AD539,TD!$J$66:$K$89,2,0)," ")</f>
        <v>N/A</v>
      </c>
      <c r="AG539" s="118" t="s">
        <v>332</v>
      </c>
      <c r="AH539" s="181" t="s">
        <v>194</v>
      </c>
      <c r="AI539" s="169" t="str">
        <f>CONCATENATE(PAA[[#This Row],[Id Interno]],"-",PAA[[#This Row],[tipo de Contrato (TH talento humano - B/S bienes y/o servicios)]],"-",S539,"-",T539,"-",PAA[[#This Row],[Objeto de la contratación]])</f>
        <v>20260532-BS-No a-l-Adición No. 1 al contrato 586 de 2025 que tiene como objeto “Mantenimiento correctivo y preventivo con suministro de repuestos para los ascensores edificio comando-SGC</v>
      </c>
    </row>
    <row r="540" spans="2:35" ht="28" x14ac:dyDescent="0.35">
      <c r="B540" s="99">
        <v>20260533</v>
      </c>
      <c r="C540" s="99" t="s">
        <v>745</v>
      </c>
      <c r="D540" s="99" t="s">
        <v>105</v>
      </c>
      <c r="E540" s="99" t="s">
        <v>402</v>
      </c>
      <c r="F540" s="99" t="s">
        <v>136</v>
      </c>
      <c r="G540" s="129" t="s">
        <v>380</v>
      </c>
      <c r="H540" s="180">
        <v>7</v>
      </c>
      <c r="I540" s="166">
        <v>0</v>
      </c>
      <c r="J540" s="118">
        <v>22050000</v>
      </c>
      <c r="K540" s="126" t="s">
        <v>398</v>
      </c>
      <c r="L540" s="160" t="s">
        <v>155</v>
      </c>
      <c r="M540" s="167" t="s">
        <v>422</v>
      </c>
      <c r="N540" s="99" t="s">
        <v>330</v>
      </c>
      <c r="O540" s="150" t="s">
        <v>925</v>
      </c>
      <c r="P540" s="167" t="s">
        <v>161</v>
      </c>
      <c r="Q540" s="128" t="s">
        <v>772</v>
      </c>
      <c r="R540" s="167" t="s">
        <v>331</v>
      </c>
      <c r="S540" s="162" t="str">
        <f>MID(PAA[[#This Row],[Meta Proyecto de Inversión]],1,4)</f>
        <v>No a</v>
      </c>
      <c r="T540" s="162" t="str">
        <f>MID(PAA[[#This Row],[Meta Proyecto de Inversión]],6,1)</f>
        <v>l</v>
      </c>
      <c r="U540" s="168" t="str">
        <f>IFERROR(VLOOKUP(N540,TD!$B$50:$F$54,2,0)," ")</f>
        <v>NA</v>
      </c>
      <c r="V540" s="168" t="str">
        <f>IFERROR(VLOOKUP(N540,TD!$B$50:$F$54,3,0)," ")</f>
        <v>NA</v>
      </c>
      <c r="W540" s="168" t="str">
        <f>IFERROR(VLOOKUP(N540,TD!$B$50:$F$54,4,0)," ")</f>
        <v>NA</v>
      </c>
      <c r="X540" s="167" t="s">
        <v>335</v>
      </c>
      <c r="Y540" s="168" t="str">
        <f>IFERROR(VLOOKUP(X540,TD!$J$51:$K$64,2,0)," ")</f>
        <v>N/A</v>
      </c>
      <c r="Z540" s="164" t="str">
        <f t="shared" si="32"/>
        <v>N/A-N/A</v>
      </c>
      <c r="AA540" s="167" t="s">
        <v>335</v>
      </c>
      <c r="AB540" s="168" t="str">
        <f>IFERROR(VLOOKUP(AA540,TD!$N$51:$O$66,2,0)," ")</f>
        <v>N/A</v>
      </c>
      <c r="AC540" s="164" t="str">
        <f t="shared" si="33"/>
        <v>N/A_N/A</v>
      </c>
      <c r="AD540" s="164" t="str">
        <f t="shared" si="34"/>
        <v>N/A-N/A N/A_N/A</v>
      </c>
      <c r="AE540" s="168" t="str">
        <f t="shared" si="35"/>
        <v>NANANAN/AN/A</v>
      </c>
      <c r="AF540" s="168" t="str">
        <f>IFERROR(VLOOKUP(AD540,TD!$J$66:$K$89,2,0)," ")</f>
        <v>N/A</v>
      </c>
      <c r="AG540" s="118" t="s">
        <v>332</v>
      </c>
      <c r="AH540" s="181" t="s">
        <v>193</v>
      </c>
      <c r="AI540" s="169" t="str">
        <f>CONCATENATE(PAA[[#This Row],[Id Interno]],"-",PAA[[#This Row],[tipo de Contrato (TH talento humano - B/S bienes y/o servicios)]],"-",S540,"-",T540,"-",PAA[[#This Row],[Objeto de la contratación]])</f>
        <v>20260533-BS-No a-l-Mantenimiento correctivo y preventivo con suministro de repuestos para los ascensores edificio comando-SGC</v>
      </c>
    </row>
    <row r="541" spans="2:35" ht="56" x14ac:dyDescent="0.35">
      <c r="B541" s="23">
        <v>20260534</v>
      </c>
      <c r="C541" s="23" t="s">
        <v>746</v>
      </c>
      <c r="D541" s="23" t="s">
        <v>105</v>
      </c>
      <c r="E541" s="23" t="s">
        <v>402</v>
      </c>
      <c r="F541" s="23" t="s">
        <v>136</v>
      </c>
      <c r="G541" s="157" t="s">
        <v>376</v>
      </c>
      <c r="H541" s="136">
        <v>2</v>
      </c>
      <c r="I541" s="161">
        <v>0</v>
      </c>
      <c r="J541" s="127">
        <v>3798370</v>
      </c>
      <c r="K541" s="88" t="s">
        <v>398</v>
      </c>
      <c r="L541" s="159" t="s">
        <v>155</v>
      </c>
      <c r="M541" s="162" t="s">
        <v>422</v>
      </c>
      <c r="N541" s="23" t="s">
        <v>330</v>
      </c>
      <c r="O541" s="151" t="s">
        <v>925</v>
      </c>
      <c r="P541" s="162" t="s">
        <v>161</v>
      </c>
      <c r="Q541" s="53" t="s">
        <v>772</v>
      </c>
      <c r="R541" s="162" t="s">
        <v>331</v>
      </c>
      <c r="S541" s="162" t="str">
        <f>MID(PAA[[#This Row],[Meta Proyecto de Inversión]],1,4)</f>
        <v>No a</v>
      </c>
      <c r="T541" s="162" t="str">
        <f>MID(PAA[[#This Row],[Meta Proyecto de Inversión]],6,1)</f>
        <v>l</v>
      </c>
      <c r="U541" s="163" t="str">
        <f>IFERROR(VLOOKUP(N541,TD!$B$50:$F$54,2,0)," ")</f>
        <v>NA</v>
      </c>
      <c r="V541" s="163" t="str">
        <f>IFERROR(VLOOKUP(N541,TD!$B$50:$F$54,3,0)," ")</f>
        <v>NA</v>
      </c>
      <c r="W541" s="163" t="str">
        <f>IFERROR(VLOOKUP(N541,TD!$B$50:$F$54,4,0)," ")</f>
        <v>NA</v>
      </c>
      <c r="X541" s="162" t="s">
        <v>335</v>
      </c>
      <c r="Y541" s="163" t="str">
        <f>IFERROR(VLOOKUP(X541,TD!$J$51:$K$64,2,0)," ")</f>
        <v>N/A</v>
      </c>
      <c r="Z541" s="164" t="str">
        <f t="shared" si="32"/>
        <v>N/A-N/A</v>
      </c>
      <c r="AA541" s="162" t="s">
        <v>335</v>
      </c>
      <c r="AB541" s="163" t="str">
        <f>IFERROR(VLOOKUP(AA541,TD!$N$51:$O$66,2,0)," ")</f>
        <v>N/A</v>
      </c>
      <c r="AC541" s="164" t="str">
        <f t="shared" si="33"/>
        <v>N/A_N/A</v>
      </c>
      <c r="AD541" s="164" t="str">
        <f t="shared" si="34"/>
        <v>N/A-N/A N/A_N/A</v>
      </c>
      <c r="AE541" s="163" t="str">
        <f t="shared" si="35"/>
        <v>NANANAN/AN/A</v>
      </c>
      <c r="AF541" s="163" t="str">
        <f>IFERROR(VLOOKUP(AD541,TD!$J$66:$K$89,2,0)," ")</f>
        <v>N/A</v>
      </c>
      <c r="AG541" s="127" t="s">
        <v>332</v>
      </c>
      <c r="AH541" s="171" t="s">
        <v>194</v>
      </c>
      <c r="AI541" s="165" t="str">
        <f>CONCATENATE(PAA[[#This Row],[Id Interno]],"-",PAA[[#This Row],[tipo de Contrato (TH talento humano - B/S bienes y/o servicios)]],"-",S541,"-",T541,"-",PAA[[#This Row],[Objeto de la contratación]])</f>
        <v>20260534-BS-No a-l-Adición y prórroga No. 1 al contrato 638 de 2025 que tiene como objeto “Mantenimiento correctivo y preventivo con suministro de repuestos ascensor estación de bomberos Bellavista B-9 - SGC</v>
      </c>
    </row>
    <row r="542" spans="2:35" ht="42" x14ac:dyDescent="0.35">
      <c r="B542" s="23">
        <v>20260535</v>
      </c>
      <c r="C542" s="23" t="s">
        <v>747</v>
      </c>
      <c r="D542" s="23" t="s">
        <v>105</v>
      </c>
      <c r="E542" s="23" t="s">
        <v>402</v>
      </c>
      <c r="F542" s="23" t="s">
        <v>136</v>
      </c>
      <c r="G542" s="157" t="s">
        <v>380</v>
      </c>
      <c r="H542" s="136">
        <v>7</v>
      </c>
      <c r="I542" s="161">
        <v>0</v>
      </c>
      <c r="J542" s="127">
        <v>10001630</v>
      </c>
      <c r="K542" s="88" t="s">
        <v>398</v>
      </c>
      <c r="L542" s="159" t="s">
        <v>155</v>
      </c>
      <c r="M542" s="162" t="s">
        <v>422</v>
      </c>
      <c r="N542" s="23" t="s">
        <v>330</v>
      </c>
      <c r="O542" s="151" t="s">
        <v>925</v>
      </c>
      <c r="P542" s="162" t="s">
        <v>161</v>
      </c>
      <c r="Q542" s="53" t="s">
        <v>772</v>
      </c>
      <c r="R542" s="162" t="s">
        <v>331</v>
      </c>
      <c r="S542" s="162" t="str">
        <f>MID(PAA[[#This Row],[Meta Proyecto de Inversión]],1,4)</f>
        <v>No a</v>
      </c>
      <c r="T542" s="162" t="str">
        <f>MID(PAA[[#This Row],[Meta Proyecto de Inversión]],6,1)</f>
        <v>l</v>
      </c>
      <c r="U542" s="163" t="str">
        <f>IFERROR(VLOOKUP(N542,TD!$B$50:$F$54,2,0)," ")</f>
        <v>NA</v>
      </c>
      <c r="V542" s="163" t="str">
        <f>IFERROR(VLOOKUP(N542,TD!$B$50:$F$54,3,0)," ")</f>
        <v>NA</v>
      </c>
      <c r="W542" s="163" t="str">
        <f>IFERROR(VLOOKUP(N542,TD!$B$50:$F$54,4,0)," ")</f>
        <v>NA</v>
      </c>
      <c r="X542" s="162" t="s">
        <v>335</v>
      </c>
      <c r="Y542" s="163" t="str">
        <f>IFERROR(VLOOKUP(X542,TD!$J$51:$K$64,2,0)," ")</f>
        <v>N/A</v>
      </c>
      <c r="Z542" s="164" t="str">
        <f t="shared" si="32"/>
        <v>N/A-N/A</v>
      </c>
      <c r="AA542" s="162" t="s">
        <v>335</v>
      </c>
      <c r="AB542" s="163" t="str">
        <f>IFERROR(VLOOKUP(AA542,TD!$N$51:$O$66,2,0)," ")</f>
        <v>N/A</v>
      </c>
      <c r="AC542" s="164" t="str">
        <f t="shared" si="33"/>
        <v>N/A_N/A</v>
      </c>
      <c r="AD542" s="164" t="str">
        <f t="shared" si="34"/>
        <v>N/A-N/A N/A_N/A</v>
      </c>
      <c r="AE542" s="163" t="str">
        <f t="shared" si="35"/>
        <v>NANANAN/AN/A</v>
      </c>
      <c r="AF542" s="163" t="str">
        <f>IFERROR(VLOOKUP(AD542,TD!$J$66:$K$89,2,0)," ")</f>
        <v>N/A</v>
      </c>
      <c r="AG542" s="127" t="s">
        <v>332</v>
      </c>
      <c r="AH542" s="171" t="s">
        <v>193</v>
      </c>
      <c r="AI542" s="165" t="str">
        <f>CONCATENATE(PAA[[#This Row],[Id Interno]],"-",PAA[[#This Row],[tipo de Contrato (TH talento humano - B/S bienes y/o servicios)]],"-",S542,"-",T542,"-",PAA[[#This Row],[Objeto de la contratación]])</f>
        <v>20260535-BS-No a-l-Mantenimiento correctivo y preventivo con suministro de repuestos ascensor estación de bomberos Bellavista B-9 - SGC</v>
      </c>
    </row>
    <row r="543" spans="2:35" ht="140" x14ac:dyDescent="0.35">
      <c r="B543" s="23">
        <v>20260537</v>
      </c>
      <c r="C543" s="99" t="s">
        <v>748</v>
      </c>
      <c r="D543" s="23" t="s">
        <v>78</v>
      </c>
      <c r="E543" s="23" t="s">
        <v>402</v>
      </c>
      <c r="F543" s="23" t="s">
        <v>133</v>
      </c>
      <c r="G543" s="129" t="s">
        <v>376</v>
      </c>
      <c r="H543" s="136">
        <v>12</v>
      </c>
      <c r="I543" s="161">
        <v>0</v>
      </c>
      <c r="J543" s="127">
        <v>6415727800</v>
      </c>
      <c r="K543" s="88" t="s">
        <v>398</v>
      </c>
      <c r="L543" s="159" t="s">
        <v>155</v>
      </c>
      <c r="M543" s="162" t="s">
        <v>422</v>
      </c>
      <c r="N543" s="23" t="s">
        <v>330</v>
      </c>
      <c r="O543" s="150" t="s">
        <v>925</v>
      </c>
      <c r="P543" s="162" t="s">
        <v>161</v>
      </c>
      <c r="Q543" s="53" t="s">
        <v>773</v>
      </c>
      <c r="R543" s="162" t="s">
        <v>331</v>
      </c>
      <c r="S543" s="162" t="str">
        <f>MID(PAA[[#This Row],[Meta Proyecto de Inversión]],1,4)</f>
        <v>No a</v>
      </c>
      <c r="T543" s="162" t="str">
        <f>MID(PAA[[#This Row],[Meta Proyecto de Inversión]],6,1)</f>
        <v>l</v>
      </c>
      <c r="U543" s="163" t="str">
        <f>IFERROR(VLOOKUP(N543,TD!$B$50:$F$54,2,0)," ")</f>
        <v>NA</v>
      </c>
      <c r="V543" s="163" t="str">
        <f>IFERROR(VLOOKUP(N543,TD!$B$50:$F$54,3,0)," ")</f>
        <v>NA</v>
      </c>
      <c r="W543" s="163" t="str">
        <f>IFERROR(VLOOKUP(N543,TD!$B$50:$F$54,4,0)," ")</f>
        <v>NA</v>
      </c>
      <c r="X543" s="162" t="s">
        <v>335</v>
      </c>
      <c r="Y543" s="163" t="str">
        <f>IFERROR(VLOOKUP(X543,TD!$J$51:$K$64,2,0)," ")</f>
        <v>N/A</v>
      </c>
      <c r="Z543" s="164" t="str">
        <f t="shared" si="32"/>
        <v>N/A-N/A</v>
      </c>
      <c r="AA543" s="162" t="s">
        <v>335</v>
      </c>
      <c r="AB543" s="163" t="str">
        <f>IFERROR(VLOOKUP(AA543,TD!$N$51:$O$66,2,0)," ")</f>
        <v>N/A</v>
      </c>
      <c r="AC543" s="164" t="str">
        <f t="shared" si="33"/>
        <v>N/A_N/A</v>
      </c>
      <c r="AD543" s="164" t="str">
        <f t="shared" si="34"/>
        <v>N/A-N/A N/A_N/A</v>
      </c>
      <c r="AE543" s="163" t="str">
        <f t="shared" si="35"/>
        <v>NANANAN/AN/A</v>
      </c>
      <c r="AF543" s="163" t="str">
        <f>IFERROR(VLOOKUP(AD543,TD!$J$66:$K$89,2,0)," ")</f>
        <v>N/A</v>
      </c>
      <c r="AG543" s="118" t="s">
        <v>332</v>
      </c>
      <c r="AH543" s="171" t="s">
        <v>193</v>
      </c>
      <c r="AI543" s="165" t="str">
        <f>CONCATENATE(PAA[[#This Row],[Id Interno]],"-",PAA[[#This Row],[tipo de Contrato (TH talento humano - B/S bienes y/o servicios)]],"-",S543,"-",T543,"-",PAA[[#This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44" spans="2:35" ht="70" x14ac:dyDescent="0.35">
      <c r="B544" s="23">
        <v>20260538</v>
      </c>
      <c r="C544" s="99" t="s">
        <v>678</v>
      </c>
      <c r="D544" s="23" t="s">
        <v>105</v>
      </c>
      <c r="E544" s="23" t="s">
        <v>363</v>
      </c>
      <c r="F544" s="23" t="s">
        <v>144</v>
      </c>
      <c r="G544" s="129" t="s">
        <v>373</v>
      </c>
      <c r="H544" s="136">
        <v>11</v>
      </c>
      <c r="I544" s="161">
        <v>0</v>
      </c>
      <c r="J544" s="127">
        <v>56772000</v>
      </c>
      <c r="K544" s="88" t="s">
        <v>398</v>
      </c>
      <c r="L544" s="159" t="s">
        <v>155</v>
      </c>
      <c r="M544" s="162" t="s">
        <v>422</v>
      </c>
      <c r="N544" s="23" t="s">
        <v>197</v>
      </c>
      <c r="O544" s="150" t="s">
        <v>925</v>
      </c>
      <c r="P544" s="162" t="s">
        <v>348</v>
      </c>
      <c r="Q544" s="53" t="s">
        <v>753</v>
      </c>
      <c r="R544" s="162" t="s">
        <v>208</v>
      </c>
      <c r="S544" s="162" t="str">
        <f>MID(PAA[[#This Row],[Meta Proyecto de Inversión]],1,4)</f>
        <v>8126</v>
      </c>
      <c r="T544" s="162" t="str">
        <f>MID(PAA[[#This Row],[Meta Proyecto de Inversión]],6,1)</f>
        <v>9</v>
      </c>
      <c r="U544" s="163" t="str">
        <f>IFERROR(VLOOKUP(N544,TD!$B$50:$F$54,2,0)," ")</f>
        <v>O230117</v>
      </c>
      <c r="V544" s="163" t="str">
        <f>IFERROR(VLOOKUP(N544,TD!$B$50:$F$54,3,0)," ")</f>
        <v>4599</v>
      </c>
      <c r="W544" s="163">
        <f>IFERROR(VLOOKUP(N544,TD!$B$50:$F$54,4,0)," ")</f>
        <v>20240207</v>
      </c>
      <c r="X544" s="162" t="s">
        <v>174</v>
      </c>
      <c r="Y544" s="163" t="str">
        <f>IFERROR(VLOOKUP(X544,TD!$J$51:$K$64,2,0)," ")</f>
        <v>Infraestructura física, mantenimiento y dotación (Sedes construidas, mantenidas reforzadas)</v>
      </c>
      <c r="Z544" s="164" t="str">
        <f t="shared" si="32"/>
        <v>08-Infraestructura física, mantenimiento y dotación (Sedes construidas, mantenidas reforzadas)</v>
      </c>
      <c r="AA544" s="162" t="s">
        <v>227</v>
      </c>
      <c r="AB544" s="163" t="str">
        <f>IFERROR(VLOOKUP(AA544,TD!$N$51:$O$66,2,0)," ")</f>
        <v>Sedes mantenidas</v>
      </c>
      <c r="AC544" s="164" t="str">
        <f t="shared" si="33"/>
        <v>016_Sedes mantenidas</v>
      </c>
      <c r="AD544" s="164" t="str">
        <f t="shared" si="34"/>
        <v>08-Infraestructura física, mantenimiento y dotación (Sedes construidas, mantenidas reforzadas) 016_Sedes mantenidas</v>
      </c>
      <c r="AE544" s="163" t="str">
        <f t="shared" si="35"/>
        <v>O23011745992024020708016</v>
      </c>
      <c r="AF544" s="163" t="str">
        <f>IFERROR(VLOOKUP(AD544,TD!$J$66:$K$89,2,0)," ")</f>
        <v>PM/0131/0108/45990160207</v>
      </c>
      <c r="AG544" s="118" t="s">
        <v>385</v>
      </c>
      <c r="AH544" s="171" t="s">
        <v>193</v>
      </c>
      <c r="AI544" s="165" t="str">
        <f>CONCATENATE(PAA[[#This Row],[Id Interno]],"-",PAA[[#This Row],[tipo de Contrato (TH talento humano - B/S bienes y/o servicios)]],"-",S544,"-",T544,"-",PAA[[#This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45" spans="2:35" ht="56" x14ac:dyDescent="0.35">
      <c r="B545" s="99">
        <v>20260539</v>
      </c>
      <c r="C545" s="99" t="s">
        <v>749</v>
      </c>
      <c r="D545" s="99" t="s">
        <v>92</v>
      </c>
      <c r="E545" s="99" t="s">
        <v>402</v>
      </c>
      <c r="F545" s="99" t="s">
        <v>101</v>
      </c>
      <c r="G545" s="129" t="s">
        <v>375</v>
      </c>
      <c r="H545" s="180">
        <v>3</v>
      </c>
      <c r="I545" s="166">
        <v>0</v>
      </c>
      <c r="J545" s="118">
        <v>40000000</v>
      </c>
      <c r="K545" s="126" t="s">
        <v>398</v>
      </c>
      <c r="L545" s="160" t="s">
        <v>155</v>
      </c>
      <c r="M545" s="167" t="s">
        <v>422</v>
      </c>
      <c r="N545" s="99" t="s">
        <v>198</v>
      </c>
      <c r="O545" s="150" t="s">
        <v>926</v>
      </c>
      <c r="P545" s="167" t="s">
        <v>348</v>
      </c>
      <c r="Q545" s="128" t="s">
        <v>774</v>
      </c>
      <c r="R545" s="167" t="s">
        <v>351</v>
      </c>
      <c r="S545" s="162" t="str">
        <f>MID(PAA[[#This Row],[Meta Proyecto de Inversión]],1,4)</f>
        <v>8173</v>
      </c>
      <c r="T545" s="162" t="str">
        <f>MID(PAA[[#This Row],[Meta Proyecto de Inversión]],6,1)</f>
        <v>1</v>
      </c>
      <c r="U545" s="168" t="str">
        <f>IFERROR(VLOOKUP(N545,TD!$B$50:$F$54,2,0)," ")</f>
        <v>O230117</v>
      </c>
      <c r="V545" s="168" t="str">
        <f>IFERROR(VLOOKUP(N545,TD!$B$50:$F$54,3,0)," ")</f>
        <v>4503</v>
      </c>
      <c r="W545" s="168">
        <f>IFERROR(VLOOKUP(N545,TD!$B$50:$F$54,4,0)," ")</f>
        <v>20240255</v>
      </c>
      <c r="X545" s="167">
        <v>14</v>
      </c>
      <c r="Y545" s="168" t="str">
        <f>IFERROR(VLOOKUP(X545,TD!$J$51:$K$64,2,0)," ")</f>
        <v xml:space="preserve">Infraestructura física misional construida mantenida y dotada </v>
      </c>
      <c r="Z545" s="164" t="str">
        <f t="shared" si="32"/>
        <v xml:space="preserve">14-Infraestructura física misional construida mantenida y dotada </v>
      </c>
      <c r="AA545" s="167" t="s">
        <v>225</v>
      </c>
      <c r="AB545" s="168" t="str">
        <f>IFERROR(VLOOKUP(AA545,TD!$N$51:$O$66,2,0)," ")</f>
        <v>Estaciones de bomberos adecuadas</v>
      </c>
      <c r="AC545" s="164" t="str">
        <f t="shared" si="33"/>
        <v>014_Estaciones de bomberos adecuadas</v>
      </c>
      <c r="AD545" s="164" t="str">
        <f t="shared" si="34"/>
        <v>14-Infraestructura física misional construida mantenida y dotada  014_Estaciones de bomberos adecuadas</v>
      </c>
      <c r="AE545" s="168" t="str">
        <f t="shared" si="35"/>
        <v>O23011745032024025514014</v>
      </c>
      <c r="AF545" s="168" t="str">
        <f>IFERROR(VLOOKUP(AD545,TD!$J$66:$K$89,2,0)," ")</f>
        <v>PM/0131/0114/45030140255</v>
      </c>
      <c r="AG545" s="118" t="s">
        <v>80</v>
      </c>
      <c r="AH545" s="181" t="s">
        <v>193</v>
      </c>
      <c r="AI545" s="169" t="str">
        <f>CONCATENATE(PAA[[#This Row],[Id Interno]],"-",PAA[[#This Row],[tipo de Contrato (TH talento humano - B/S bienes y/o servicios)]],"-",S545,"-",T545,"-",PAA[[#This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46" spans="2:35" ht="56" x14ac:dyDescent="0.35">
      <c r="B546" s="23">
        <v>20260540</v>
      </c>
      <c r="C546" s="99" t="s">
        <v>775</v>
      </c>
      <c r="D546" s="23" t="s">
        <v>105</v>
      </c>
      <c r="E546" s="23" t="s">
        <v>363</v>
      </c>
      <c r="F546" s="23" t="s">
        <v>144</v>
      </c>
      <c r="G546" s="129" t="s">
        <v>374</v>
      </c>
      <c r="H546" s="136">
        <v>11</v>
      </c>
      <c r="I546" s="136">
        <v>0</v>
      </c>
      <c r="J546" s="127">
        <v>61600000</v>
      </c>
      <c r="K546" s="88" t="s">
        <v>398</v>
      </c>
      <c r="L546" s="159" t="s">
        <v>45</v>
      </c>
      <c r="M546" s="162" t="s">
        <v>401</v>
      </c>
      <c r="N546" s="23" t="s">
        <v>197</v>
      </c>
      <c r="O546" s="150" t="s">
        <v>925</v>
      </c>
      <c r="P546" s="162" t="s">
        <v>348</v>
      </c>
      <c r="Q546" s="53">
        <v>80111600</v>
      </c>
      <c r="R546" s="162" t="s">
        <v>208</v>
      </c>
      <c r="S546" s="162" t="str">
        <f>MID(PAA[[#This Row],[Meta Proyecto de Inversión]],1,4)</f>
        <v>8126</v>
      </c>
      <c r="T546" s="162" t="str">
        <f>MID(PAA[[#This Row],[Meta Proyecto de Inversión]],6,1)</f>
        <v>9</v>
      </c>
      <c r="U546" s="163" t="str">
        <f>IFERROR(VLOOKUP(N546,TD!$B$50:$F$54,2,0)," ")</f>
        <v>O230117</v>
      </c>
      <c r="V546" s="163" t="str">
        <f>IFERROR(VLOOKUP(N546,TD!$B$50:$F$54,3,0)," ")</f>
        <v>4599</v>
      </c>
      <c r="W546" s="163">
        <f>IFERROR(VLOOKUP(N546,TD!$B$50:$F$54,4,0)," ")</f>
        <v>20240207</v>
      </c>
      <c r="X546" s="162" t="s">
        <v>174</v>
      </c>
      <c r="Y546" s="163" t="str">
        <f>IFERROR(VLOOKUP(X546,TD!$J$51:$K$64,2,0)," ")</f>
        <v>Infraestructura física, mantenimiento y dotación (Sedes construidas, mantenidas reforzadas)</v>
      </c>
      <c r="Z546" s="164" t="str">
        <f t="shared" si="32"/>
        <v>08-Infraestructura física, mantenimiento y dotación (Sedes construidas, mantenidas reforzadas)</v>
      </c>
      <c r="AA546" s="162" t="s">
        <v>227</v>
      </c>
      <c r="AB546" s="163" t="str">
        <f>IFERROR(VLOOKUP(AA546,TD!$N$51:$O$66,2,0)," ")</f>
        <v>Sedes mantenidas</v>
      </c>
      <c r="AC546" s="164" t="str">
        <f t="shared" si="33"/>
        <v>016_Sedes mantenidas</v>
      </c>
      <c r="AD546" s="164" t="str">
        <f t="shared" si="34"/>
        <v>08-Infraestructura física, mantenimiento y dotación (Sedes construidas, mantenidas reforzadas) 016_Sedes mantenidas</v>
      </c>
      <c r="AE546" s="163" t="str">
        <f t="shared" si="35"/>
        <v>O23011745992024020708016</v>
      </c>
      <c r="AF546" s="163" t="str">
        <f>IFERROR(VLOOKUP(AD546,TD!$J$66:$K$89,2,0)," ")</f>
        <v>PM/0131/0108/45990160207</v>
      </c>
      <c r="AG546" s="118" t="s">
        <v>385</v>
      </c>
      <c r="AH546" s="171" t="s">
        <v>193</v>
      </c>
      <c r="AI546" s="165" t="str">
        <f>CONCATENATE(PAA[[#This Row],[Id Interno]],"-",PAA[[#This Row],[tipo de Contrato (TH talento humano - B/S bienes y/o servicios)]],"-",S546,"-",T546,"-",PAA[[#This Row],[Objeto de la contratación]])</f>
        <v>20260540-TH-8126-9-Prestación de servicios profesionales jurídicos en virtud de las funciones asignadas a la Dirección General de la UAECOB, para apoyar los procesos contractuales y actividades administrativas requeridas.</v>
      </c>
    </row>
    <row r="547" spans="2:35" ht="56" x14ac:dyDescent="0.35">
      <c r="B547" s="23">
        <v>20260541</v>
      </c>
      <c r="C547" s="99" t="s">
        <v>776</v>
      </c>
      <c r="D547" s="23" t="s">
        <v>105</v>
      </c>
      <c r="E547" s="23" t="s">
        <v>363</v>
      </c>
      <c r="F547" s="23" t="s">
        <v>144</v>
      </c>
      <c r="G547" s="129" t="s">
        <v>374</v>
      </c>
      <c r="H547" s="136">
        <v>11</v>
      </c>
      <c r="I547" s="136">
        <v>0</v>
      </c>
      <c r="J547" s="127">
        <v>88000000</v>
      </c>
      <c r="K547" s="88" t="s">
        <v>398</v>
      </c>
      <c r="L547" s="159" t="s">
        <v>45</v>
      </c>
      <c r="M547" s="162" t="s">
        <v>401</v>
      </c>
      <c r="N547" s="23" t="s">
        <v>197</v>
      </c>
      <c r="O547" s="150" t="s">
        <v>925</v>
      </c>
      <c r="P547" s="162" t="s">
        <v>348</v>
      </c>
      <c r="Q547" s="53">
        <v>80111600</v>
      </c>
      <c r="R547" s="162" t="s">
        <v>208</v>
      </c>
      <c r="S547" s="162" t="str">
        <f>MID(PAA[[#This Row],[Meta Proyecto de Inversión]],1,4)</f>
        <v>8126</v>
      </c>
      <c r="T547" s="162" t="str">
        <f>MID(PAA[[#This Row],[Meta Proyecto de Inversión]],6,1)</f>
        <v>9</v>
      </c>
      <c r="U547" s="163" t="str">
        <f>IFERROR(VLOOKUP(N547,TD!$B$50:$F$54,2,0)," ")</f>
        <v>O230117</v>
      </c>
      <c r="V547" s="163" t="str">
        <f>IFERROR(VLOOKUP(N547,TD!$B$50:$F$54,3,0)," ")</f>
        <v>4599</v>
      </c>
      <c r="W547" s="163">
        <f>IFERROR(VLOOKUP(N547,TD!$B$50:$F$54,4,0)," ")</f>
        <v>20240207</v>
      </c>
      <c r="X547" s="162" t="s">
        <v>174</v>
      </c>
      <c r="Y547" s="163" t="str">
        <f>IFERROR(VLOOKUP(X547,TD!$J$51:$K$64,2,0)," ")</f>
        <v>Infraestructura física, mantenimiento y dotación (Sedes construidas, mantenidas reforzadas)</v>
      </c>
      <c r="Z547" s="164" t="str">
        <f t="shared" si="32"/>
        <v>08-Infraestructura física, mantenimiento y dotación (Sedes construidas, mantenidas reforzadas)</v>
      </c>
      <c r="AA547" s="162" t="s">
        <v>227</v>
      </c>
      <c r="AB547" s="163" t="str">
        <f>IFERROR(VLOOKUP(AA547,TD!$N$51:$O$66,2,0)," ")</f>
        <v>Sedes mantenidas</v>
      </c>
      <c r="AC547" s="164" t="str">
        <f t="shared" si="33"/>
        <v>016_Sedes mantenidas</v>
      </c>
      <c r="AD547" s="164" t="str">
        <f t="shared" si="34"/>
        <v>08-Infraestructura física, mantenimiento y dotación (Sedes construidas, mantenidas reforzadas) 016_Sedes mantenidas</v>
      </c>
      <c r="AE547" s="163" t="str">
        <f t="shared" si="35"/>
        <v>O23011745992024020708016</v>
      </c>
      <c r="AF547" s="163" t="str">
        <f>IFERROR(VLOOKUP(AD547,TD!$J$66:$K$89,2,0)," ")</f>
        <v>PM/0131/0108/45990160207</v>
      </c>
      <c r="AG547" s="118" t="s">
        <v>385</v>
      </c>
      <c r="AH547" s="171" t="s">
        <v>193</v>
      </c>
      <c r="AI547" s="165" t="str">
        <f>CONCATENATE(PAA[[#This Row],[Id Interno]],"-",PAA[[#This Row],[tipo de Contrato (TH talento humano - B/S bienes y/o servicios)]],"-",S547,"-",T547,"-",PAA[[#This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48" spans="2:35" ht="56" x14ac:dyDescent="0.35">
      <c r="B548" s="23">
        <v>20260542</v>
      </c>
      <c r="C548" s="99" t="s">
        <v>777</v>
      </c>
      <c r="D548" s="23" t="s">
        <v>105</v>
      </c>
      <c r="E548" s="23" t="s">
        <v>363</v>
      </c>
      <c r="F548" s="23" t="s">
        <v>144</v>
      </c>
      <c r="G548" s="129" t="s">
        <v>374</v>
      </c>
      <c r="H548" s="136">
        <v>11</v>
      </c>
      <c r="I548" s="136">
        <v>0</v>
      </c>
      <c r="J548" s="127">
        <v>55700000</v>
      </c>
      <c r="K548" s="88" t="s">
        <v>398</v>
      </c>
      <c r="L548" s="159" t="s">
        <v>45</v>
      </c>
      <c r="M548" s="162" t="s">
        <v>401</v>
      </c>
      <c r="N548" s="23" t="s">
        <v>197</v>
      </c>
      <c r="O548" s="150" t="s">
        <v>925</v>
      </c>
      <c r="P548" s="162" t="s">
        <v>348</v>
      </c>
      <c r="Q548" s="53">
        <v>80111600</v>
      </c>
      <c r="R548" s="162" t="s">
        <v>208</v>
      </c>
      <c r="S548" s="162" t="str">
        <f>MID(PAA[[#This Row],[Meta Proyecto de Inversión]],1,4)</f>
        <v>8126</v>
      </c>
      <c r="T548" s="162" t="str">
        <f>MID(PAA[[#This Row],[Meta Proyecto de Inversión]],6,1)</f>
        <v>9</v>
      </c>
      <c r="U548" s="163" t="str">
        <f>IFERROR(VLOOKUP(N548,TD!$B$50:$F$54,2,0)," ")</f>
        <v>O230117</v>
      </c>
      <c r="V548" s="163" t="str">
        <f>IFERROR(VLOOKUP(N548,TD!$B$50:$F$54,3,0)," ")</f>
        <v>4599</v>
      </c>
      <c r="W548" s="163">
        <f>IFERROR(VLOOKUP(N548,TD!$B$50:$F$54,4,0)," ")</f>
        <v>20240207</v>
      </c>
      <c r="X548" s="162" t="s">
        <v>174</v>
      </c>
      <c r="Y548" s="163" t="str">
        <f>IFERROR(VLOOKUP(X548,TD!$J$51:$K$64,2,0)," ")</f>
        <v>Infraestructura física, mantenimiento y dotación (Sedes construidas, mantenidas reforzadas)</v>
      </c>
      <c r="Z548" s="164" t="str">
        <f t="shared" si="32"/>
        <v>08-Infraestructura física, mantenimiento y dotación (Sedes construidas, mantenidas reforzadas)</v>
      </c>
      <c r="AA548" s="162" t="s">
        <v>227</v>
      </c>
      <c r="AB548" s="163" t="str">
        <f>IFERROR(VLOOKUP(AA548,TD!$N$51:$O$66,2,0)," ")</f>
        <v>Sedes mantenidas</v>
      </c>
      <c r="AC548" s="164" t="str">
        <f t="shared" si="33"/>
        <v>016_Sedes mantenidas</v>
      </c>
      <c r="AD548" s="164" t="str">
        <f t="shared" si="34"/>
        <v>08-Infraestructura física, mantenimiento y dotación (Sedes construidas, mantenidas reforzadas) 016_Sedes mantenidas</v>
      </c>
      <c r="AE548" s="163" t="str">
        <f t="shared" si="35"/>
        <v>O23011745992024020708016</v>
      </c>
      <c r="AF548" s="163" t="str">
        <f>IFERROR(VLOOKUP(AD548,TD!$J$66:$K$89,2,0)," ")</f>
        <v>PM/0131/0108/45990160207</v>
      </c>
      <c r="AG548" s="118" t="s">
        <v>385</v>
      </c>
      <c r="AH548" s="171" t="s">
        <v>193</v>
      </c>
      <c r="AI548" s="165" t="str">
        <f>CONCATENATE(PAA[[#This Row],[Id Interno]],"-",PAA[[#This Row],[tipo de Contrato (TH talento humano - B/S bienes y/o servicios)]],"-",S548,"-",T548,"-",PAA[[#This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49" spans="2:35" ht="56" x14ac:dyDescent="0.35">
      <c r="B549" s="23">
        <v>20260543</v>
      </c>
      <c r="C549" s="99" t="s">
        <v>778</v>
      </c>
      <c r="D549" s="23" t="s">
        <v>105</v>
      </c>
      <c r="E549" s="23" t="s">
        <v>363</v>
      </c>
      <c r="F549" s="23" t="s">
        <v>144</v>
      </c>
      <c r="G549" s="129" t="s">
        <v>374</v>
      </c>
      <c r="H549" s="136">
        <v>11</v>
      </c>
      <c r="I549" s="136">
        <v>0</v>
      </c>
      <c r="J549" s="127">
        <v>111100000</v>
      </c>
      <c r="K549" s="88" t="s">
        <v>398</v>
      </c>
      <c r="L549" s="159" t="s">
        <v>45</v>
      </c>
      <c r="M549" s="162" t="s">
        <v>401</v>
      </c>
      <c r="N549" s="23" t="s">
        <v>197</v>
      </c>
      <c r="O549" s="150" t="s">
        <v>925</v>
      </c>
      <c r="P549" s="162" t="s">
        <v>348</v>
      </c>
      <c r="Q549" s="53">
        <v>80111600</v>
      </c>
      <c r="R549" s="162" t="s">
        <v>208</v>
      </c>
      <c r="S549" s="162" t="str">
        <f>MID(PAA[[#This Row],[Meta Proyecto de Inversión]],1,4)</f>
        <v>8126</v>
      </c>
      <c r="T549" s="162" t="str">
        <f>MID(PAA[[#This Row],[Meta Proyecto de Inversión]],6,1)</f>
        <v>9</v>
      </c>
      <c r="U549" s="163" t="str">
        <f>IFERROR(VLOOKUP(N549,TD!$B$50:$F$54,2,0)," ")</f>
        <v>O230117</v>
      </c>
      <c r="V549" s="163" t="str">
        <f>IFERROR(VLOOKUP(N549,TD!$B$50:$F$54,3,0)," ")</f>
        <v>4599</v>
      </c>
      <c r="W549" s="163">
        <f>IFERROR(VLOOKUP(N549,TD!$B$50:$F$54,4,0)," ")</f>
        <v>20240207</v>
      </c>
      <c r="X549" s="162" t="s">
        <v>174</v>
      </c>
      <c r="Y549" s="163" t="str">
        <f>IFERROR(VLOOKUP(X549,TD!$J$51:$K$64,2,0)," ")</f>
        <v>Infraestructura física, mantenimiento y dotación (Sedes construidas, mantenidas reforzadas)</v>
      </c>
      <c r="Z549" s="164" t="str">
        <f t="shared" si="32"/>
        <v>08-Infraestructura física, mantenimiento y dotación (Sedes construidas, mantenidas reforzadas)</v>
      </c>
      <c r="AA549" s="162" t="s">
        <v>227</v>
      </c>
      <c r="AB549" s="163" t="str">
        <f>IFERROR(VLOOKUP(AA549,TD!$N$51:$O$66,2,0)," ")</f>
        <v>Sedes mantenidas</v>
      </c>
      <c r="AC549" s="164" t="str">
        <f t="shared" si="33"/>
        <v>016_Sedes mantenidas</v>
      </c>
      <c r="AD549" s="164" t="str">
        <f t="shared" si="34"/>
        <v>08-Infraestructura física, mantenimiento y dotación (Sedes construidas, mantenidas reforzadas) 016_Sedes mantenidas</v>
      </c>
      <c r="AE549" s="163" t="str">
        <f t="shared" si="35"/>
        <v>O23011745992024020708016</v>
      </c>
      <c r="AF549" s="163" t="str">
        <f>IFERROR(VLOOKUP(AD549,TD!$J$66:$K$89,2,0)," ")</f>
        <v>PM/0131/0108/45990160207</v>
      </c>
      <c r="AG549" s="118" t="s">
        <v>385</v>
      </c>
      <c r="AH549" s="171" t="s">
        <v>193</v>
      </c>
      <c r="AI549" s="165" t="str">
        <f>CONCATENATE(PAA[[#This Row],[Id Interno]],"-",PAA[[#This Row],[tipo de Contrato (TH talento humano - B/S bienes y/o servicios)]],"-",S549,"-",T549,"-",PAA[[#This Row],[Objeto de la contratación]])</f>
        <v>20260543-TH-8126-9-Prestar servicios profesionales jurídicos en el desarrollo de las actividades y de los diferentes procesos de la Dirección General de la UAE Cuerpo Oficial de Bomberos de Bogotá</v>
      </c>
    </row>
    <row r="550" spans="2:35" ht="84" x14ac:dyDescent="0.35">
      <c r="B550" s="23">
        <v>20260544</v>
      </c>
      <c r="C550" s="99" t="s">
        <v>779</v>
      </c>
      <c r="D550" s="23" t="s">
        <v>105</v>
      </c>
      <c r="E550" s="23" t="s">
        <v>363</v>
      </c>
      <c r="F550" s="23" t="s">
        <v>144</v>
      </c>
      <c r="G550" s="129" t="s">
        <v>374</v>
      </c>
      <c r="H550" s="136">
        <v>11</v>
      </c>
      <c r="I550" s="136">
        <v>0</v>
      </c>
      <c r="J550" s="127">
        <v>61600000</v>
      </c>
      <c r="K550" s="88" t="s">
        <v>398</v>
      </c>
      <c r="L550" s="159" t="s">
        <v>45</v>
      </c>
      <c r="M550" s="162" t="s">
        <v>401</v>
      </c>
      <c r="N550" s="23" t="s">
        <v>197</v>
      </c>
      <c r="O550" s="150" t="s">
        <v>925</v>
      </c>
      <c r="P550" s="162" t="s">
        <v>348</v>
      </c>
      <c r="Q550" s="53">
        <v>80111600</v>
      </c>
      <c r="R550" s="162" t="s">
        <v>208</v>
      </c>
      <c r="S550" s="162" t="str">
        <f>MID(PAA[[#This Row],[Meta Proyecto de Inversión]],1,4)</f>
        <v>8126</v>
      </c>
      <c r="T550" s="162" t="str">
        <f>MID(PAA[[#This Row],[Meta Proyecto de Inversión]],6,1)</f>
        <v>9</v>
      </c>
      <c r="U550" s="163" t="str">
        <f>IFERROR(VLOOKUP(N550,TD!$B$50:$F$54,2,0)," ")</f>
        <v>O230117</v>
      </c>
      <c r="V550" s="163" t="str">
        <f>IFERROR(VLOOKUP(N550,TD!$B$50:$F$54,3,0)," ")</f>
        <v>4599</v>
      </c>
      <c r="W550" s="163">
        <f>IFERROR(VLOOKUP(N550,TD!$B$50:$F$54,4,0)," ")</f>
        <v>20240207</v>
      </c>
      <c r="X550" s="162" t="s">
        <v>174</v>
      </c>
      <c r="Y550" s="163" t="str">
        <f>IFERROR(VLOOKUP(X550,TD!$J$51:$K$64,2,0)," ")</f>
        <v>Infraestructura física, mantenimiento y dotación (Sedes construidas, mantenidas reforzadas)</v>
      </c>
      <c r="Z550" s="164" t="str">
        <f t="shared" si="32"/>
        <v>08-Infraestructura física, mantenimiento y dotación (Sedes construidas, mantenidas reforzadas)</v>
      </c>
      <c r="AA550" s="162" t="s">
        <v>227</v>
      </c>
      <c r="AB550" s="163" t="str">
        <f>IFERROR(VLOOKUP(AA550,TD!$N$51:$O$66,2,0)," ")</f>
        <v>Sedes mantenidas</v>
      </c>
      <c r="AC550" s="164" t="str">
        <f t="shared" si="33"/>
        <v>016_Sedes mantenidas</v>
      </c>
      <c r="AD550" s="164" t="str">
        <f t="shared" si="34"/>
        <v>08-Infraestructura física, mantenimiento y dotación (Sedes construidas, mantenidas reforzadas) 016_Sedes mantenidas</v>
      </c>
      <c r="AE550" s="163" t="str">
        <f t="shared" si="35"/>
        <v>O23011745992024020708016</v>
      </c>
      <c r="AF550" s="163" t="str">
        <f>IFERROR(VLOOKUP(AD550,TD!$J$66:$K$89,2,0)," ")</f>
        <v>PM/0131/0108/45990160207</v>
      </c>
      <c r="AG550" s="118" t="s">
        <v>385</v>
      </c>
      <c r="AH550" s="171" t="s">
        <v>193</v>
      </c>
      <c r="AI550" s="165" t="str">
        <f>CONCATENATE(PAA[[#This Row],[Id Interno]],"-",PAA[[#This Row],[tipo de Contrato (TH talento humano - B/S bienes y/o servicios)]],"-",S550,"-",T550,"-",PAA[[#This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1" spans="2:35" ht="56" x14ac:dyDescent="0.35">
      <c r="B551" s="23">
        <v>20260545</v>
      </c>
      <c r="C551" s="99" t="s">
        <v>780</v>
      </c>
      <c r="D551" s="23" t="s">
        <v>105</v>
      </c>
      <c r="E551" s="23" t="s">
        <v>363</v>
      </c>
      <c r="F551" s="23" t="s">
        <v>144</v>
      </c>
      <c r="G551" s="129" t="s">
        <v>374</v>
      </c>
      <c r="H551" s="136">
        <v>11</v>
      </c>
      <c r="I551" s="136">
        <v>0</v>
      </c>
      <c r="J551" s="127">
        <v>90750000</v>
      </c>
      <c r="K551" s="88" t="s">
        <v>398</v>
      </c>
      <c r="L551" s="159" t="s">
        <v>45</v>
      </c>
      <c r="M551" s="162" t="s">
        <v>401</v>
      </c>
      <c r="N551" s="23" t="s">
        <v>197</v>
      </c>
      <c r="O551" s="150" t="s">
        <v>925</v>
      </c>
      <c r="P551" s="162" t="s">
        <v>348</v>
      </c>
      <c r="Q551" s="53">
        <v>80111600</v>
      </c>
      <c r="R551" s="162" t="s">
        <v>208</v>
      </c>
      <c r="S551" s="162" t="str">
        <f>MID(PAA[[#This Row],[Meta Proyecto de Inversión]],1,4)</f>
        <v>8126</v>
      </c>
      <c r="T551" s="162" t="str">
        <f>MID(PAA[[#This Row],[Meta Proyecto de Inversión]],6,1)</f>
        <v>9</v>
      </c>
      <c r="U551" s="163" t="str">
        <f>IFERROR(VLOOKUP(N551,TD!$B$50:$F$54,2,0)," ")</f>
        <v>O230117</v>
      </c>
      <c r="V551" s="163" t="str">
        <f>IFERROR(VLOOKUP(N551,TD!$B$50:$F$54,3,0)," ")</f>
        <v>4599</v>
      </c>
      <c r="W551" s="163">
        <f>IFERROR(VLOOKUP(N551,TD!$B$50:$F$54,4,0)," ")</f>
        <v>20240207</v>
      </c>
      <c r="X551" s="162" t="s">
        <v>174</v>
      </c>
      <c r="Y551" s="163" t="str">
        <f>IFERROR(VLOOKUP(X551,TD!$J$51:$K$64,2,0)," ")</f>
        <v>Infraestructura física, mantenimiento y dotación (Sedes construidas, mantenidas reforzadas)</v>
      </c>
      <c r="Z551" s="164" t="str">
        <f t="shared" si="32"/>
        <v>08-Infraestructura física, mantenimiento y dotación (Sedes construidas, mantenidas reforzadas)</v>
      </c>
      <c r="AA551" s="162" t="s">
        <v>227</v>
      </c>
      <c r="AB551" s="163" t="str">
        <f>IFERROR(VLOOKUP(AA551,TD!$N$51:$O$66,2,0)," ")</f>
        <v>Sedes mantenidas</v>
      </c>
      <c r="AC551" s="164" t="str">
        <f t="shared" si="33"/>
        <v>016_Sedes mantenidas</v>
      </c>
      <c r="AD551" s="164" t="str">
        <f t="shared" si="34"/>
        <v>08-Infraestructura física, mantenimiento y dotación (Sedes construidas, mantenidas reforzadas) 016_Sedes mantenidas</v>
      </c>
      <c r="AE551" s="163" t="str">
        <f t="shared" si="35"/>
        <v>O23011745992024020708016</v>
      </c>
      <c r="AF551" s="163" t="str">
        <f>IFERROR(VLOOKUP(AD551,TD!$J$66:$K$89,2,0)," ")</f>
        <v>PM/0131/0108/45990160207</v>
      </c>
      <c r="AG551" s="118" t="s">
        <v>385</v>
      </c>
      <c r="AH551" s="171" t="s">
        <v>193</v>
      </c>
      <c r="AI551" s="165" t="str">
        <f>CONCATENATE(PAA[[#This Row],[Id Interno]],"-",PAA[[#This Row],[tipo de Contrato (TH talento humano - B/S bienes y/o servicios)]],"-",S551,"-",T551,"-",PAA[[#This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2" spans="2:35" ht="56" x14ac:dyDescent="0.35">
      <c r="B552" s="23">
        <v>20260546</v>
      </c>
      <c r="C552" s="99" t="s">
        <v>781</v>
      </c>
      <c r="D552" s="23" t="s">
        <v>105</v>
      </c>
      <c r="E552" s="23" t="s">
        <v>363</v>
      </c>
      <c r="F552" s="23" t="s">
        <v>145</v>
      </c>
      <c r="G552" s="129" t="s">
        <v>374</v>
      </c>
      <c r="H552" s="136">
        <v>11</v>
      </c>
      <c r="I552" s="136">
        <v>0</v>
      </c>
      <c r="J552" s="127">
        <v>50600000</v>
      </c>
      <c r="K552" s="88" t="s">
        <v>398</v>
      </c>
      <c r="L552" s="159" t="s">
        <v>45</v>
      </c>
      <c r="M552" s="162" t="s">
        <v>401</v>
      </c>
      <c r="N552" s="23" t="s">
        <v>197</v>
      </c>
      <c r="O552" s="150" t="s">
        <v>925</v>
      </c>
      <c r="P552" s="162" t="s">
        <v>348</v>
      </c>
      <c r="Q552" s="53">
        <v>80111600</v>
      </c>
      <c r="R552" s="162" t="s">
        <v>208</v>
      </c>
      <c r="S552" s="162" t="str">
        <f>MID(PAA[[#This Row],[Meta Proyecto de Inversión]],1,4)</f>
        <v>8126</v>
      </c>
      <c r="T552" s="162" t="str">
        <f>MID(PAA[[#This Row],[Meta Proyecto de Inversión]],6,1)</f>
        <v>9</v>
      </c>
      <c r="U552" s="163" t="str">
        <f>IFERROR(VLOOKUP(N552,TD!$B$50:$F$54,2,0)," ")</f>
        <v>O230117</v>
      </c>
      <c r="V552" s="163" t="str">
        <f>IFERROR(VLOOKUP(N552,TD!$B$50:$F$54,3,0)," ")</f>
        <v>4599</v>
      </c>
      <c r="W552" s="163">
        <f>IFERROR(VLOOKUP(N552,TD!$B$50:$F$54,4,0)," ")</f>
        <v>20240207</v>
      </c>
      <c r="X552" s="162" t="s">
        <v>174</v>
      </c>
      <c r="Y552" s="163" t="str">
        <f>IFERROR(VLOOKUP(X552,TD!$J$51:$K$64,2,0)," ")</f>
        <v>Infraestructura física, mantenimiento y dotación (Sedes construidas, mantenidas reforzadas)</v>
      </c>
      <c r="Z552" s="164" t="str">
        <f t="shared" si="32"/>
        <v>08-Infraestructura física, mantenimiento y dotación (Sedes construidas, mantenidas reforzadas)</v>
      </c>
      <c r="AA552" s="162" t="s">
        <v>227</v>
      </c>
      <c r="AB552" s="163" t="str">
        <f>IFERROR(VLOOKUP(AA552,TD!$N$51:$O$66,2,0)," ")</f>
        <v>Sedes mantenidas</v>
      </c>
      <c r="AC552" s="164" t="str">
        <f t="shared" si="33"/>
        <v>016_Sedes mantenidas</v>
      </c>
      <c r="AD552" s="164" t="str">
        <f t="shared" si="34"/>
        <v>08-Infraestructura física, mantenimiento y dotación (Sedes construidas, mantenidas reforzadas) 016_Sedes mantenidas</v>
      </c>
      <c r="AE552" s="163" t="str">
        <f t="shared" si="35"/>
        <v>O23011745992024020708016</v>
      </c>
      <c r="AF552" s="163" t="str">
        <f>IFERROR(VLOOKUP(AD552,TD!$J$66:$K$89,2,0)," ")</f>
        <v>PM/0131/0108/45990160207</v>
      </c>
      <c r="AG552" s="118" t="s">
        <v>385</v>
      </c>
      <c r="AH552" s="171" t="s">
        <v>193</v>
      </c>
      <c r="AI552" s="165" t="str">
        <f>CONCATENATE(PAA[[#This Row],[Id Interno]],"-",PAA[[#This Row],[tipo de Contrato (TH talento humano - B/S bienes y/o servicios)]],"-",S552,"-",T552,"-",PAA[[#This Row],[Objeto de la contratación]])</f>
        <v>20260546-TH-8126-9-Prestar servicios de apoyo a la gestión en la UAECOB, en asuntos administrativos y asistenciales requeridos, especificamente en el seguimiento de la información.</v>
      </c>
    </row>
    <row r="553" spans="2:35" ht="56" x14ac:dyDescent="0.35">
      <c r="B553" s="23">
        <v>20260547</v>
      </c>
      <c r="C553" s="99" t="s">
        <v>782</v>
      </c>
      <c r="D553" s="23" t="s">
        <v>105</v>
      </c>
      <c r="E553" s="23" t="s">
        <v>363</v>
      </c>
      <c r="F553" s="23" t="s">
        <v>144</v>
      </c>
      <c r="G553" s="129" t="s">
        <v>374</v>
      </c>
      <c r="H553" s="136">
        <v>11</v>
      </c>
      <c r="I553" s="136">
        <v>0</v>
      </c>
      <c r="J553" s="127">
        <v>90750000</v>
      </c>
      <c r="K553" s="88" t="s">
        <v>398</v>
      </c>
      <c r="L553" s="159" t="s">
        <v>45</v>
      </c>
      <c r="M553" s="162" t="s">
        <v>401</v>
      </c>
      <c r="N553" s="23" t="s">
        <v>197</v>
      </c>
      <c r="O553" s="150" t="s">
        <v>925</v>
      </c>
      <c r="P553" s="162" t="s">
        <v>348</v>
      </c>
      <c r="Q553" s="53">
        <v>80111600</v>
      </c>
      <c r="R553" s="162" t="s">
        <v>208</v>
      </c>
      <c r="S553" s="162" t="str">
        <f>MID(PAA[[#This Row],[Meta Proyecto de Inversión]],1,4)</f>
        <v>8126</v>
      </c>
      <c r="T553" s="162" t="str">
        <f>MID(PAA[[#This Row],[Meta Proyecto de Inversión]],6,1)</f>
        <v>9</v>
      </c>
      <c r="U553" s="163" t="str">
        <f>IFERROR(VLOOKUP(N553,TD!$B$50:$F$54,2,0)," ")</f>
        <v>O230117</v>
      </c>
      <c r="V553" s="163" t="str">
        <f>IFERROR(VLOOKUP(N553,TD!$B$50:$F$54,3,0)," ")</f>
        <v>4599</v>
      </c>
      <c r="W553" s="163">
        <f>IFERROR(VLOOKUP(N553,TD!$B$50:$F$54,4,0)," ")</f>
        <v>20240207</v>
      </c>
      <c r="X553" s="162" t="s">
        <v>174</v>
      </c>
      <c r="Y553" s="163" t="str">
        <f>IFERROR(VLOOKUP(X553,TD!$J$51:$K$64,2,0)," ")</f>
        <v>Infraestructura física, mantenimiento y dotación (Sedes construidas, mantenidas reforzadas)</v>
      </c>
      <c r="Z553" s="164" t="str">
        <f t="shared" si="32"/>
        <v>08-Infraestructura física, mantenimiento y dotación (Sedes construidas, mantenidas reforzadas)</v>
      </c>
      <c r="AA553" s="162" t="s">
        <v>227</v>
      </c>
      <c r="AB553" s="163" t="str">
        <f>IFERROR(VLOOKUP(AA553,TD!$N$51:$O$66,2,0)," ")</f>
        <v>Sedes mantenidas</v>
      </c>
      <c r="AC553" s="164" t="str">
        <f t="shared" si="33"/>
        <v>016_Sedes mantenidas</v>
      </c>
      <c r="AD553" s="164" t="str">
        <f t="shared" si="34"/>
        <v>08-Infraestructura física, mantenimiento y dotación (Sedes construidas, mantenidas reforzadas) 016_Sedes mantenidas</v>
      </c>
      <c r="AE553" s="163" t="str">
        <f t="shared" si="35"/>
        <v>O23011745992024020708016</v>
      </c>
      <c r="AF553" s="163" t="str">
        <f>IFERROR(VLOOKUP(AD553,TD!$J$66:$K$89,2,0)," ")</f>
        <v>PM/0131/0108/45990160207</v>
      </c>
      <c r="AG553" s="118" t="s">
        <v>385</v>
      </c>
      <c r="AH553" s="171" t="s">
        <v>193</v>
      </c>
      <c r="AI553" s="165" t="str">
        <f>CONCATENATE(PAA[[#This Row],[Id Interno]],"-",PAA[[#This Row],[tipo de Contrato (TH talento humano - B/S bienes y/o servicios)]],"-",S553,"-",T553,"-",PAA[[#This Row],[Objeto de la contratación]])</f>
        <v>20260547-TH-8126-9-Prestar servicios profesionales en el desarrollo de los diferentes procesos que tiene a su cargo la Dirección General de la UAE Cuerpo Oficial de Bomberos de Bogotá.</v>
      </c>
    </row>
    <row r="554" spans="2:35" ht="56" x14ac:dyDescent="0.35">
      <c r="B554" s="23">
        <v>20260548</v>
      </c>
      <c r="C554" s="99" t="s">
        <v>783</v>
      </c>
      <c r="D554" s="23" t="s">
        <v>105</v>
      </c>
      <c r="E554" s="23" t="s">
        <v>363</v>
      </c>
      <c r="F554" s="23" t="s">
        <v>145</v>
      </c>
      <c r="G554" s="129" t="s">
        <v>374</v>
      </c>
      <c r="H554" s="136">
        <v>11</v>
      </c>
      <c r="I554" s="136">
        <v>0</v>
      </c>
      <c r="J554" s="127">
        <v>43450000</v>
      </c>
      <c r="K554" s="88" t="s">
        <v>398</v>
      </c>
      <c r="L554" s="159" t="s">
        <v>45</v>
      </c>
      <c r="M554" s="162" t="s">
        <v>401</v>
      </c>
      <c r="N554" s="23" t="s">
        <v>197</v>
      </c>
      <c r="O554" s="150" t="s">
        <v>925</v>
      </c>
      <c r="P554" s="162" t="s">
        <v>348</v>
      </c>
      <c r="Q554" s="53">
        <v>80111600</v>
      </c>
      <c r="R554" s="162" t="s">
        <v>208</v>
      </c>
      <c r="S554" s="162" t="str">
        <f>MID(PAA[[#This Row],[Meta Proyecto de Inversión]],1,4)</f>
        <v>8126</v>
      </c>
      <c r="T554" s="162" t="str">
        <f>MID(PAA[[#This Row],[Meta Proyecto de Inversión]],6,1)</f>
        <v>9</v>
      </c>
      <c r="U554" s="163" t="str">
        <f>IFERROR(VLOOKUP(N554,TD!$B$50:$F$54,2,0)," ")</f>
        <v>O230117</v>
      </c>
      <c r="V554" s="163" t="str">
        <f>IFERROR(VLOOKUP(N554,TD!$B$50:$F$54,3,0)," ")</f>
        <v>4599</v>
      </c>
      <c r="W554" s="163">
        <f>IFERROR(VLOOKUP(N554,TD!$B$50:$F$54,4,0)," ")</f>
        <v>20240207</v>
      </c>
      <c r="X554" s="162" t="s">
        <v>174</v>
      </c>
      <c r="Y554" s="163" t="str">
        <f>IFERROR(VLOOKUP(X554,TD!$J$51:$K$64,2,0)," ")</f>
        <v>Infraestructura física, mantenimiento y dotación (Sedes construidas, mantenidas reforzadas)</v>
      </c>
      <c r="Z554" s="164" t="str">
        <f t="shared" si="32"/>
        <v>08-Infraestructura física, mantenimiento y dotación (Sedes construidas, mantenidas reforzadas)</v>
      </c>
      <c r="AA554" s="162" t="s">
        <v>227</v>
      </c>
      <c r="AB554" s="163" t="str">
        <f>IFERROR(VLOOKUP(AA554,TD!$N$51:$O$66,2,0)," ")</f>
        <v>Sedes mantenidas</v>
      </c>
      <c r="AC554" s="164" t="str">
        <f t="shared" si="33"/>
        <v>016_Sedes mantenidas</v>
      </c>
      <c r="AD554" s="164" t="str">
        <f t="shared" si="34"/>
        <v>08-Infraestructura física, mantenimiento y dotación (Sedes construidas, mantenidas reforzadas) 016_Sedes mantenidas</v>
      </c>
      <c r="AE554" s="163" t="str">
        <f t="shared" si="35"/>
        <v>O23011745992024020708016</v>
      </c>
      <c r="AF554" s="163" t="str">
        <f>IFERROR(VLOOKUP(AD554,TD!$J$66:$K$89,2,0)," ")</f>
        <v>PM/0131/0108/45990160207</v>
      </c>
      <c r="AG554" s="118" t="s">
        <v>385</v>
      </c>
      <c r="AH554" s="171" t="s">
        <v>193</v>
      </c>
      <c r="AI554" s="165" t="str">
        <f>CONCATENATE(PAA[[#This Row],[Id Interno]],"-",PAA[[#This Row],[tipo de Contrato (TH talento humano - B/S bienes y/o servicios)]],"-",S554,"-",T554,"-",PAA[[#This Row],[Objeto de la contratación]])</f>
        <v>20260548-TH-8126-9-Prestar servicios como conductor a la UAECOB, para facilitar el transporte de recursos humanos y demás que le sean indicados en la Dirección General en concordancia al marco de sus funciones</v>
      </c>
    </row>
    <row r="555" spans="2:35" ht="56" x14ac:dyDescent="0.35">
      <c r="B555" s="23">
        <v>20260549</v>
      </c>
      <c r="C555" s="99" t="s">
        <v>784</v>
      </c>
      <c r="D555" s="23" t="s">
        <v>105</v>
      </c>
      <c r="E555" s="23" t="s">
        <v>363</v>
      </c>
      <c r="F555" s="23" t="s">
        <v>144</v>
      </c>
      <c r="G555" s="129" t="s">
        <v>374</v>
      </c>
      <c r="H555" s="136">
        <v>10</v>
      </c>
      <c r="I555" s="136">
        <v>0</v>
      </c>
      <c r="J555" s="127">
        <v>36000000</v>
      </c>
      <c r="K555" s="88" t="s">
        <v>398</v>
      </c>
      <c r="L555" s="159" t="s">
        <v>45</v>
      </c>
      <c r="M555" s="162" t="s">
        <v>401</v>
      </c>
      <c r="N555" s="23" t="s">
        <v>197</v>
      </c>
      <c r="O555" s="150" t="s">
        <v>925</v>
      </c>
      <c r="P555" s="162" t="s">
        <v>348</v>
      </c>
      <c r="Q555" s="53">
        <v>80111600</v>
      </c>
      <c r="R555" s="162" t="s">
        <v>208</v>
      </c>
      <c r="S555" s="162" t="str">
        <f>MID(PAA[[#This Row],[Meta Proyecto de Inversión]],1,4)</f>
        <v>8126</v>
      </c>
      <c r="T555" s="162" t="str">
        <f>MID(PAA[[#This Row],[Meta Proyecto de Inversión]],6,1)</f>
        <v>9</v>
      </c>
      <c r="U555" s="163" t="str">
        <f>IFERROR(VLOOKUP(N555,TD!$B$50:$F$54,2,0)," ")</f>
        <v>O230117</v>
      </c>
      <c r="V555" s="163" t="str">
        <f>IFERROR(VLOOKUP(N555,TD!$B$50:$F$54,3,0)," ")</f>
        <v>4599</v>
      </c>
      <c r="W555" s="163">
        <f>IFERROR(VLOOKUP(N555,TD!$B$50:$F$54,4,0)," ")</f>
        <v>20240207</v>
      </c>
      <c r="X555" s="162" t="s">
        <v>174</v>
      </c>
      <c r="Y555" s="163" t="str">
        <f>IFERROR(VLOOKUP(X555,TD!$J$51:$K$64,2,0)," ")</f>
        <v>Infraestructura física, mantenimiento y dotación (Sedes construidas, mantenidas reforzadas)</v>
      </c>
      <c r="Z555" s="164" t="str">
        <f t="shared" si="32"/>
        <v>08-Infraestructura física, mantenimiento y dotación (Sedes construidas, mantenidas reforzadas)</v>
      </c>
      <c r="AA555" s="162" t="s">
        <v>227</v>
      </c>
      <c r="AB555" s="163" t="str">
        <f>IFERROR(VLOOKUP(AA555,TD!$N$51:$O$66,2,0)," ")</f>
        <v>Sedes mantenidas</v>
      </c>
      <c r="AC555" s="164" t="str">
        <f t="shared" si="33"/>
        <v>016_Sedes mantenidas</v>
      </c>
      <c r="AD555" s="164" t="str">
        <f t="shared" si="34"/>
        <v>08-Infraestructura física, mantenimiento y dotación (Sedes construidas, mantenidas reforzadas) 016_Sedes mantenidas</v>
      </c>
      <c r="AE555" s="163" t="str">
        <f t="shared" si="35"/>
        <v>O23011745992024020708016</v>
      </c>
      <c r="AF555" s="163" t="str">
        <f>IFERROR(VLOOKUP(AD555,TD!$J$66:$K$89,2,0)," ")</f>
        <v>PM/0131/0108/45990160207</v>
      </c>
      <c r="AG555" s="118" t="s">
        <v>385</v>
      </c>
      <c r="AH555" s="171" t="s">
        <v>193</v>
      </c>
      <c r="AI555" s="165" t="str">
        <f>CONCATENATE(PAA[[#This Row],[Id Interno]],"-",PAA[[#This Row],[tipo de Contrato (TH talento humano - B/S bienes y/o servicios)]],"-",S555,"-",T555,"-",PAA[[#This Row],[Objeto de la contratación]])</f>
        <v>20260549-TH-8126-9-Prestar servicios profesionales jurídicos en el desarrollo de las actividades estrategicas de la Dirección General de la UAE Cuerpo Oficial de Bomberos de Bogotá</v>
      </c>
    </row>
    <row r="556" spans="2:35" ht="70" x14ac:dyDescent="0.35">
      <c r="B556" s="23">
        <v>20260550</v>
      </c>
      <c r="C556" s="99" t="s">
        <v>785</v>
      </c>
      <c r="D556" s="23" t="s">
        <v>105</v>
      </c>
      <c r="E556" s="23" t="s">
        <v>363</v>
      </c>
      <c r="F556" s="23" t="s">
        <v>144</v>
      </c>
      <c r="G556" s="129" t="s">
        <v>374</v>
      </c>
      <c r="H556" s="136">
        <v>11</v>
      </c>
      <c r="I556" s="136">
        <v>0</v>
      </c>
      <c r="J556" s="127">
        <v>101200000</v>
      </c>
      <c r="K556" s="88" t="s">
        <v>398</v>
      </c>
      <c r="L556" s="159" t="s">
        <v>45</v>
      </c>
      <c r="M556" s="162" t="s">
        <v>401</v>
      </c>
      <c r="N556" s="23" t="s">
        <v>197</v>
      </c>
      <c r="O556" s="150" t="s">
        <v>925</v>
      </c>
      <c r="P556" s="162" t="s">
        <v>348</v>
      </c>
      <c r="Q556" s="53">
        <v>80111600</v>
      </c>
      <c r="R556" s="162" t="s">
        <v>208</v>
      </c>
      <c r="S556" s="162" t="str">
        <f>MID(PAA[[#This Row],[Meta Proyecto de Inversión]],1,4)</f>
        <v>8126</v>
      </c>
      <c r="T556" s="162" t="str">
        <f>MID(PAA[[#This Row],[Meta Proyecto de Inversión]],6,1)</f>
        <v>9</v>
      </c>
      <c r="U556" s="163" t="str">
        <f>IFERROR(VLOOKUP(N556,TD!$B$50:$F$54,2,0)," ")</f>
        <v>O230117</v>
      </c>
      <c r="V556" s="163" t="str">
        <f>IFERROR(VLOOKUP(N556,TD!$B$50:$F$54,3,0)," ")</f>
        <v>4599</v>
      </c>
      <c r="W556" s="163">
        <f>IFERROR(VLOOKUP(N556,TD!$B$50:$F$54,4,0)," ")</f>
        <v>20240207</v>
      </c>
      <c r="X556" s="162" t="s">
        <v>174</v>
      </c>
      <c r="Y556" s="163" t="str">
        <f>IFERROR(VLOOKUP(X556,TD!$J$51:$K$64,2,0)," ")</f>
        <v>Infraestructura física, mantenimiento y dotación (Sedes construidas, mantenidas reforzadas)</v>
      </c>
      <c r="Z556" s="164" t="str">
        <f t="shared" si="32"/>
        <v>08-Infraestructura física, mantenimiento y dotación (Sedes construidas, mantenidas reforzadas)</v>
      </c>
      <c r="AA556" s="162" t="s">
        <v>227</v>
      </c>
      <c r="AB556" s="163" t="str">
        <f>IFERROR(VLOOKUP(AA556,TD!$N$51:$O$66,2,0)," ")</f>
        <v>Sedes mantenidas</v>
      </c>
      <c r="AC556" s="164" t="str">
        <f t="shared" si="33"/>
        <v>016_Sedes mantenidas</v>
      </c>
      <c r="AD556" s="164" t="str">
        <f t="shared" si="34"/>
        <v>08-Infraestructura física, mantenimiento y dotación (Sedes construidas, mantenidas reforzadas) 016_Sedes mantenidas</v>
      </c>
      <c r="AE556" s="163" t="str">
        <f t="shared" si="35"/>
        <v>O23011745992024020708016</v>
      </c>
      <c r="AF556" s="163" t="str">
        <f>IFERROR(VLOOKUP(AD556,TD!$J$66:$K$89,2,0)," ")</f>
        <v>PM/0131/0108/45990160207</v>
      </c>
      <c r="AG556" s="118" t="s">
        <v>385</v>
      </c>
      <c r="AH556" s="171" t="s">
        <v>193</v>
      </c>
      <c r="AI556" s="165" t="str">
        <f>CONCATENATE(PAA[[#This Row],[Id Interno]],"-",PAA[[#This Row],[tipo de Contrato (TH talento humano - B/S bienes y/o servicios)]],"-",S556,"-",T556,"-",PAA[[#This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57" spans="2:35" ht="70" x14ac:dyDescent="0.35">
      <c r="B557" s="23">
        <v>20260551</v>
      </c>
      <c r="C557" s="99" t="s">
        <v>786</v>
      </c>
      <c r="D557" s="23" t="s">
        <v>105</v>
      </c>
      <c r="E557" s="23" t="s">
        <v>363</v>
      </c>
      <c r="F557" s="23" t="s">
        <v>144</v>
      </c>
      <c r="G557" s="129" t="s">
        <v>374</v>
      </c>
      <c r="H557" s="136">
        <v>11</v>
      </c>
      <c r="I557" s="136">
        <v>0</v>
      </c>
      <c r="J557" s="127">
        <v>90750000</v>
      </c>
      <c r="K557" s="88" t="s">
        <v>398</v>
      </c>
      <c r="L557" s="159" t="s">
        <v>45</v>
      </c>
      <c r="M557" s="162" t="s">
        <v>401</v>
      </c>
      <c r="N557" s="23" t="s">
        <v>197</v>
      </c>
      <c r="O557" s="150" t="s">
        <v>925</v>
      </c>
      <c r="P557" s="162" t="s">
        <v>348</v>
      </c>
      <c r="Q557" s="53">
        <v>80111600</v>
      </c>
      <c r="R557" s="162" t="s">
        <v>208</v>
      </c>
      <c r="S557" s="162" t="str">
        <f>MID(PAA[[#This Row],[Meta Proyecto de Inversión]],1,4)</f>
        <v>8126</v>
      </c>
      <c r="T557" s="162" t="str">
        <f>MID(PAA[[#This Row],[Meta Proyecto de Inversión]],6,1)</f>
        <v>9</v>
      </c>
      <c r="U557" s="163" t="str">
        <f>IFERROR(VLOOKUP(N557,TD!$B$50:$F$54,2,0)," ")</f>
        <v>O230117</v>
      </c>
      <c r="V557" s="163" t="str">
        <f>IFERROR(VLOOKUP(N557,TD!$B$50:$F$54,3,0)," ")</f>
        <v>4599</v>
      </c>
      <c r="W557" s="163">
        <f>IFERROR(VLOOKUP(N557,TD!$B$50:$F$54,4,0)," ")</f>
        <v>20240207</v>
      </c>
      <c r="X557" s="162" t="s">
        <v>174</v>
      </c>
      <c r="Y557" s="163" t="str">
        <f>IFERROR(VLOOKUP(X557,TD!$J$51:$K$64,2,0)," ")</f>
        <v>Infraestructura física, mantenimiento y dotación (Sedes construidas, mantenidas reforzadas)</v>
      </c>
      <c r="Z557" s="164" t="str">
        <f t="shared" si="32"/>
        <v>08-Infraestructura física, mantenimiento y dotación (Sedes construidas, mantenidas reforzadas)</v>
      </c>
      <c r="AA557" s="162" t="s">
        <v>227</v>
      </c>
      <c r="AB557" s="163" t="str">
        <f>IFERROR(VLOOKUP(AA557,TD!$N$51:$O$66,2,0)," ")</f>
        <v>Sedes mantenidas</v>
      </c>
      <c r="AC557" s="164" t="str">
        <f t="shared" si="33"/>
        <v>016_Sedes mantenidas</v>
      </c>
      <c r="AD557" s="164" t="str">
        <f t="shared" si="34"/>
        <v>08-Infraestructura física, mantenimiento y dotación (Sedes construidas, mantenidas reforzadas) 016_Sedes mantenidas</v>
      </c>
      <c r="AE557" s="163" t="str">
        <f t="shared" si="35"/>
        <v>O23011745992024020708016</v>
      </c>
      <c r="AF557" s="163" t="str">
        <f>IFERROR(VLOOKUP(AD557,TD!$J$66:$K$89,2,0)," ")</f>
        <v>PM/0131/0108/45990160207</v>
      </c>
      <c r="AG557" s="118" t="s">
        <v>385</v>
      </c>
      <c r="AH557" s="171" t="s">
        <v>193</v>
      </c>
      <c r="AI557" s="165" t="str">
        <f>CONCATENATE(PAA[[#This Row],[Id Interno]],"-",PAA[[#This Row],[tipo de Contrato (TH talento humano - B/S bienes y/o servicios)]],"-",S557,"-",T557,"-",PAA[[#This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58" spans="2:35" ht="70" x14ac:dyDescent="0.35">
      <c r="B558" s="23">
        <v>20260552</v>
      </c>
      <c r="C558" s="99" t="s">
        <v>787</v>
      </c>
      <c r="D558" s="23" t="s">
        <v>105</v>
      </c>
      <c r="E558" s="23" t="s">
        <v>363</v>
      </c>
      <c r="F558" s="23" t="s">
        <v>144</v>
      </c>
      <c r="G558" s="129" t="s">
        <v>374</v>
      </c>
      <c r="H558" s="136">
        <v>11</v>
      </c>
      <c r="I558" s="136">
        <v>0</v>
      </c>
      <c r="J558" s="127">
        <v>110000000</v>
      </c>
      <c r="K558" s="88" t="s">
        <v>398</v>
      </c>
      <c r="L558" s="159" t="s">
        <v>45</v>
      </c>
      <c r="M558" s="162" t="s">
        <v>401</v>
      </c>
      <c r="N558" s="23" t="s">
        <v>197</v>
      </c>
      <c r="O558" s="150" t="s">
        <v>925</v>
      </c>
      <c r="P558" s="162" t="s">
        <v>348</v>
      </c>
      <c r="Q558" s="53">
        <v>80111600</v>
      </c>
      <c r="R558" s="162" t="s">
        <v>208</v>
      </c>
      <c r="S558" s="162" t="str">
        <f>MID(PAA[[#This Row],[Meta Proyecto de Inversión]],1,4)</f>
        <v>8126</v>
      </c>
      <c r="T558" s="162" t="str">
        <f>MID(PAA[[#This Row],[Meta Proyecto de Inversión]],6,1)</f>
        <v>9</v>
      </c>
      <c r="U558" s="163" t="str">
        <f>IFERROR(VLOOKUP(N558,TD!$B$50:$F$54,2,0)," ")</f>
        <v>O230117</v>
      </c>
      <c r="V558" s="163" t="str">
        <f>IFERROR(VLOOKUP(N558,TD!$B$50:$F$54,3,0)," ")</f>
        <v>4599</v>
      </c>
      <c r="W558" s="163">
        <f>IFERROR(VLOOKUP(N558,TD!$B$50:$F$54,4,0)," ")</f>
        <v>20240207</v>
      </c>
      <c r="X558" s="162" t="s">
        <v>174</v>
      </c>
      <c r="Y558" s="163" t="str">
        <f>IFERROR(VLOOKUP(X558,TD!$J$51:$K$64,2,0)," ")</f>
        <v>Infraestructura física, mantenimiento y dotación (Sedes construidas, mantenidas reforzadas)</v>
      </c>
      <c r="Z558" s="164" t="str">
        <f t="shared" si="32"/>
        <v>08-Infraestructura física, mantenimiento y dotación (Sedes construidas, mantenidas reforzadas)</v>
      </c>
      <c r="AA558" s="162" t="s">
        <v>227</v>
      </c>
      <c r="AB558" s="163" t="str">
        <f>IFERROR(VLOOKUP(AA558,TD!$N$51:$O$66,2,0)," ")</f>
        <v>Sedes mantenidas</v>
      </c>
      <c r="AC558" s="164" t="str">
        <f t="shared" si="33"/>
        <v>016_Sedes mantenidas</v>
      </c>
      <c r="AD558" s="164" t="str">
        <f t="shared" si="34"/>
        <v>08-Infraestructura física, mantenimiento y dotación (Sedes construidas, mantenidas reforzadas) 016_Sedes mantenidas</v>
      </c>
      <c r="AE558" s="163" t="str">
        <f t="shared" si="35"/>
        <v>O23011745992024020708016</v>
      </c>
      <c r="AF558" s="163" t="str">
        <f>IFERROR(VLOOKUP(AD558,TD!$J$66:$K$89,2,0)," ")</f>
        <v>PM/0131/0108/45990160207</v>
      </c>
      <c r="AG558" s="118" t="s">
        <v>385</v>
      </c>
      <c r="AH558" s="171" t="s">
        <v>193</v>
      </c>
      <c r="AI558" s="165" t="str">
        <f>CONCATENATE(PAA[[#This Row],[Id Interno]],"-",PAA[[#This Row],[tipo de Contrato (TH talento humano - B/S bienes y/o servicios)]],"-",S558,"-",T558,"-",PAA[[#This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59" spans="2:35" ht="56" x14ac:dyDescent="0.35">
      <c r="B559" s="142">
        <v>20260553</v>
      </c>
      <c r="C559" s="121" t="s">
        <v>788</v>
      </c>
      <c r="D559" s="130" t="s">
        <v>105</v>
      </c>
      <c r="E559" s="130" t="s">
        <v>363</v>
      </c>
      <c r="F559" s="130" t="s">
        <v>144</v>
      </c>
      <c r="G559" s="131" t="s">
        <v>374</v>
      </c>
      <c r="H559" s="137">
        <v>11</v>
      </c>
      <c r="I559" s="137">
        <v>0</v>
      </c>
      <c r="J559" s="132">
        <v>90750000</v>
      </c>
      <c r="K559" s="133" t="s">
        <v>398</v>
      </c>
      <c r="L559" s="172" t="s">
        <v>45</v>
      </c>
      <c r="M559" s="173" t="s">
        <v>401</v>
      </c>
      <c r="N559" s="130" t="s">
        <v>197</v>
      </c>
      <c r="O559" s="150" t="s">
        <v>925</v>
      </c>
      <c r="P559" s="173" t="s">
        <v>348</v>
      </c>
      <c r="Q559" s="134">
        <v>80111600</v>
      </c>
      <c r="R559" s="173" t="s">
        <v>208</v>
      </c>
      <c r="S559" s="173" t="str">
        <f>MID(PAA[[#This Row],[Meta Proyecto de Inversión]],1,4)</f>
        <v>8126</v>
      </c>
      <c r="T559" s="173" t="str">
        <f>MID(PAA[[#This Row],[Meta Proyecto de Inversión]],6,1)</f>
        <v>9</v>
      </c>
      <c r="U559" s="174" t="str">
        <f>IFERROR(VLOOKUP(N559,TD!$B$50:$F$54,2,0)," ")</f>
        <v>O230117</v>
      </c>
      <c r="V559" s="174" t="str">
        <f>IFERROR(VLOOKUP(N559,TD!$B$50:$F$54,3,0)," ")</f>
        <v>4599</v>
      </c>
      <c r="W559" s="174">
        <f>IFERROR(VLOOKUP(N559,TD!$B$50:$F$54,4,0)," ")</f>
        <v>20240207</v>
      </c>
      <c r="X559" s="173" t="s">
        <v>174</v>
      </c>
      <c r="Y559" s="163" t="str">
        <f>IFERROR(VLOOKUP(X559,TD!$J$51:$K$64,2,0)," ")</f>
        <v>Infraestructura física, mantenimiento y dotación (Sedes construidas, mantenidas reforzadas)</v>
      </c>
      <c r="Z559" s="175" t="str">
        <f t="shared" si="32"/>
        <v>08-Infraestructura física, mantenimiento y dotación (Sedes construidas, mantenidas reforzadas)</v>
      </c>
      <c r="AA559" s="162" t="s">
        <v>227</v>
      </c>
      <c r="AB559" s="163" t="str">
        <f>IFERROR(VLOOKUP(AA559,TD!$N$51:$O$66,2,0)," ")</f>
        <v>Sedes mantenidas</v>
      </c>
      <c r="AC559" s="175" t="str">
        <f t="shared" si="33"/>
        <v>016_Sedes mantenidas</v>
      </c>
      <c r="AD559" s="175" t="str">
        <f t="shared" si="34"/>
        <v>08-Infraestructura física, mantenimiento y dotación (Sedes construidas, mantenidas reforzadas) 016_Sedes mantenidas</v>
      </c>
      <c r="AE559" s="174" t="str">
        <f t="shared" si="35"/>
        <v>O23011745992024020708016</v>
      </c>
      <c r="AF559" s="163" t="str">
        <f>IFERROR(VLOOKUP(AD559,TD!$J$66:$K$89,2,0)," ")</f>
        <v>PM/0131/0108/45990160207</v>
      </c>
      <c r="AG559" s="118" t="s">
        <v>385</v>
      </c>
      <c r="AH559" s="171" t="s">
        <v>193</v>
      </c>
      <c r="AI559" s="165" t="str">
        <f>CONCATENATE(PAA[[#This Row],[Id Interno]],"-",PAA[[#This Row],[tipo de Contrato (TH talento humano - B/S bienes y/o servicios)]],"-",S559,"-",T559,"-",PAA[[#This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0" spans="2:35" ht="84" x14ac:dyDescent="0.35">
      <c r="B560" s="142">
        <v>20260554</v>
      </c>
      <c r="C560" s="121" t="s">
        <v>789</v>
      </c>
      <c r="D560" s="130" t="s">
        <v>105</v>
      </c>
      <c r="E560" s="130" t="s">
        <v>363</v>
      </c>
      <c r="F560" s="130" t="s">
        <v>144</v>
      </c>
      <c r="G560" s="131" t="s">
        <v>374</v>
      </c>
      <c r="H560" s="137">
        <v>10</v>
      </c>
      <c r="I560" s="137">
        <v>0</v>
      </c>
      <c r="J560" s="132">
        <v>78300000</v>
      </c>
      <c r="K560" s="133" t="s">
        <v>398</v>
      </c>
      <c r="L560" s="172" t="s">
        <v>45</v>
      </c>
      <c r="M560" s="173" t="s">
        <v>401</v>
      </c>
      <c r="N560" s="130" t="s">
        <v>197</v>
      </c>
      <c r="O560" s="150" t="s">
        <v>925</v>
      </c>
      <c r="P560" s="173" t="s">
        <v>348</v>
      </c>
      <c r="Q560" s="134">
        <v>80111600</v>
      </c>
      <c r="R560" s="173" t="s">
        <v>208</v>
      </c>
      <c r="S560" s="173" t="str">
        <f>MID(PAA[[#This Row],[Meta Proyecto de Inversión]],1,4)</f>
        <v>8126</v>
      </c>
      <c r="T560" s="173" t="str">
        <f>MID(PAA[[#This Row],[Meta Proyecto de Inversión]],6,1)</f>
        <v>9</v>
      </c>
      <c r="U560" s="174" t="str">
        <f>IFERROR(VLOOKUP(N560,TD!$B$50:$F$54,2,0)," ")</f>
        <v>O230117</v>
      </c>
      <c r="V560" s="174" t="str">
        <f>IFERROR(VLOOKUP(N560,TD!$B$50:$F$54,3,0)," ")</f>
        <v>4599</v>
      </c>
      <c r="W560" s="174">
        <f>IFERROR(VLOOKUP(N560,TD!$B$50:$F$54,4,0)," ")</f>
        <v>20240207</v>
      </c>
      <c r="X560" s="173" t="s">
        <v>174</v>
      </c>
      <c r="Y560" s="163" t="str">
        <f>IFERROR(VLOOKUP(X560,TD!$J$51:$K$64,2,0)," ")</f>
        <v>Infraestructura física, mantenimiento y dotación (Sedes construidas, mantenidas reforzadas)</v>
      </c>
      <c r="Z560" s="175" t="str">
        <f t="shared" si="32"/>
        <v>08-Infraestructura física, mantenimiento y dotación (Sedes construidas, mantenidas reforzadas)</v>
      </c>
      <c r="AA560" s="162" t="s">
        <v>227</v>
      </c>
      <c r="AB560" s="163" t="str">
        <f>IFERROR(VLOOKUP(AA560,TD!$N$51:$O$66,2,0)," ")</f>
        <v>Sedes mantenidas</v>
      </c>
      <c r="AC560" s="175" t="str">
        <f t="shared" si="33"/>
        <v>016_Sedes mantenidas</v>
      </c>
      <c r="AD560" s="175" t="str">
        <f t="shared" si="34"/>
        <v>08-Infraestructura física, mantenimiento y dotación (Sedes construidas, mantenidas reforzadas) 016_Sedes mantenidas</v>
      </c>
      <c r="AE560" s="174" t="str">
        <f t="shared" si="35"/>
        <v>O23011745992024020708016</v>
      </c>
      <c r="AF560" s="163" t="str">
        <f>IFERROR(VLOOKUP(AD560,TD!$J$66:$K$89,2,0)," ")</f>
        <v>PM/0131/0108/45990160207</v>
      </c>
      <c r="AG560" s="118" t="s">
        <v>385</v>
      </c>
      <c r="AH560" s="171" t="s">
        <v>193</v>
      </c>
      <c r="AI560" s="165" t="str">
        <f>CONCATENATE(PAA[[#This Row],[Id Interno]],"-",PAA[[#This Row],[tipo de Contrato (TH talento humano - B/S bienes y/o servicios)]],"-",S560,"-",T560,"-",PAA[[#This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1" spans="2:35" ht="70" x14ac:dyDescent="0.35">
      <c r="B561" s="142">
        <v>20260555</v>
      </c>
      <c r="C561" s="121" t="s">
        <v>790</v>
      </c>
      <c r="D561" s="130" t="s">
        <v>105</v>
      </c>
      <c r="E561" s="130" t="s">
        <v>363</v>
      </c>
      <c r="F561" s="130" t="s">
        <v>144</v>
      </c>
      <c r="G561" s="131" t="s">
        <v>374</v>
      </c>
      <c r="H561" s="137">
        <v>10</v>
      </c>
      <c r="I561" s="137">
        <v>0</v>
      </c>
      <c r="J561" s="132">
        <v>107000000</v>
      </c>
      <c r="K561" s="133" t="s">
        <v>398</v>
      </c>
      <c r="L561" s="172" t="s">
        <v>150</v>
      </c>
      <c r="M561" s="173" t="s">
        <v>401</v>
      </c>
      <c r="N561" s="130" t="s">
        <v>197</v>
      </c>
      <c r="O561" s="150" t="s">
        <v>925</v>
      </c>
      <c r="P561" s="173" t="s">
        <v>348</v>
      </c>
      <c r="Q561" s="134">
        <v>80111600</v>
      </c>
      <c r="R561" s="173" t="s">
        <v>209</v>
      </c>
      <c r="S561" s="173" t="str">
        <f>MID(PAA[[#This Row],[Meta Proyecto de Inversión]],1,4)</f>
        <v>8126</v>
      </c>
      <c r="T561" s="173" t="str">
        <f>MID(PAA[[#This Row],[Meta Proyecto de Inversión]],6,1)</f>
        <v>1</v>
      </c>
      <c r="U561" s="174" t="str">
        <f>IFERROR(VLOOKUP(N561,TD!$B$50:$F$54,2,0)," ")</f>
        <v>O230117</v>
      </c>
      <c r="V561" s="174" t="str">
        <f>IFERROR(VLOOKUP(N561,TD!$B$50:$F$54,3,0)," ")</f>
        <v>4599</v>
      </c>
      <c r="W561" s="174">
        <f>IFERROR(VLOOKUP(N561,TD!$B$50:$F$54,4,0)," ")</f>
        <v>20240207</v>
      </c>
      <c r="X561" s="173" t="s">
        <v>182</v>
      </c>
      <c r="Y561" s="163" t="str">
        <f>IFERROR(VLOOKUP(X561,TD!$J$51:$K$64,2,0)," ")</f>
        <v>Servicios para la planeación y sistemas de gestión y comunicación estratégica</v>
      </c>
      <c r="Z561" s="175" t="str">
        <f t="shared" si="32"/>
        <v>13-Servicios para la planeación y sistemas de gestión y comunicación estratégica</v>
      </c>
      <c r="AA561" s="162" t="s">
        <v>231</v>
      </c>
      <c r="AB561" s="163" t="str">
        <f>IFERROR(VLOOKUP(AA561,TD!$N$51:$O$66,2,0)," ")</f>
        <v>Documentos de planeación</v>
      </c>
      <c r="AC561" s="175" t="str">
        <f t="shared" si="33"/>
        <v>019_Documentos de planeación</v>
      </c>
      <c r="AD561" s="175" t="str">
        <f t="shared" si="34"/>
        <v>13-Servicios para la planeación y sistemas de gestión y comunicación estratégica 019_Documentos de planeación</v>
      </c>
      <c r="AE561" s="174" t="str">
        <f t="shared" si="35"/>
        <v>O23011745992024020713019</v>
      </c>
      <c r="AF561" s="163" t="str">
        <f>IFERROR(VLOOKUP(AD561,TD!$J$66:$K$89,2,0)," ")</f>
        <v>PM/0131/0113/45990190207</v>
      </c>
      <c r="AG561" s="118" t="s">
        <v>385</v>
      </c>
      <c r="AH561" s="171" t="s">
        <v>193</v>
      </c>
      <c r="AI561" s="218" t="str">
        <f>CONCATENATE(PAA[[#This Row],[Id Interno]],"-",PAA[[#This Row],[tipo de Contrato (TH talento humano - B/S bienes y/o servicios)]],"-",S561,"-",T561,"-",PAA[[#This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2" spans="2:35" ht="70" x14ac:dyDescent="0.35">
      <c r="B562" s="142">
        <v>20260557</v>
      </c>
      <c r="C562" s="121" t="s">
        <v>791</v>
      </c>
      <c r="D562" s="130" t="s">
        <v>105</v>
      </c>
      <c r="E562" s="130" t="s">
        <v>363</v>
      </c>
      <c r="F562" s="130" t="s">
        <v>145</v>
      </c>
      <c r="G562" s="131" t="s">
        <v>374</v>
      </c>
      <c r="H562" s="137">
        <v>10</v>
      </c>
      <c r="I562" s="137">
        <v>0</v>
      </c>
      <c r="J562" s="132">
        <f>23500000</f>
        <v>23500000</v>
      </c>
      <c r="K562" s="133" t="s">
        <v>398</v>
      </c>
      <c r="L562" s="172" t="s">
        <v>150</v>
      </c>
      <c r="M562" s="173" t="s">
        <v>401</v>
      </c>
      <c r="N562" s="130" t="s">
        <v>197</v>
      </c>
      <c r="O562" s="150" t="s">
        <v>925</v>
      </c>
      <c r="P562" s="173" t="s">
        <v>348</v>
      </c>
      <c r="Q562" s="134">
        <v>80111600</v>
      </c>
      <c r="R562" s="173" t="s">
        <v>209</v>
      </c>
      <c r="S562" s="173" t="str">
        <f>MID(PAA[[#This Row],[Meta Proyecto de Inversión]],1,4)</f>
        <v>8126</v>
      </c>
      <c r="T562" s="173" t="str">
        <f>MID(PAA[[#This Row],[Meta Proyecto de Inversión]],6,1)</f>
        <v>1</v>
      </c>
      <c r="U562" s="174" t="str">
        <f>IFERROR(VLOOKUP(N562,TD!$B$50:$F$54,2,0)," ")</f>
        <v>O230117</v>
      </c>
      <c r="V562" s="174" t="str">
        <f>IFERROR(VLOOKUP(N562,TD!$B$50:$F$54,3,0)," ")</f>
        <v>4599</v>
      </c>
      <c r="W562" s="174">
        <f>IFERROR(VLOOKUP(N562,TD!$B$50:$F$54,4,0)," ")</f>
        <v>20240207</v>
      </c>
      <c r="X562" s="173" t="s">
        <v>182</v>
      </c>
      <c r="Y562" s="163" t="str">
        <f>IFERROR(VLOOKUP(X562,TD!$J$51:$K$64,2,0)," ")</f>
        <v>Servicios para la planeación y sistemas de gestión y comunicación estratégica</v>
      </c>
      <c r="Z562" s="175" t="str">
        <f t="shared" si="32"/>
        <v>13-Servicios para la planeación y sistemas de gestión y comunicación estratégica</v>
      </c>
      <c r="AA562" s="162" t="s">
        <v>231</v>
      </c>
      <c r="AB562" s="163" t="str">
        <f>IFERROR(VLOOKUP(AA562,TD!$N$51:$O$66,2,0)," ")</f>
        <v>Documentos de planeación</v>
      </c>
      <c r="AC562" s="175" t="str">
        <f t="shared" si="33"/>
        <v>019_Documentos de planeación</v>
      </c>
      <c r="AD562" s="175" t="str">
        <f t="shared" si="34"/>
        <v>13-Servicios para la planeación y sistemas de gestión y comunicación estratégica 019_Documentos de planeación</v>
      </c>
      <c r="AE562" s="174" t="str">
        <f t="shared" si="35"/>
        <v>O23011745992024020713019</v>
      </c>
      <c r="AF562" s="163" t="str">
        <f>IFERROR(VLOOKUP(AD562,TD!$J$66:$K$89,2,0)," ")</f>
        <v>PM/0131/0113/45990190207</v>
      </c>
      <c r="AG562" s="118" t="s">
        <v>385</v>
      </c>
      <c r="AH562" s="171" t="s">
        <v>193</v>
      </c>
      <c r="AI562" s="218" t="str">
        <f>CONCATENATE(PAA[[#This Row],[Id Interno]],"-",PAA[[#This Row],[tipo de Contrato (TH talento humano - B/S bienes y/o servicios)]],"-",S562,"-",T562,"-",PAA[[#This Row],[Objeto de la contratación]])</f>
        <v>20260557-TH-8126-1-Prestar servicios de apoyo para la gestión en asuntos de comunicaciones y prensa en la Dirección General, y demás acciones encaminadas al cumplimiento de las estrategias comunicacionales de la UAECOB</v>
      </c>
    </row>
    <row r="563" spans="2:35" ht="70" x14ac:dyDescent="0.35">
      <c r="B563" s="142">
        <v>20260558</v>
      </c>
      <c r="C563" s="121" t="s">
        <v>792</v>
      </c>
      <c r="D563" s="130" t="s">
        <v>105</v>
      </c>
      <c r="E563" s="130" t="s">
        <v>363</v>
      </c>
      <c r="F563" s="130" t="s">
        <v>144</v>
      </c>
      <c r="G563" s="131" t="s">
        <v>374</v>
      </c>
      <c r="H563" s="137">
        <v>10</v>
      </c>
      <c r="I563" s="137">
        <v>0</v>
      </c>
      <c r="J563" s="132">
        <v>70000000</v>
      </c>
      <c r="K563" s="133" t="s">
        <v>398</v>
      </c>
      <c r="L563" s="172" t="s">
        <v>150</v>
      </c>
      <c r="M563" s="173" t="s">
        <v>401</v>
      </c>
      <c r="N563" s="130" t="s">
        <v>197</v>
      </c>
      <c r="O563" s="150" t="s">
        <v>925</v>
      </c>
      <c r="P563" s="173" t="s">
        <v>348</v>
      </c>
      <c r="Q563" s="134">
        <v>80111600</v>
      </c>
      <c r="R563" s="173" t="s">
        <v>209</v>
      </c>
      <c r="S563" s="173" t="str">
        <f>MID(PAA[[#This Row],[Meta Proyecto de Inversión]],1,4)</f>
        <v>8126</v>
      </c>
      <c r="T563" s="173" t="str">
        <f>MID(PAA[[#This Row],[Meta Proyecto de Inversión]],6,1)</f>
        <v>1</v>
      </c>
      <c r="U563" s="174" t="str">
        <f>IFERROR(VLOOKUP(N563,TD!$B$50:$F$54,2,0)," ")</f>
        <v>O230117</v>
      </c>
      <c r="V563" s="174" t="str">
        <f>IFERROR(VLOOKUP(N563,TD!$B$50:$F$54,3,0)," ")</f>
        <v>4599</v>
      </c>
      <c r="W563" s="174">
        <f>IFERROR(VLOOKUP(N563,TD!$B$50:$F$54,4,0)," ")</f>
        <v>20240207</v>
      </c>
      <c r="X563" s="173" t="s">
        <v>182</v>
      </c>
      <c r="Y563" s="163" t="str">
        <f>IFERROR(VLOOKUP(X563,TD!$J$51:$K$64,2,0)," ")</f>
        <v>Servicios para la planeación y sistemas de gestión y comunicación estratégica</v>
      </c>
      <c r="Z563" s="175" t="str">
        <f t="shared" si="32"/>
        <v>13-Servicios para la planeación y sistemas de gestión y comunicación estratégica</v>
      </c>
      <c r="AA563" s="162" t="s">
        <v>231</v>
      </c>
      <c r="AB563" s="163" t="str">
        <f>IFERROR(VLOOKUP(AA563,TD!$N$51:$O$66,2,0)," ")</f>
        <v>Documentos de planeación</v>
      </c>
      <c r="AC563" s="175" t="str">
        <f t="shared" si="33"/>
        <v>019_Documentos de planeación</v>
      </c>
      <c r="AD563" s="175" t="str">
        <f t="shared" si="34"/>
        <v>13-Servicios para la planeación y sistemas de gestión y comunicación estratégica 019_Documentos de planeación</v>
      </c>
      <c r="AE563" s="174" t="str">
        <f t="shared" si="35"/>
        <v>O23011745992024020713019</v>
      </c>
      <c r="AF563" s="163" t="str">
        <f>IFERROR(VLOOKUP(AD563,TD!$J$66:$K$89,2,0)," ")</f>
        <v>PM/0131/0113/45990190207</v>
      </c>
      <c r="AG563" s="118" t="s">
        <v>385</v>
      </c>
      <c r="AH563" s="171" t="s">
        <v>193</v>
      </c>
      <c r="AI563" s="218" t="str">
        <f>CONCATENATE(PAA[[#This Row],[Id Interno]],"-",PAA[[#This Row],[tipo de Contrato (TH talento humano - B/S bienes y/o servicios)]],"-",S563,"-",T563,"-",PAA[[#This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64" spans="2:35" ht="70" x14ac:dyDescent="0.35">
      <c r="B564" s="142">
        <v>20260559</v>
      </c>
      <c r="C564" s="121" t="s">
        <v>793</v>
      </c>
      <c r="D564" s="130" t="s">
        <v>105</v>
      </c>
      <c r="E564" s="130" t="s">
        <v>363</v>
      </c>
      <c r="F564" s="130" t="s">
        <v>144</v>
      </c>
      <c r="G564" s="131" t="s">
        <v>374</v>
      </c>
      <c r="H564" s="137">
        <v>10</v>
      </c>
      <c r="I564" s="137">
        <v>0</v>
      </c>
      <c r="J564" s="132">
        <v>82500000</v>
      </c>
      <c r="K564" s="133" t="s">
        <v>398</v>
      </c>
      <c r="L564" s="172" t="s">
        <v>150</v>
      </c>
      <c r="M564" s="173" t="s">
        <v>401</v>
      </c>
      <c r="N564" s="130" t="s">
        <v>197</v>
      </c>
      <c r="O564" s="150" t="s">
        <v>925</v>
      </c>
      <c r="P564" s="173" t="s">
        <v>348</v>
      </c>
      <c r="Q564" s="134">
        <v>80111600</v>
      </c>
      <c r="R564" s="173" t="s">
        <v>209</v>
      </c>
      <c r="S564" s="173" t="str">
        <f>MID(PAA[[#This Row],[Meta Proyecto de Inversión]],1,4)</f>
        <v>8126</v>
      </c>
      <c r="T564" s="173" t="str">
        <f>MID(PAA[[#This Row],[Meta Proyecto de Inversión]],6,1)</f>
        <v>1</v>
      </c>
      <c r="U564" s="174" t="str">
        <f>IFERROR(VLOOKUP(N564,TD!$B$50:$F$54,2,0)," ")</f>
        <v>O230117</v>
      </c>
      <c r="V564" s="174" t="str">
        <f>IFERROR(VLOOKUP(N564,TD!$B$50:$F$54,3,0)," ")</f>
        <v>4599</v>
      </c>
      <c r="W564" s="174">
        <f>IFERROR(VLOOKUP(N564,TD!$B$50:$F$54,4,0)," ")</f>
        <v>20240207</v>
      </c>
      <c r="X564" s="173" t="s">
        <v>182</v>
      </c>
      <c r="Y564" s="163" t="str">
        <f>IFERROR(VLOOKUP(X564,TD!$J$51:$K$64,2,0)," ")</f>
        <v>Servicios para la planeación y sistemas de gestión y comunicación estratégica</v>
      </c>
      <c r="Z564" s="175" t="str">
        <f t="shared" si="32"/>
        <v>13-Servicios para la planeación y sistemas de gestión y comunicación estratégica</v>
      </c>
      <c r="AA564" s="173" t="s">
        <v>231</v>
      </c>
      <c r="AB564" s="163" t="str">
        <f>IFERROR(VLOOKUP(AA564,TD!$N$51:$O$66,2,0)," ")</f>
        <v>Documentos de planeación</v>
      </c>
      <c r="AC564" s="175" t="str">
        <f t="shared" si="33"/>
        <v>019_Documentos de planeación</v>
      </c>
      <c r="AD564" s="175" t="str">
        <f t="shared" si="34"/>
        <v>13-Servicios para la planeación y sistemas de gestión y comunicación estratégica 019_Documentos de planeación</v>
      </c>
      <c r="AE564" s="174" t="str">
        <f t="shared" si="35"/>
        <v>O23011745992024020713019</v>
      </c>
      <c r="AF564" s="163" t="str">
        <f>IFERROR(VLOOKUP(AD564,TD!$J$66:$K$89,2,0)," ")</f>
        <v>PM/0131/0113/45990190207</v>
      </c>
      <c r="AG564" s="135" t="s">
        <v>385</v>
      </c>
      <c r="AH564" s="171" t="s">
        <v>193</v>
      </c>
      <c r="AI564" s="218" t="str">
        <f>CONCATENATE(PAA[[#This Row],[Id Interno]],"-",PAA[[#This Row],[tipo de Contrato (TH talento humano - B/S bienes y/o servicios)]],"-",S564,"-",T564,"-",PAA[[#This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65" spans="2:35" ht="70" x14ac:dyDescent="0.35">
      <c r="B565" s="142">
        <v>20260560</v>
      </c>
      <c r="C565" s="121" t="s">
        <v>794</v>
      </c>
      <c r="D565" s="130" t="s">
        <v>105</v>
      </c>
      <c r="E565" s="130" t="s">
        <v>363</v>
      </c>
      <c r="F565" s="130" t="s">
        <v>144</v>
      </c>
      <c r="G565" s="131" t="s">
        <v>374</v>
      </c>
      <c r="H565" s="137">
        <v>10</v>
      </c>
      <c r="I565" s="137">
        <v>0</v>
      </c>
      <c r="J565" s="132">
        <v>65000000</v>
      </c>
      <c r="K565" s="133" t="s">
        <v>398</v>
      </c>
      <c r="L565" s="172" t="s">
        <v>150</v>
      </c>
      <c r="M565" s="173" t="s">
        <v>401</v>
      </c>
      <c r="N565" s="130" t="s">
        <v>197</v>
      </c>
      <c r="O565" s="150" t="s">
        <v>925</v>
      </c>
      <c r="P565" s="173" t="s">
        <v>348</v>
      </c>
      <c r="Q565" s="134">
        <v>80111600</v>
      </c>
      <c r="R565" s="173" t="s">
        <v>209</v>
      </c>
      <c r="S565" s="173" t="str">
        <f>MID(PAA[[#This Row],[Meta Proyecto de Inversión]],1,4)</f>
        <v>8126</v>
      </c>
      <c r="T565" s="173" t="str">
        <f>MID(PAA[[#This Row],[Meta Proyecto de Inversión]],6,1)</f>
        <v>1</v>
      </c>
      <c r="U565" s="174" t="str">
        <f>IFERROR(VLOOKUP(N565,TD!$B$50:$F$54,2,0)," ")</f>
        <v>O230117</v>
      </c>
      <c r="V565" s="174" t="str">
        <f>IFERROR(VLOOKUP(N565,TD!$B$50:$F$54,3,0)," ")</f>
        <v>4599</v>
      </c>
      <c r="W565" s="174">
        <f>IFERROR(VLOOKUP(N565,TD!$B$50:$F$54,4,0)," ")</f>
        <v>20240207</v>
      </c>
      <c r="X565" s="173" t="s">
        <v>182</v>
      </c>
      <c r="Y565" s="163" t="str">
        <f>IFERROR(VLOOKUP(X565,TD!$J$51:$K$64,2,0)," ")</f>
        <v>Servicios para la planeación y sistemas de gestión y comunicación estratégica</v>
      </c>
      <c r="Z565" s="175" t="str">
        <f t="shared" si="32"/>
        <v>13-Servicios para la planeación y sistemas de gestión y comunicación estratégica</v>
      </c>
      <c r="AA565" s="173" t="s">
        <v>231</v>
      </c>
      <c r="AB565" s="163" t="str">
        <f>IFERROR(VLOOKUP(AA565,TD!$N$51:$O$66,2,0)," ")</f>
        <v>Documentos de planeación</v>
      </c>
      <c r="AC565" s="175" t="str">
        <f t="shared" si="33"/>
        <v>019_Documentos de planeación</v>
      </c>
      <c r="AD565" s="175" t="str">
        <f t="shared" si="34"/>
        <v>13-Servicios para la planeación y sistemas de gestión y comunicación estratégica 019_Documentos de planeación</v>
      </c>
      <c r="AE565" s="174" t="str">
        <f t="shared" si="35"/>
        <v>O23011745992024020713019</v>
      </c>
      <c r="AF565" s="163" t="str">
        <f>IFERROR(VLOOKUP(AD565,TD!$J$66:$K$89,2,0)," ")</f>
        <v>PM/0131/0113/45990190207</v>
      </c>
      <c r="AG565" s="135" t="s">
        <v>385</v>
      </c>
      <c r="AH565" s="171" t="s">
        <v>193</v>
      </c>
      <c r="AI565" s="218" t="str">
        <f>CONCATENATE(PAA[[#This Row],[Id Interno]],"-",PAA[[#This Row],[tipo de Contrato (TH talento humano - B/S bienes y/o servicios)]],"-",S565,"-",T565,"-",PAA[[#This Row],[Objeto de la contratación]])</f>
        <v>20260560-TH-8126-1-Prestar servicios profesionales en la Dirección General para  el manejo de redes sociales de la entidad y apoyo periodistico requerido en el marco de la estrategia de comunicaciones y prensa de la UEACOB.</v>
      </c>
    </row>
    <row r="566" spans="2:35" ht="70" x14ac:dyDescent="0.35">
      <c r="B566" s="142">
        <v>20260561</v>
      </c>
      <c r="C566" s="121" t="s">
        <v>795</v>
      </c>
      <c r="D566" s="130" t="s">
        <v>105</v>
      </c>
      <c r="E566" s="130" t="s">
        <v>363</v>
      </c>
      <c r="F566" s="130" t="s">
        <v>144</v>
      </c>
      <c r="G566" s="131" t="s">
        <v>374</v>
      </c>
      <c r="H566" s="137">
        <v>10</v>
      </c>
      <c r="I566" s="137">
        <v>0</v>
      </c>
      <c r="J566" s="132">
        <f>62000000</f>
        <v>62000000</v>
      </c>
      <c r="K566" s="133" t="s">
        <v>398</v>
      </c>
      <c r="L566" s="172" t="s">
        <v>150</v>
      </c>
      <c r="M566" s="173" t="s">
        <v>401</v>
      </c>
      <c r="N566" s="130" t="s">
        <v>197</v>
      </c>
      <c r="O566" s="150" t="s">
        <v>925</v>
      </c>
      <c r="P566" s="173" t="s">
        <v>348</v>
      </c>
      <c r="Q566" s="134">
        <v>80111600</v>
      </c>
      <c r="R566" s="173" t="s">
        <v>209</v>
      </c>
      <c r="S566" s="173" t="str">
        <f>MID(PAA[[#This Row],[Meta Proyecto de Inversión]],1,4)</f>
        <v>8126</v>
      </c>
      <c r="T566" s="173" t="str">
        <f>MID(PAA[[#This Row],[Meta Proyecto de Inversión]],6,1)</f>
        <v>1</v>
      </c>
      <c r="U566" s="174" t="str">
        <f>IFERROR(VLOOKUP(N566,TD!$B$50:$F$54,2,0)," ")</f>
        <v>O230117</v>
      </c>
      <c r="V566" s="174" t="str">
        <f>IFERROR(VLOOKUP(N566,TD!$B$50:$F$54,3,0)," ")</f>
        <v>4599</v>
      </c>
      <c r="W566" s="174">
        <f>IFERROR(VLOOKUP(N566,TD!$B$50:$F$54,4,0)," ")</f>
        <v>20240207</v>
      </c>
      <c r="X566" s="173" t="s">
        <v>182</v>
      </c>
      <c r="Y566" s="163" t="str">
        <f>IFERROR(VLOOKUP(X566,TD!$J$51:$K$64,2,0)," ")</f>
        <v>Servicios para la planeación y sistemas de gestión y comunicación estratégica</v>
      </c>
      <c r="Z566" s="175" t="str">
        <f t="shared" si="32"/>
        <v>13-Servicios para la planeación y sistemas de gestión y comunicación estratégica</v>
      </c>
      <c r="AA566" s="173" t="s">
        <v>231</v>
      </c>
      <c r="AB566" s="163" t="str">
        <f>IFERROR(VLOOKUP(AA566,TD!$N$51:$O$66,2,0)," ")</f>
        <v>Documentos de planeación</v>
      </c>
      <c r="AC566" s="175" t="str">
        <f t="shared" si="33"/>
        <v>019_Documentos de planeación</v>
      </c>
      <c r="AD566" s="175" t="str">
        <f t="shared" si="34"/>
        <v>13-Servicios para la planeación y sistemas de gestión y comunicación estratégica 019_Documentos de planeación</v>
      </c>
      <c r="AE566" s="174" t="str">
        <f t="shared" si="35"/>
        <v>O23011745992024020713019</v>
      </c>
      <c r="AF566" s="163" t="str">
        <f>IFERROR(VLOOKUP(AD566,TD!$J$66:$K$89,2,0)," ")</f>
        <v>PM/0131/0113/45990190207</v>
      </c>
      <c r="AG566" s="135" t="s">
        <v>385</v>
      </c>
      <c r="AH566" s="171" t="s">
        <v>193</v>
      </c>
      <c r="AI566" s="218" t="str">
        <f>CONCATENATE(PAA[[#This Row],[Id Interno]],"-",PAA[[#This Row],[tipo de Contrato (TH talento humano - B/S bienes y/o servicios)]],"-",S566,"-",T566,"-",PAA[[#This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67" spans="2:35" ht="70" x14ac:dyDescent="0.35">
      <c r="B567" s="142">
        <v>20260562</v>
      </c>
      <c r="C567" s="121" t="s">
        <v>796</v>
      </c>
      <c r="D567" s="130" t="s">
        <v>105</v>
      </c>
      <c r="E567" s="130" t="s">
        <v>363</v>
      </c>
      <c r="F567" s="130" t="s">
        <v>144</v>
      </c>
      <c r="G567" s="131" t="s">
        <v>374</v>
      </c>
      <c r="H567" s="137">
        <v>10</v>
      </c>
      <c r="I567" s="137">
        <v>0</v>
      </c>
      <c r="J567" s="132">
        <v>65000000</v>
      </c>
      <c r="K567" s="133" t="s">
        <v>398</v>
      </c>
      <c r="L567" s="172" t="s">
        <v>150</v>
      </c>
      <c r="M567" s="173" t="s">
        <v>401</v>
      </c>
      <c r="N567" s="130" t="s">
        <v>197</v>
      </c>
      <c r="O567" s="150" t="s">
        <v>925</v>
      </c>
      <c r="P567" s="173" t="s">
        <v>348</v>
      </c>
      <c r="Q567" s="134">
        <v>80111600</v>
      </c>
      <c r="R567" s="173" t="s">
        <v>209</v>
      </c>
      <c r="S567" s="173" t="str">
        <f>MID(PAA[[#This Row],[Meta Proyecto de Inversión]],1,4)</f>
        <v>8126</v>
      </c>
      <c r="T567" s="173" t="str">
        <f>MID(PAA[[#This Row],[Meta Proyecto de Inversión]],6,1)</f>
        <v>1</v>
      </c>
      <c r="U567" s="174" t="str">
        <f>IFERROR(VLOOKUP(N567,TD!$B$50:$F$54,2,0)," ")</f>
        <v>O230117</v>
      </c>
      <c r="V567" s="174" t="str">
        <f>IFERROR(VLOOKUP(N567,TD!$B$50:$F$54,3,0)," ")</f>
        <v>4599</v>
      </c>
      <c r="W567" s="174">
        <f>IFERROR(VLOOKUP(N567,TD!$B$50:$F$54,4,0)," ")</f>
        <v>20240207</v>
      </c>
      <c r="X567" s="173" t="s">
        <v>182</v>
      </c>
      <c r="Y567" s="163" t="str">
        <f>IFERROR(VLOOKUP(X567,TD!$J$51:$K$64,2,0)," ")</f>
        <v>Servicios para la planeación y sistemas de gestión y comunicación estratégica</v>
      </c>
      <c r="Z567" s="175" t="str">
        <f t="shared" si="32"/>
        <v>13-Servicios para la planeación y sistemas de gestión y comunicación estratégica</v>
      </c>
      <c r="AA567" s="173" t="s">
        <v>231</v>
      </c>
      <c r="AB567" s="163" t="str">
        <f>IFERROR(VLOOKUP(AA567,TD!$N$51:$O$66,2,0)," ")</f>
        <v>Documentos de planeación</v>
      </c>
      <c r="AC567" s="175" t="str">
        <f t="shared" si="33"/>
        <v>019_Documentos de planeación</v>
      </c>
      <c r="AD567" s="175" t="str">
        <f t="shared" si="34"/>
        <v>13-Servicios para la planeación y sistemas de gestión y comunicación estratégica 019_Documentos de planeación</v>
      </c>
      <c r="AE567" s="174" t="str">
        <f t="shared" si="35"/>
        <v>O23011745992024020713019</v>
      </c>
      <c r="AF567" s="163" t="str">
        <f>IFERROR(VLOOKUP(AD567,TD!$J$66:$K$89,2,0)," ")</f>
        <v>PM/0131/0113/45990190207</v>
      </c>
      <c r="AG567" s="135" t="s">
        <v>385</v>
      </c>
      <c r="AH567" s="171" t="s">
        <v>193</v>
      </c>
      <c r="AI567" s="218" t="str">
        <f>CONCATENATE(PAA[[#This Row],[Id Interno]],"-",PAA[[#This Row],[tipo de Contrato (TH talento humano - B/S bienes y/o servicios)]],"-",S567,"-",T567,"-",PAA[[#This Row],[Objeto de la contratación]])</f>
        <v>20260562-TH-8126-1-Prestación de servicios profesionales para apoyar a la Dirección en la elaboración, diseño y diagramación de piezas requeridas para los planes, programas, proyectos y procedimientos</v>
      </c>
    </row>
    <row r="568" spans="2:35" ht="70" x14ac:dyDescent="0.35">
      <c r="B568" s="142">
        <v>20260563</v>
      </c>
      <c r="C568" s="121" t="s">
        <v>797</v>
      </c>
      <c r="D568" s="130" t="s">
        <v>105</v>
      </c>
      <c r="E568" s="130" t="s">
        <v>363</v>
      </c>
      <c r="F568" s="130" t="s">
        <v>145</v>
      </c>
      <c r="G568" s="131" t="s">
        <v>374</v>
      </c>
      <c r="H568" s="137">
        <v>10</v>
      </c>
      <c r="I568" s="137">
        <v>0</v>
      </c>
      <c r="J568" s="132">
        <f>23500000</f>
        <v>23500000</v>
      </c>
      <c r="K568" s="133" t="s">
        <v>398</v>
      </c>
      <c r="L568" s="172" t="s">
        <v>150</v>
      </c>
      <c r="M568" s="173" t="s">
        <v>401</v>
      </c>
      <c r="N568" s="130" t="s">
        <v>197</v>
      </c>
      <c r="O568" s="150" t="s">
        <v>925</v>
      </c>
      <c r="P568" s="173" t="s">
        <v>348</v>
      </c>
      <c r="Q568" s="134">
        <v>80111600</v>
      </c>
      <c r="R568" s="173" t="s">
        <v>209</v>
      </c>
      <c r="S568" s="173" t="str">
        <f>MID(PAA[[#This Row],[Meta Proyecto de Inversión]],1,4)</f>
        <v>8126</v>
      </c>
      <c r="T568" s="173" t="str">
        <f>MID(PAA[[#This Row],[Meta Proyecto de Inversión]],6,1)</f>
        <v>1</v>
      </c>
      <c r="U568" s="174" t="str">
        <f>IFERROR(VLOOKUP(N568,TD!$B$50:$F$54,2,0)," ")</f>
        <v>O230117</v>
      </c>
      <c r="V568" s="174" t="str">
        <f>IFERROR(VLOOKUP(N568,TD!$B$50:$F$54,3,0)," ")</f>
        <v>4599</v>
      </c>
      <c r="W568" s="174">
        <f>IFERROR(VLOOKUP(N568,TD!$B$50:$F$54,4,0)," ")</f>
        <v>20240207</v>
      </c>
      <c r="X568" s="173" t="s">
        <v>182</v>
      </c>
      <c r="Y568" s="163" t="str">
        <f>IFERROR(VLOOKUP(X568,TD!$J$51:$K$64,2,0)," ")</f>
        <v>Servicios para la planeación y sistemas de gestión y comunicación estratégica</v>
      </c>
      <c r="Z568" s="175" t="str">
        <f t="shared" si="32"/>
        <v>13-Servicios para la planeación y sistemas de gestión y comunicación estratégica</v>
      </c>
      <c r="AA568" s="173" t="s">
        <v>231</v>
      </c>
      <c r="AB568" s="163" t="str">
        <f>IFERROR(VLOOKUP(AA568,TD!$N$51:$O$66,2,0)," ")</f>
        <v>Documentos de planeación</v>
      </c>
      <c r="AC568" s="175" t="str">
        <f t="shared" si="33"/>
        <v>019_Documentos de planeación</v>
      </c>
      <c r="AD568" s="175" t="str">
        <f t="shared" si="34"/>
        <v>13-Servicios para la planeación y sistemas de gestión y comunicación estratégica 019_Documentos de planeación</v>
      </c>
      <c r="AE568" s="174" t="str">
        <f t="shared" si="35"/>
        <v>O23011745992024020713019</v>
      </c>
      <c r="AF568" s="163" t="str">
        <f>IFERROR(VLOOKUP(AD568,TD!$J$66:$K$89,2,0)," ")</f>
        <v>PM/0131/0113/45990190207</v>
      </c>
      <c r="AG568" s="135" t="s">
        <v>385</v>
      </c>
      <c r="AH568" s="171" t="s">
        <v>193</v>
      </c>
      <c r="AI568" s="218" t="str">
        <f>CONCATENATE(PAA[[#This Row],[Id Interno]],"-",PAA[[#This Row],[tipo de Contrato (TH talento humano - B/S bienes y/o servicios)]],"-",S568,"-",T568,"-",PAA[[#This Row],[Objeto de la contratación]])</f>
        <v>20260563-TH-8126-1-Prestar apoyo técnico en la Dirección, en asuntos de comunicaciones y prensa, para la producción, diseño y edición de material audiovisual de la UAECOB.</v>
      </c>
    </row>
    <row r="569" spans="2:35" ht="70" x14ac:dyDescent="0.35">
      <c r="B569" s="142">
        <v>20260564</v>
      </c>
      <c r="C569" s="121" t="s">
        <v>798</v>
      </c>
      <c r="D569" s="130" t="s">
        <v>105</v>
      </c>
      <c r="E569" s="130" t="s">
        <v>363</v>
      </c>
      <c r="F569" s="130" t="s">
        <v>144</v>
      </c>
      <c r="G569" s="131" t="s">
        <v>374</v>
      </c>
      <c r="H569" s="137">
        <v>10</v>
      </c>
      <c r="I569" s="137">
        <v>0</v>
      </c>
      <c r="J569" s="132">
        <v>100000000</v>
      </c>
      <c r="K569" s="133" t="s">
        <v>398</v>
      </c>
      <c r="L569" s="172" t="s">
        <v>150</v>
      </c>
      <c r="M569" s="173" t="s">
        <v>401</v>
      </c>
      <c r="N569" s="130" t="s">
        <v>197</v>
      </c>
      <c r="O569" s="150" t="s">
        <v>925</v>
      </c>
      <c r="P569" s="173" t="s">
        <v>348</v>
      </c>
      <c r="Q569" s="134">
        <v>80111600</v>
      </c>
      <c r="R569" s="173" t="s">
        <v>209</v>
      </c>
      <c r="S569" s="173" t="str">
        <f>MID(PAA[[#This Row],[Meta Proyecto de Inversión]],1,4)</f>
        <v>8126</v>
      </c>
      <c r="T569" s="173" t="str">
        <f>MID(PAA[[#This Row],[Meta Proyecto de Inversión]],6,1)</f>
        <v>1</v>
      </c>
      <c r="U569" s="174" t="str">
        <f>IFERROR(VLOOKUP(N569,TD!$B$50:$F$54,2,0)," ")</f>
        <v>O230117</v>
      </c>
      <c r="V569" s="174" t="str">
        <f>IFERROR(VLOOKUP(N569,TD!$B$50:$F$54,3,0)," ")</f>
        <v>4599</v>
      </c>
      <c r="W569" s="174">
        <f>IFERROR(VLOOKUP(N569,TD!$B$50:$F$54,4,0)," ")</f>
        <v>20240207</v>
      </c>
      <c r="X569" s="173" t="s">
        <v>182</v>
      </c>
      <c r="Y569" s="163" t="str">
        <f>IFERROR(VLOOKUP(X569,TD!$J$51:$K$64,2,0)," ")</f>
        <v>Servicios para la planeación y sistemas de gestión y comunicación estratégica</v>
      </c>
      <c r="Z569" s="175" t="str">
        <f t="shared" si="32"/>
        <v>13-Servicios para la planeación y sistemas de gestión y comunicación estratégica</v>
      </c>
      <c r="AA569" s="173" t="s">
        <v>231</v>
      </c>
      <c r="AB569" s="163" t="str">
        <f>IFERROR(VLOOKUP(AA569,TD!$N$51:$O$66,2,0)," ")</f>
        <v>Documentos de planeación</v>
      </c>
      <c r="AC569" s="175" t="str">
        <f t="shared" si="33"/>
        <v>019_Documentos de planeación</v>
      </c>
      <c r="AD569" s="175" t="str">
        <f t="shared" si="34"/>
        <v>13-Servicios para la planeación y sistemas de gestión y comunicación estratégica 019_Documentos de planeación</v>
      </c>
      <c r="AE569" s="174" t="str">
        <f t="shared" si="35"/>
        <v>O23011745992024020713019</v>
      </c>
      <c r="AF569" s="163" t="str">
        <f>IFERROR(VLOOKUP(AD569,TD!$J$66:$K$89,2,0)," ")</f>
        <v>PM/0131/0113/45990190207</v>
      </c>
      <c r="AG569" s="135" t="s">
        <v>385</v>
      </c>
      <c r="AH569" s="171" t="s">
        <v>193</v>
      </c>
      <c r="AI569" s="218" t="str">
        <f>CONCATENATE(PAA[[#This Row],[Id Interno]],"-",PAA[[#This Row],[tipo de Contrato (TH talento humano - B/S bienes y/o servicios)]],"-",S569,"-",T569,"-",PAA[[#This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0" spans="2:35" ht="70" x14ac:dyDescent="0.35">
      <c r="B570" s="142">
        <v>20260565</v>
      </c>
      <c r="C570" s="121" t="s">
        <v>799</v>
      </c>
      <c r="D570" s="130" t="s">
        <v>105</v>
      </c>
      <c r="E570" s="130" t="s">
        <v>363</v>
      </c>
      <c r="F570" s="130" t="s">
        <v>144</v>
      </c>
      <c r="G570" s="131" t="s">
        <v>374</v>
      </c>
      <c r="H570" s="137">
        <v>10</v>
      </c>
      <c r="I570" s="137">
        <v>0</v>
      </c>
      <c r="J570" s="132">
        <v>54000000</v>
      </c>
      <c r="K570" s="133" t="s">
        <v>398</v>
      </c>
      <c r="L570" s="172" t="s">
        <v>150</v>
      </c>
      <c r="M570" s="173" t="s">
        <v>401</v>
      </c>
      <c r="N570" s="130" t="s">
        <v>197</v>
      </c>
      <c r="O570" s="150" t="s">
        <v>925</v>
      </c>
      <c r="P570" s="173" t="s">
        <v>348</v>
      </c>
      <c r="Q570" s="134">
        <v>80111600</v>
      </c>
      <c r="R570" s="173" t="s">
        <v>209</v>
      </c>
      <c r="S570" s="173" t="str">
        <f>MID(PAA[[#This Row],[Meta Proyecto de Inversión]],1,4)</f>
        <v>8126</v>
      </c>
      <c r="T570" s="173" t="str">
        <f>MID(PAA[[#This Row],[Meta Proyecto de Inversión]],6,1)</f>
        <v>1</v>
      </c>
      <c r="U570" s="174" t="str">
        <f>IFERROR(VLOOKUP(N570,TD!$B$50:$F$54,2,0)," ")</f>
        <v>O230117</v>
      </c>
      <c r="V570" s="174" t="str">
        <f>IFERROR(VLOOKUP(N570,TD!$B$50:$F$54,3,0)," ")</f>
        <v>4599</v>
      </c>
      <c r="W570" s="174">
        <f>IFERROR(VLOOKUP(N570,TD!$B$50:$F$54,4,0)," ")</f>
        <v>20240207</v>
      </c>
      <c r="X570" s="173" t="s">
        <v>182</v>
      </c>
      <c r="Y570" s="163" t="str">
        <f>IFERROR(VLOOKUP(X570,TD!$J$51:$K$64,2,0)," ")</f>
        <v>Servicios para la planeación y sistemas de gestión y comunicación estratégica</v>
      </c>
      <c r="Z570" s="175" t="str">
        <f t="shared" si="32"/>
        <v>13-Servicios para la planeación y sistemas de gestión y comunicación estratégica</v>
      </c>
      <c r="AA570" s="173" t="s">
        <v>231</v>
      </c>
      <c r="AB570" s="163" t="str">
        <f>IFERROR(VLOOKUP(AA570,TD!$N$51:$O$66,2,0)," ")</f>
        <v>Documentos de planeación</v>
      </c>
      <c r="AC570" s="175" t="str">
        <f t="shared" si="33"/>
        <v>019_Documentos de planeación</v>
      </c>
      <c r="AD570" s="175" t="str">
        <f t="shared" si="34"/>
        <v>13-Servicios para la planeación y sistemas de gestión y comunicación estratégica 019_Documentos de planeación</v>
      </c>
      <c r="AE570" s="174" t="str">
        <f t="shared" si="35"/>
        <v>O23011745992024020713019</v>
      </c>
      <c r="AF570" s="163" t="str">
        <f>IFERROR(VLOOKUP(AD570,TD!$J$66:$K$89,2,0)," ")</f>
        <v>PM/0131/0113/45990190207</v>
      </c>
      <c r="AG570" s="135" t="s">
        <v>385</v>
      </c>
      <c r="AH570" s="171" t="s">
        <v>193</v>
      </c>
      <c r="AI570" s="218" t="str">
        <f>CONCATENATE(PAA[[#This Row],[Id Interno]],"-",PAA[[#This Row],[tipo de Contrato (TH talento humano - B/S bienes y/o servicios)]],"-",S570,"-",T570,"-",PAA[[#This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1" spans="2:35" ht="70" x14ac:dyDescent="0.35">
      <c r="B571" s="142">
        <v>20260566</v>
      </c>
      <c r="C571" s="121" t="s">
        <v>877</v>
      </c>
      <c r="D571" s="130" t="s">
        <v>105</v>
      </c>
      <c r="E571" s="130" t="s">
        <v>363</v>
      </c>
      <c r="F571" s="130" t="s">
        <v>144</v>
      </c>
      <c r="G571" s="131" t="s">
        <v>374</v>
      </c>
      <c r="H571" s="137">
        <v>10</v>
      </c>
      <c r="I571" s="137">
        <v>0</v>
      </c>
      <c r="J571" s="132">
        <v>54000000</v>
      </c>
      <c r="K571" s="133" t="s">
        <v>398</v>
      </c>
      <c r="L571" s="172" t="s">
        <v>150</v>
      </c>
      <c r="M571" s="173" t="s">
        <v>401</v>
      </c>
      <c r="N571" s="130" t="s">
        <v>197</v>
      </c>
      <c r="O571" s="150" t="s">
        <v>925</v>
      </c>
      <c r="P571" s="173" t="s">
        <v>348</v>
      </c>
      <c r="Q571" s="134">
        <v>80111600</v>
      </c>
      <c r="R571" s="173" t="s">
        <v>209</v>
      </c>
      <c r="S571" s="173" t="str">
        <f>MID(PAA[[#This Row],[Meta Proyecto de Inversión]],1,4)</f>
        <v>8126</v>
      </c>
      <c r="T571" s="173" t="str">
        <f>MID(PAA[[#This Row],[Meta Proyecto de Inversión]],6,1)</f>
        <v>1</v>
      </c>
      <c r="U571" s="174" t="str">
        <f>IFERROR(VLOOKUP(N571,TD!$B$50:$F$54,2,0)," ")</f>
        <v>O230117</v>
      </c>
      <c r="V571" s="174" t="str">
        <f>IFERROR(VLOOKUP(N571,TD!$B$50:$F$54,3,0)," ")</f>
        <v>4599</v>
      </c>
      <c r="W571" s="174">
        <f>IFERROR(VLOOKUP(N571,TD!$B$50:$F$54,4,0)," ")</f>
        <v>20240207</v>
      </c>
      <c r="X571" s="173" t="s">
        <v>182</v>
      </c>
      <c r="Y571" s="163" t="str">
        <f>IFERROR(VLOOKUP(X571,TD!$J$51:$K$64,2,0)," ")</f>
        <v>Servicios para la planeación y sistemas de gestión y comunicación estratégica</v>
      </c>
      <c r="Z571" s="175" t="str">
        <f t="shared" si="32"/>
        <v>13-Servicios para la planeación y sistemas de gestión y comunicación estratégica</v>
      </c>
      <c r="AA571" s="173" t="s">
        <v>231</v>
      </c>
      <c r="AB571" s="163" t="str">
        <f>IFERROR(VLOOKUP(AA571,TD!$N$51:$O$66,2,0)," ")</f>
        <v>Documentos de planeación</v>
      </c>
      <c r="AC571" s="175" t="str">
        <f t="shared" si="33"/>
        <v>019_Documentos de planeación</v>
      </c>
      <c r="AD571" s="175" t="str">
        <f t="shared" si="34"/>
        <v>13-Servicios para la planeación y sistemas de gestión y comunicación estratégica 019_Documentos de planeación</v>
      </c>
      <c r="AE571" s="174" t="str">
        <f t="shared" si="35"/>
        <v>O23011745992024020713019</v>
      </c>
      <c r="AF571" s="163" t="str">
        <f>IFERROR(VLOOKUP(AD571,TD!$J$66:$K$89,2,0)," ")</f>
        <v>PM/0131/0113/45990190207</v>
      </c>
      <c r="AG571" s="135" t="s">
        <v>385</v>
      </c>
      <c r="AH571" s="171" t="s">
        <v>193</v>
      </c>
      <c r="AI571" s="218" t="str">
        <f>CONCATENATE(PAA[[#This Row],[Id Interno]],"-",PAA[[#This Row],[tipo de Contrato (TH talento humano - B/S bienes y/o servicios)]],"-",S571,"-",T571,"-",PAA[[#This Row],[Objeto de la contratación]])</f>
        <v>20260566-TH-8126-1-Prestar servicios profesionales en comunicación y prensa para apoyar la producción y difusión de contenidos periodísticos y audiovisuales de la UAECOB</v>
      </c>
    </row>
    <row r="572" spans="2:35" ht="70" x14ac:dyDescent="0.35">
      <c r="B572" s="142">
        <v>20260567</v>
      </c>
      <c r="C572" s="121" t="s">
        <v>800</v>
      </c>
      <c r="D572" s="130" t="s">
        <v>105</v>
      </c>
      <c r="E572" s="130" t="s">
        <v>363</v>
      </c>
      <c r="F572" s="130" t="s">
        <v>145</v>
      </c>
      <c r="G572" s="131" t="s">
        <v>374</v>
      </c>
      <c r="H572" s="137">
        <v>10</v>
      </c>
      <c r="I572" s="137">
        <v>0</v>
      </c>
      <c r="J572" s="132">
        <f>19500000-17322500</f>
        <v>2177500</v>
      </c>
      <c r="K572" s="133" t="s">
        <v>398</v>
      </c>
      <c r="L572" s="172" t="s">
        <v>150</v>
      </c>
      <c r="M572" s="173" t="s">
        <v>401</v>
      </c>
      <c r="N572" s="130" t="s">
        <v>197</v>
      </c>
      <c r="O572" s="150" t="s">
        <v>925</v>
      </c>
      <c r="P572" s="173" t="s">
        <v>348</v>
      </c>
      <c r="Q572" s="134">
        <v>80111600</v>
      </c>
      <c r="R572" s="173" t="s">
        <v>209</v>
      </c>
      <c r="S572" s="173" t="str">
        <f>MID(PAA[[#This Row],[Meta Proyecto de Inversión]],1,4)</f>
        <v>8126</v>
      </c>
      <c r="T572" s="173" t="str">
        <f>MID(PAA[[#This Row],[Meta Proyecto de Inversión]],6,1)</f>
        <v>1</v>
      </c>
      <c r="U572" s="174" t="str">
        <f>IFERROR(VLOOKUP(N572,TD!$B$50:$F$54,2,0)," ")</f>
        <v>O230117</v>
      </c>
      <c r="V572" s="174" t="str">
        <f>IFERROR(VLOOKUP(N572,TD!$B$50:$F$54,3,0)," ")</f>
        <v>4599</v>
      </c>
      <c r="W572" s="174">
        <f>IFERROR(VLOOKUP(N572,TD!$B$50:$F$54,4,0)," ")</f>
        <v>20240207</v>
      </c>
      <c r="X572" s="173" t="s">
        <v>182</v>
      </c>
      <c r="Y572" s="163" t="str">
        <f>IFERROR(VLOOKUP(X572,TD!$J$51:$K$64,2,0)," ")</f>
        <v>Servicios para la planeación y sistemas de gestión y comunicación estratégica</v>
      </c>
      <c r="Z572" s="175" t="str">
        <f t="shared" si="32"/>
        <v>13-Servicios para la planeación y sistemas de gestión y comunicación estratégica</v>
      </c>
      <c r="AA572" s="173" t="s">
        <v>231</v>
      </c>
      <c r="AB572" s="163" t="str">
        <f>IFERROR(VLOOKUP(AA572,TD!$N$51:$O$66,2,0)," ")</f>
        <v>Documentos de planeación</v>
      </c>
      <c r="AC572" s="175" t="str">
        <f t="shared" si="33"/>
        <v>019_Documentos de planeación</v>
      </c>
      <c r="AD572" s="175" t="str">
        <f t="shared" si="34"/>
        <v>13-Servicios para la planeación y sistemas de gestión y comunicación estratégica 019_Documentos de planeación</v>
      </c>
      <c r="AE572" s="174" t="str">
        <f t="shared" si="35"/>
        <v>O23011745992024020713019</v>
      </c>
      <c r="AF572" s="163" t="str">
        <f>IFERROR(VLOOKUP(AD572,TD!$J$66:$K$89,2,0)," ")</f>
        <v>PM/0131/0113/45990190207</v>
      </c>
      <c r="AG572" s="135" t="s">
        <v>385</v>
      </c>
      <c r="AH572" s="171" t="s">
        <v>193</v>
      </c>
      <c r="AI572" s="218" t="str">
        <f>CONCATENATE(PAA[[#This Row],[Id Interno]],"-",PAA[[#This Row],[tipo de Contrato (TH talento humano - B/S bienes y/o servicios)]],"-",S572,"-",T572,"-",PAA[[#This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73" spans="2:35" ht="70" x14ac:dyDescent="0.35">
      <c r="B573" s="142">
        <v>20260570</v>
      </c>
      <c r="C573" s="121" t="s">
        <v>888</v>
      </c>
      <c r="D573" s="130" t="s">
        <v>105</v>
      </c>
      <c r="E573" s="130" t="s">
        <v>363</v>
      </c>
      <c r="F573" s="130" t="s">
        <v>144</v>
      </c>
      <c r="G573" s="131" t="s">
        <v>374</v>
      </c>
      <c r="H573" s="137">
        <v>6</v>
      </c>
      <c r="I573" s="137">
        <v>0</v>
      </c>
      <c r="J573" s="132">
        <v>55200000</v>
      </c>
      <c r="K573" s="133" t="s">
        <v>398</v>
      </c>
      <c r="L573" s="172" t="s">
        <v>150</v>
      </c>
      <c r="M573" s="173" t="s">
        <v>401</v>
      </c>
      <c r="N573" s="130" t="s">
        <v>197</v>
      </c>
      <c r="O573" s="150" t="s">
        <v>925</v>
      </c>
      <c r="P573" s="173" t="s">
        <v>348</v>
      </c>
      <c r="Q573" s="134">
        <v>80111600</v>
      </c>
      <c r="R573" s="173" t="s">
        <v>209</v>
      </c>
      <c r="S573" s="173" t="str">
        <f>MID(PAA[[#This Row],[Meta Proyecto de Inversión]],1,4)</f>
        <v>8126</v>
      </c>
      <c r="T573" s="173" t="str">
        <f>MID(PAA[[#This Row],[Meta Proyecto de Inversión]],6,1)</f>
        <v>1</v>
      </c>
      <c r="U573" s="174" t="str">
        <f>IFERROR(VLOOKUP(N573,TD!$B$50:$F$54,2,0)," ")</f>
        <v>O230117</v>
      </c>
      <c r="V573" s="174" t="str">
        <f>IFERROR(VLOOKUP(N573,TD!$B$50:$F$54,3,0)," ")</f>
        <v>4599</v>
      </c>
      <c r="W573" s="174">
        <f>IFERROR(VLOOKUP(N573,TD!$B$50:$F$54,4,0)," ")</f>
        <v>20240207</v>
      </c>
      <c r="X573" s="173" t="s">
        <v>182</v>
      </c>
      <c r="Y573" s="163" t="str">
        <f>IFERROR(VLOOKUP(X573,TD!$J$51:$K$64,2,0)," ")</f>
        <v>Servicios para la planeación y sistemas de gestión y comunicación estratégica</v>
      </c>
      <c r="Z573" s="175" t="str">
        <f t="shared" si="32"/>
        <v>13-Servicios para la planeación y sistemas de gestión y comunicación estratégica</v>
      </c>
      <c r="AA573" s="173" t="s">
        <v>231</v>
      </c>
      <c r="AB573" s="163" t="str">
        <f>IFERROR(VLOOKUP(AA573,TD!$N$51:$O$66,2,0)," ")</f>
        <v>Documentos de planeación</v>
      </c>
      <c r="AC573" s="175" t="str">
        <f t="shared" si="33"/>
        <v>019_Documentos de planeación</v>
      </c>
      <c r="AD573" s="175" t="str">
        <f t="shared" si="34"/>
        <v>13-Servicios para la planeación y sistemas de gestión y comunicación estratégica 019_Documentos de planeación</v>
      </c>
      <c r="AE573" s="174" t="str">
        <f t="shared" si="35"/>
        <v>O23011745992024020713019</v>
      </c>
      <c r="AF573" s="163" t="str">
        <f>IFERROR(VLOOKUP(AD573,TD!$J$66:$K$89,2,0)," ")</f>
        <v>PM/0131/0113/45990190207</v>
      </c>
      <c r="AG573" s="135" t="s">
        <v>385</v>
      </c>
      <c r="AH573" s="171" t="s">
        <v>193</v>
      </c>
      <c r="AI573" s="218" t="str">
        <f>CONCATENATE(PAA[[#This Row],[Id Interno]],"-",PAA[[#This Row],[tipo de Contrato (TH talento humano - B/S bienes y/o servicios)]],"-",S573,"-",T573,"-",PAA[[#This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74" spans="2:35" ht="70" x14ac:dyDescent="0.35">
      <c r="B574" s="142">
        <v>20260571</v>
      </c>
      <c r="C574" s="121" t="s">
        <v>801</v>
      </c>
      <c r="D574" s="130" t="s">
        <v>83</v>
      </c>
      <c r="E574" s="130" t="s">
        <v>402</v>
      </c>
      <c r="F574" s="130" t="s">
        <v>143</v>
      </c>
      <c r="G574" s="131" t="s">
        <v>376</v>
      </c>
      <c r="H574" s="137">
        <v>10</v>
      </c>
      <c r="I574" s="137">
        <v>0</v>
      </c>
      <c r="J574" s="132">
        <v>400000000</v>
      </c>
      <c r="K574" s="133" t="s">
        <v>398</v>
      </c>
      <c r="L574" s="172" t="s">
        <v>45</v>
      </c>
      <c r="M574" s="173" t="s">
        <v>401</v>
      </c>
      <c r="N574" s="130" t="s">
        <v>197</v>
      </c>
      <c r="O574" s="150" t="s">
        <v>925</v>
      </c>
      <c r="P574" s="173" t="s">
        <v>348</v>
      </c>
      <c r="Q574" s="134" t="s">
        <v>802</v>
      </c>
      <c r="R574" s="173" t="s">
        <v>208</v>
      </c>
      <c r="S574" s="173" t="str">
        <f>MID(PAA[[#This Row],[Meta Proyecto de Inversión]],1,4)</f>
        <v>8126</v>
      </c>
      <c r="T574" s="173" t="str">
        <f>MID(PAA[[#This Row],[Meta Proyecto de Inversión]],6,1)</f>
        <v>9</v>
      </c>
      <c r="U574" s="174" t="str">
        <f>IFERROR(VLOOKUP(N574,TD!$B$50:$F$54,2,0)," ")</f>
        <v>O230117</v>
      </c>
      <c r="V574" s="174" t="str">
        <f>IFERROR(VLOOKUP(N574,TD!$B$50:$F$54,3,0)," ")</f>
        <v>4599</v>
      </c>
      <c r="W574" s="174">
        <f>IFERROR(VLOOKUP(N574,TD!$B$50:$F$54,4,0)," ")</f>
        <v>20240207</v>
      </c>
      <c r="X574" s="173" t="s">
        <v>174</v>
      </c>
      <c r="Y574" s="163" t="str">
        <f>IFERROR(VLOOKUP(X574,TD!$J$51:$K$64,2,0)," ")</f>
        <v>Infraestructura física, mantenimiento y dotación (Sedes construidas, mantenidas reforzadas)</v>
      </c>
      <c r="Z574" s="175" t="str">
        <f t="shared" si="32"/>
        <v>08-Infraestructura física, mantenimiento y dotación (Sedes construidas, mantenidas reforzadas)</v>
      </c>
      <c r="AA574" s="173" t="s">
        <v>227</v>
      </c>
      <c r="AB574" s="163" t="str">
        <f>IFERROR(VLOOKUP(AA574,TD!$N$51:$O$66,2,0)," ")</f>
        <v>Sedes mantenidas</v>
      </c>
      <c r="AC574" s="175" t="str">
        <f t="shared" si="33"/>
        <v>016_Sedes mantenidas</v>
      </c>
      <c r="AD574" s="175" t="str">
        <f t="shared" si="34"/>
        <v>08-Infraestructura física, mantenimiento y dotación (Sedes construidas, mantenidas reforzadas) 016_Sedes mantenidas</v>
      </c>
      <c r="AE574" s="174" t="str">
        <f t="shared" si="35"/>
        <v>O23011745992024020708016</v>
      </c>
      <c r="AF574" s="163" t="str">
        <f>IFERROR(VLOOKUP(AD574,TD!$J$66:$K$89,2,0)," ")</f>
        <v>PM/0131/0108/45990160207</v>
      </c>
      <c r="AG574" s="135" t="s">
        <v>900</v>
      </c>
      <c r="AH574" s="171" t="s">
        <v>193</v>
      </c>
      <c r="AI574" s="218" t="str">
        <f>CONCATENATE(PAA[[#This Row],[Id Interno]],"-",PAA[[#This Row],[tipo de Contrato (TH talento humano - B/S bienes y/o servicios)]],"-",S574,"-",T574,"-",PAA[[#This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75" spans="2:35" ht="56" x14ac:dyDescent="0.35">
      <c r="B575" s="142">
        <v>20260572</v>
      </c>
      <c r="C575" s="121" t="s">
        <v>548</v>
      </c>
      <c r="D575" s="130" t="s">
        <v>105</v>
      </c>
      <c r="E575" s="130" t="s">
        <v>363</v>
      </c>
      <c r="F575" s="130" t="s">
        <v>144</v>
      </c>
      <c r="G575" s="131" t="s">
        <v>373</v>
      </c>
      <c r="H575" s="137">
        <v>6</v>
      </c>
      <c r="I575" s="137">
        <v>0</v>
      </c>
      <c r="J575" s="132">
        <v>30000000</v>
      </c>
      <c r="K575" s="133" t="s">
        <v>398</v>
      </c>
      <c r="L575" s="172" t="s">
        <v>156</v>
      </c>
      <c r="M575" s="173" t="s">
        <v>496</v>
      </c>
      <c r="N575" s="130" t="s">
        <v>198</v>
      </c>
      <c r="O575" s="150" t="s">
        <v>926</v>
      </c>
      <c r="P575" s="173" t="s">
        <v>348</v>
      </c>
      <c r="Q575" s="134">
        <v>80111600</v>
      </c>
      <c r="R575" s="173" t="s">
        <v>214</v>
      </c>
      <c r="S575" s="173" t="str">
        <f>MID(PAA[[#This Row],[Meta Proyecto de Inversión]],1,4)</f>
        <v>8173</v>
      </c>
      <c r="T575" s="173" t="str">
        <f>MID(PAA[[#This Row],[Meta Proyecto de Inversión]],6,1)</f>
        <v>5</v>
      </c>
      <c r="U575" s="174" t="str">
        <f>IFERROR(VLOOKUP(N575,TD!$B$50:$F$54,2,0)," ")</f>
        <v>O230117</v>
      </c>
      <c r="V575" s="174" t="str">
        <f>IFERROR(VLOOKUP(N575,TD!$B$50:$F$54,3,0)," ")</f>
        <v>4503</v>
      </c>
      <c r="W575" s="174">
        <f>IFERROR(VLOOKUP(N575,TD!$B$50:$F$54,4,0)," ")</f>
        <v>20240255</v>
      </c>
      <c r="X575" s="173">
        <v>16</v>
      </c>
      <c r="Y575" s="163" t="str">
        <f>IFERROR(VLOOKUP(X575,TD!$J$51:$K$64,2,0)," ")</f>
        <v>Servicio de monitoreo y seguimiento para la gestión del riesgo</v>
      </c>
      <c r="Z575" s="175" t="str">
        <f t="shared" si="32"/>
        <v>16-Servicio de monitoreo y seguimiento para la gestión del riesgo</v>
      </c>
      <c r="AA575" s="173" t="s">
        <v>224</v>
      </c>
      <c r="AB575" s="163" t="str">
        <f>IFERROR(VLOOKUP(AA575,TD!$N$51:$O$66,2,0)," ")</f>
        <v>Servicio de monitoreo y seguimiento para la gestión del riesgo</v>
      </c>
      <c r="AC575" s="175" t="str">
        <f t="shared" si="33"/>
        <v>018_Servicio de monitoreo y seguimiento para la gestión del riesgo</v>
      </c>
      <c r="AD575" s="175" t="str">
        <f t="shared" si="34"/>
        <v>16-Servicio de monitoreo y seguimiento para la gestión del riesgo 018_Servicio de monitoreo y seguimiento para la gestión del riesgo</v>
      </c>
      <c r="AE575" s="174" t="str">
        <f t="shared" si="35"/>
        <v>O23011745032024025516018</v>
      </c>
      <c r="AF575" s="163" t="str">
        <f>IFERROR(VLOOKUP(AD575,TD!$J$66:$K$89,2,0)," ")</f>
        <v>PM/0131/0116/45030180255</v>
      </c>
      <c r="AG575" s="135" t="s">
        <v>385</v>
      </c>
      <c r="AH575" s="176" t="s">
        <v>193</v>
      </c>
      <c r="AI575" s="218" t="str">
        <f>CONCATENATE(PAA[[#This Row],[Id Interno]],"-",PAA[[#This Row],[tipo de Contrato (TH talento humano - B/S bienes y/o servicios)]],"-",S575,"-",T575,"-",PAA[[#This Row],[Objeto de la contratación]])</f>
        <v>20260572-TH-8173-5-Prestar  servicios profesionales  en las actividades de proyeccion e innovacion para la Subdirección de Gestión del Riesgo._SGR</v>
      </c>
    </row>
    <row r="576" spans="2:35" ht="56" x14ac:dyDescent="0.35">
      <c r="B576" s="142">
        <v>20260573</v>
      </c>
      <c r="C576" s="121" t="s">
        <v>548</v>
      </c>
      <c r="D576" s="130" t="s">
        <v>105</v>
      </c>
      <c r="E576" s="130" t="s">
        <v>363</v>
      </c>
      <c r="F576" s="130" t="s">
        <v>144</v>
      </c>
      <c r="G576" s="131" t="s">
        <v>373</v>
      </c>
      <c r="H576" s="137">
        <v>6</v>
      </c>
      <c r="I576" s="137">
        <v>0</v>
      </c>
      <c r="J576" s="132">
        <v>36000000</v>
      </c>
      <c r="K576" s="133" t="s">
        <v>398</v>
      </c>
      <c r="L576" s="172" t="s">
        <v>156</v>
      </c>
      <c r="M576" s="173" t="s">
        <v>496</v>
      </c>
      <c r="N576" s="130" t="s">
        <v>198</v>
      </c>
      <c r="O576" s="150" t="s">
        <v>926</v>
      </c>
      <c r="P576" s="173" t="s">
        <v>348</v>
      </c>
      <c r="Q576" s="134">
        <v>80111600</v>
      </c>
      <c r="R576" s="173" t="s">
        <v>214</v>
      </c>
      <c r="S576" s="173" t="str">
        <f>MID(PAA[[#This Row],[Meta Proyecto de Inversión]],1,4)</f>
        <v>8173</v>
      </c>
      <c r="T576" s="173" t="str">
        <f>MID(PAA[[#This Row],[Meta Proyecto de Inversión]],6,1)</f>
        <v>5</v>
      </c>
      <c r="U576" s="174" t="str">
        <f>IFERROR(VLOOKUP(N576,TD!$B$50:$F$54,2,0)," ")</f>
        <v>O230117</v>
      </c>
      <c r="V576" s="174" t="str">
        <f>IFERROR(VLOOKUP(N576,TD!$B$50:$F$54,3,0)," ")</f>
        <v>4503</v>
      </c>
      <c r="W576" s="174">
        <f>IFERROR(VLOOKUP(N576,TD!$B$50:$F$54,4,0)," ")</f>
        <v>20240255</v>
      </c>
      <c r="X576" s="173">
        <v>16</v>
      </c>
      <c r="Y576" s="163" t="str">
        <f>IFERROR(VLOOKUP(X576,TD!$J$51:$K$64,2,0)," ")</f>
        <v>Servicio de monitoreo y seguimiento para la gestión del riesgo</v>
      </c>
      <c r="Z576" s="175" t="str">
        <f t="shared" si="32"/>
        <v>16-Servicio de monitoreo y seguimiento para la gestión del riesgo</v>
      </c>
      <c r="AA576" s="173" t="s">
        <v>224</v>
      </c>
      <c r="AB576" s="163" t="str">
        <f>IFERROR(VLOOKUP(AA576,TD!$N$51:$O$66,2,0)," ")</f>
        <v>Servicio de monitoreo y seguimiento para la gestión del riesgo</v>
      </c>
      <c r="AC576" s="175" t="str">
        <f t="shared" si="33"/>
        <v>018_Servicio de monitoreo y seguimiento para la gestión del riesgo</v>
      </c>
      <c r="AD576" s="175" t="str">
        <f t="shared" si="34"/>
        <v>16-Servicio de monitoreo y seguimiento para la gestión del riesgo 018_Servicio de monitoreo y seguimiento para la gestión del riesgo</v>
      </c>
      <c r="AE576" s="174" t="str">
        <f t="shared" si="35"/>
        <v>O23011745032024025516018</v>
      </c>
      <c r="AF576" s="163" t="str">
        <f>IFERROR(VLOOKUP(AD576,TD!$J$66:$K$89,2,0)," ")</f>
        <v>PM/0131/0116/45030180255</v>
      </c>
      <c r="AG576" s="135" t="s">
        <v>385</v>
      </c>
      <c r="AH576" s="176" t="s">
        <v>193</v>
      </c>
      <c r="AI576" s="218" t="str">
        <f>CONCATENATE(PAA[[#This Row],[Id Interno]],"-",PAA[[#This Row],[tipo de Contrato (TH talento humano - B/S bienes y/o servicios)]],"-",S576,"-",T576,"-",PAA[[#This Row],[Objeto de la contratación]])</f>
        <v>20260573-TH-8173-5-Prestar  servicios profesionales  en las actividades de proyeccion e innovacion para la Subdirección de Gestión del Riesgo._SGR</v>
      </c>
    </row>
    <row r="577" spans="2:35" ht="56" x14ac:dyDescent="0.35">
      <c r="B577" s="142">
        <v>20260574</v>
      </c>
      <c r="C577" s="121" t="s">
        <v>548</v>
      </c>
      <c r="D577" s="130" t="s">
        <v>105</v>
      </c>
      <c r="E577" s="130" t="s">
        <v>363</v>
      </c>
      <c r="F577" s="130" t="s">
        <v>144</v>
      </c>
      <c r="G577" s="131" t="s">
        <v>373</v>
      </c>
      <c r="H577" s="137">
        <v>6</v>
      </c>
      <c r="I577" s="137">
        <v>0</v>
      </c>
      <c r="J577" s="132">
        <v>54600000</v>
      </c>
      <c r="K577" s="133" t="s">
        <v>398</v>
      </c>
      <c r="L577" s="172" t="s">
        <v>156</v>
      </c>
      <c r="M577" s="173" t="s">
        <v>496</v>
      </c>
      <c r="N577" s="130" t="s">
        <v>198</v>
      </c>
      <c r="O577" s="150" t="s">
        <v>926</v>
      </c>
      <c r="P577" s="173" t="s">
        <v>348</v>
      </c>
      <c r="Q577" s="134">
        <v>80111600</v>
      </c>
      <c r="R577" s="173" t="s">
        <v>214</v>
      </c>
      <c r="S577" s="173" t="str">
        <f>MID(PAA[[#This Row],[Meta Proyecto de Inversión]],1,4)</f>
        <v>8173</v>
      </c>
      <c r="T577" s="173" t="str">
        <f>MID(PAA[[#This Row],[Meta Proyecto de Inversión]],6,1)</f>
        <v>5</v>
      </c>
      <c r="U577" s="174" t="str">
        <f>IFERROR(VLOOKUP(N577,TD!$B$50:$F$54,2,0)," ")</f>
        <v>O230117</v>
      </c>
      <c r="V577" s="174" t="str">
        <f>IFERROR(VLOOKUP(N577,TD!$B$50:$F$54,3,0)," ")</f>
        <v>4503</v>
      </c>
      <c r="W577" s="174">
        <f>IFERROR(VLOOKUP(N577,TD!$B$50:$F$54,4,0)," ")</f>
        <v>20240255</v>
      </c>
      <c r="X577" s="173">
        <v>16</v>
      </c>
      <c r="Y577" s="163" t="str">
        <f>IFERROR(VLOOKUP(X577,TD!$J$51:$K$64,2,0)," ")</f>
        <v>Servicio de monitoreo y seguimiento para la gestión del riesgo</v>
      </c>
      <c r="Z577" s="175" t="str">
        <f t="shared" si="32"/>
        <v>16-Servicio de monitoreo y seguimiento para la gestión del riesgo</v>
      </c>
      <c r="AA577" s="173" t="s">
        <v>224</v>
      </c>
      <c r="AB577" s="163" t="str">
        <f>IFERROR(VLOOKUP(AA577,TD!$N$51:$O$66,2,0)," ")</f>
        <v>Servicio de monitoreo y seguimiento para la gestión del riesgo</v>
      </c>
      <c r="AC577" s="175" t="str">
        <f t="shared" si="33"/>
        <v>018_Servicio de monitoreo y seguimiento para la gestión del riesgo</v>
      </c>
      <c r="AD577" s="175" t="str">
        <f t="shared" si="34"/>
        <v>16-Servicio de monitoreo y seguimiento para la gestión del riesgo 018_Servicio de monitoreo y seguimiento para la gestión del riesgo</v>
      </c>
      <c r="AE577" s="174" t="str">
        <f t="shared" si="35"/>
        <v>O23011745032024025516018</v>
      </c>
      <c r="AF577" s="163" t="str">
        <f>IFERROR(VLOOKUP(AD577,TD!$J$66:$K$89,2,0)," ")</f>
        <v>PM/0131/0116/45030180255</v>
      </c>
      <c r="AG577" s="135" t="s">
        <v>385</v>
      </c>
      <c r="AH577" s="176" t="s">
        <v>193</v>
      </c>
      <c r="AI577" s="183" t="str">
        <f>CONCATENATE(PAA[[#This Row],[Id Interno]],"-",PAA[[#This Row],[tipo de Contrato (TH talento humano - B/S bienes y/o servicios)]],"-",S577,"-",T577,"-",PAA[[#This Row],[Objeto de la contratación]])</f>
        <v>20260574-TH-8173-5-Prestar  servicios profesionales  en las actividades de proyeccion e innovacion para la Subdirección de Gestión del Riesgo._SGR</v>
      </c>
    </row>
    <row r="578" spans="2:35" ht="84" x14ac:dyDescent="0.35">
      <c r="B578" s="142">
        <v>20260575</v>
      </c>
      <c r="C578" s="121" t="s">
        <v>890</v>
      </c>
      <c r="D578" s="130" t="s">
        <v>105</v>
      </c>
      <c r="E578" s="130" t="s">
        <v>363</v>
      </c>
      <c r="F578" s="130" t="s">
        <v>144</v>
      </c>
      <c r="G578" s="131" t="s">
        <v>373</v>
      </c>
      <c r="H578" s="137">
        <v>8</v>
      </c>
      <c r="I578" s="137">
        <v>0</v>
      </c>
      <c r="J578" s="132">
        <v>56000000</v>
      </c>
      <c r="K578" s="133" t="s">
        <v>398</v>
      </c>
      <c r="L578" s="172" t="s">
        <v>154</v>
      </c>
      <c r="M578" s="173" t="s">
        <v>448</v>
      </c>
      <c r="N578" s="130" t="s">
        <v>198</v>
      </c>
      <c r="O578" s="150" t="s">
        <v>926</v>
      </c>
      <c r="P578" s="173" t="s">
        <v>348</v>
      </c>
      <c r="Q578" s="134">
        <v>80111600</v>
      </c>
      <c r="R578" s="173" t="s">
        <v>218</v>
      </c>
      <c r="S578" s="173" t="str">
        <f>MID(PAA[[#This Row],[Meta Proyecto de Inversión]],1,4)</f>
        <v>8173</v>
      </c>
      <c r="T578" s="173" t="str">
        <f>MID(PAA[[#This Row],[Meta Proyecto de Inversión]],6,1)</f>
        <v>9</v>
      </c>
      <c r="U578" s="174" t="str">
        <f>IFERROR(VLOOKUP(N578,TD!$B$50:$F$54,2,0)," ")</f>
        <v>O230117</v>
      </c>
      <c r="V578" s="174" t="str">
        <f>IFERROR(VLOOKUP(N578,TD!$B$50:$F$54,3,0)," ")</f>
        <v>4503</v>
      </c>
      <c r="W578" s="174">
        <f>IFERROR(VLOOKUP(N578,TD!$B$50:$F$54,4,0)," ")</f>
        <v>20240255</v>
      </c>
      <c r="X578" s="173" t="s">
        <v>172</v>
      </c>
      <c r="Y578" s="163" t="str">
        <f>IFERROR(VLOOKUP(X578,TD!$J$51:$K$64,2,0)," ")</f>
        <v>Servicio de formación en gestión del riesgo de incendios para el personal UAECOB</v>
      </c>
      <c r="Z578" s="175" t="str">
        <f t="shared" si="32"/>
        <v>07-Servicio de formación en gestión del riesgo de incendios para el personal UAECOB</v>
      </c>
      <c r="AA578" s="173" t="s">
        <v>222</v>
      </c>
      <c r="AB578" s="163" t="str">
        <f>IFERROR(VLOOKUP(AA578,TD!$N$51:$O$66,2,0)," ")</f>
        <v>Servicio de educación informal</v>
      </c>
      <c r="AC578" s="175" t="str">
        <f t="shared" si="33"/>
        <v>002_Servicio de educación informal</v>
      </c>
      <c r="AD578" s="175" t="str">
        <f t="shared" si="34"/>
        <v>07-Servicio de formación en gestión del riesgo de incendios para el personal UAECOB 002_Servicio de educación informal</v>
      </c>
      <c r="AE578" s="174" t="str">
        <f t="shared" si="35"/>
        <v>O23011745032024025507002</v>
      </c>
      <c r="AF578" s="163" t="str">
        <f>IFERROR(VLOOKUP(AD578,TD!$J$66:$K$89,2,0)," ")</f>
        <v>PM/0131/0107/45030020255</v>
      </c>
      <c r="AG578" s="135" t="s">
        <v>385</v>
      </c>
      <c r="AH578" s="176" t="s">
        <v>193</v>
      </c>
      <c r="AI578" s="183" t="str">
        <f>CONCATENATE(PAA[[#This Row],[Id Interno]],"-",PAA[[#This Row],[tipo de Contrato (TH talento humano - B/S bienes y/o servicios)]],"-",S578,"-",T578,"-",PAA[[#This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79" spans="2:35" ht="70" x14ac:dyDescent="0.35">
      <c r="B579" s="142">
        <v>20260576</v>
      </c>
      <c r="C579" s="121" t="s">
        <v>889</v>
      </c>
      <c r="D579" s="130" t="s">
        <v>105</v>
      </c>
      <c r="E579" s="130" t="s">
        <v>363</v>
      </c>
      <c r="F579" s="130" t="s">
        <v>144</v>
      </c>
      <c r="G579" s="131" t="s">
        <v>374</v>
      </c>
      <c r="H579" s="137">
        <v>6</v>
      </c>
      <c r="I579" s="137">
        <v>0</v>
      </c>
      <c r="J579" s="132">
        <v>40800000</v>
      </c>
      <c r="K579" s="133" t="s">
        <v>398</v>
      </c>
      <c r="L579" s="172" t="s">
        <v>150</v>
      </c>
      <c r="M579" s="173" t="s">
        <v>401</v>
      </c>
      <c r="N579" s="130" t="s">
        <v>197</v>
      </c>
      <c r="O579" s="150" t="s">
        <v>925</v>
      </c>
      <c r="P579" s="173" t="s">
        <v>348</v>
      </c>
      <c r="Q579" s="134">
        <v>80111600</v>
      </c>
      <c r="R579" s="173" t="s">
        <v>209</v>
      </c>
      <c r="S579" s="173" t="str">
        <f>MID(PAA[[#This Row],[Meta Proyecto de Inversión]],1,4)</f>
        <v>8126</v>
      </c>
      <c r="T579" s="173" t="str">
        <f>MID(PAA[[#This Row],[Meta Proyecto de Inversión]],6,1)</f>
        <v>1</v>
      </c>
      <c r="U579" s="174" t="str">
        <f>IFERROR(VLOOKUP(N579,TD!$B$50:$F$54,2,0)," ")</f>
        <v>O230117</v>
      </c>
      <c r="V579" s="174" t="str">
        <f>IFERROR(VLOOKUP(N579,TD!$B$50:$F$54,3,0)," ")</f>
        <v>4599</v>
      </c>
      <c r="W579" s="174">
        <f>IFERROR(VLOOKUP(N579,TD!$B$50:$F$54,4,0)," ")</f>
        <v>20240207</v>
      </c>
      <c r="X579" s="173" t="s">
        <v>182</v>
      </c>
      <c r="Y579" s="163" t="str">
        <f>IFERROR(VLOOKUP(X579,TD!$J$51:$K$64,2,0)," ")</f>
        <v>Servicios para la planeación y sistemas de gestión y comunicación estratégica</v>
      </c>
      <c r="Z579" s="175" t="str">
        <f t="shared" si="32"/>
        <v>13-Servicios para la planeación y sistemas de gestión y comunicación estratégica</v>
      </c>
      <c r="AA579" s="173" t="s">
        <v>231</v>
      </c>
      <c r="AB579" s="163" t="str">
        <f>IFERROR(VLOOKUP(AA579,TD!$N$51:$O$66,2,0)," ")</f>
        <v>Documentos de planeación</v>
      </c>
      <c r="AC579" s="175" t="str">
        <f t="shared" si="33"/>
        <v>019_Documentos de planeación</v>
      </c>
      <c r="AD579" s="175" t="str">
        <f t="shared" si="34"/>
        <v>13-Servicios para la planeación y sistemas de gestión y comunicación estratégica 019_Documentos de planeación</v>
      </c>
      <c r="AE579" s="174" t="str">
        <f t="shared" si="35"/>
        <v>O23011745992024020713019</v>
      </c>
      <c r="AF579" s="163" t="str">
        <f>IFERROR(VLOOKUP(AD579,TD!$J$66:$K$89,2,0)," ")</f>
        <v>PM/0131/0113/45990190207</v>
      </c>
      <c r="AG579" s="135" t="s">
        <v>385</v>
      </c>
      <c r="AH579" s="176" t="s">
        <v>193</v>
      </c>
      <c r="AI579" s="183" t="str">
        <f>CONCATENATE(PAA[[#This Row],[Id Interno]],"-",PAA[[#This Row],[tipo de Contrato (TH talento humano - B/S bienes y/o servicios)]],"-",S579,"-",T579,"-",PAA[[#This Row],[Objeto de la contratación]])</f>
        <v>20260576-TH-8126-1-Prestación de servicios profesionales en asuntos de comunicaciones y prensa para detectar las necesidades de la Entidad y facilitar la inserción de nuevas estrategias de comunicación</v>
      </c>
    </row>
    <row r="580" spans="2:35" ht="84" x14ac:dyDescent="0.35">
      <c r="B580" s="142">
        <v>20260577</v>
      </c>
      <c r="C580" s="121" t="s">
        <v>891</v>
      </c>
      <c r="D580" s="130" t="s">
        <v>105</v>
      </c>
      <c r="E580" s="130" t="s">
        <v>363</v>
      </c>
      <c r="F580" s="130" t="s">
        <v>145</v>
      </c>
      <c r="G580" s="131" t="s">
        <v>373</v>
      </c>
      <c r="H580" s="137">
        <v>6</v>
      </c>
      <c r="I580" s="137">
        <v>0</v>
      </c>
      <c r="J580" s="132">
        <v>21600000</v>
      </c>
      <c r="K580" s="133" t="s">
        <v>398</v>
      </c>
      <c r="L580" s="172" t="s">
        <v>157</v>
      </c>
      <c r="M580" s="173" t="s">
        <v>495</v>
      </c>
      <c r="N580" s="130" t="s">
        <v>198</v>
      </c>
      <c r="O580" s="150" t="s">
        <v>926</v>
      </c>
      <c r="P580" s="173" t="s">
        <v>348</v>
      </c>
      <c r="Q580" s="134">
        <v>80111600</v>
      </c>
      <c r="R580" s="173" t="s">
        <v>213</v>
      </c>
      <c r="S580" s="173" t="str">
        <f>MID(PAA[[#This Row],[Meta Proyecto de Inversión]],1,4)</f>
        <v>8173</v>
      </c>
      <c r="T580" s="173" t="str">
        <f>MID(PAA[[#This Row],[Meta Proyecto de Inversión]],6,1)</f>
        <v>4</v>
      </c>
      <c r="U580" s="174" t="str">
        <f>IFERROR(VLOOKUP(N580,TD!$B$50:$F$54,2,0)," ")</f>
        <v>O230117</v>
      </c>
      <c r="V580" s="174" t="str">
        <f>IFERROR(VLOOKUP(N580,TD!$B$50:$F$54,3,0)," ")</f>
        <v>4503</v>
      </c>
      <c r="W580" s="174">
        <f>IFERROR(VLOOKUP(N580,TD!$B$50:$F$54,4,0)," ")</f>
        <v>20240255</v>
      </c>
      <c r="X580" s="173" t="s">
        <v>176</v>
      </c>
      <c r="Y580" s="163" t="str">
        <f>IFERROR(VLOOKUP(X580,TD!$J$51:$K$64,2,0)," ")</f>
        <v>Servicio de mantenimiento, dotación (HEA´s y equipo menor) y adquisición de vehiculos   especializados para la atención de emergencias.</v>
      </c>
      <c r="Z580" s="175" t="str">
        <f t="shared" si="32"/>
        <v>09-Servicio de mantenimiento, dotación (HEA´s y equipo menor) y adquisición de vehiculos   especializados para la atención de emergencias.</v>
      </c>
      <c r="AA580" s="173" t="s">
        <v>221</v>
      </c>
      <c r="AB580" s="163" t="str">
        <f>IFERROR(VLOOKUP(AA580,TD!$N$51:$O$66,2,0)," ")</f>
        <v>Servicio de atención a emergencias y desastres</v>
      </c>
      <c r="AC580" s="175" t="str">
        <f t="shared" si="33"/>
        <v>004_Servicio de atención a emergencias y desastres</v>
      </c>
      <c r="AD580" s="175" t="str">
        <f t="shared" si="34"/>
        <v>09-Servicio de mantenimiento, dotación (HEA´s y equipo menor) y adquisición de vehiculos   especializados para la atención de emergencias. 004_Servicio de atención a emergencias y desastres</v>
      </c>
      <c r="AE580" s="174" t="str">
        <f t="shared" si="35"/>
        <v>O23011745032024025509004</v>
      </c>
      <c r="AF580" s="163" t="str">
        <f>IFERROR(VLOOKUP(AD580,TD!$J$66:$K$89,2,0)," ")</f>
        <v>PM/0131/0109/45030040255</v>
      </c>
      <c r="AG580" s="135" t="s">
        <v>385</v>
      </c>
      <c r="AH580" s="176" t="s">
        <v>193</v>
      </c>
      <c r="AI580" s="183" t="str">
        <f>CONCATENATE(PAA[[#This Row],[Id Interno]],"-",PAA[[#This Row],[tipo de Contrato (TH talento humano - B/S bienes y/o servicios)]],"-",S580,"-",T580,"-",PAA[[#This Row],[Objeto de la contratación]])</f>
        <v>20260577-TH-8173-4-Prestar servicios de apoyo técnico en las herramientas tecnologicas para el desarrollo de las estrategias de la Subdirección  Logística-SBLG</v>
      </c>
    </row>
    <row r="581" spans="2:35" ht="84" x14ac:dyDescent="0.35">
      <c r="B581" s="142">
        <v>20260578</v>
      </c>
      <c r="C581" s="121" t="s">
        <v>892</v>
      </c>
      <c r="D581" s="130" t="s">
        <v>105</v>
      </c>
      <c r="E581" s="130" t="s">
        <v>363</v>
      </c>
      <c r="F581" s="130" t="s">
        <v>145</v>
      </c>
      <c r="G581" s="131" t="s">
        <v>373</v>
      </c>
      <c r="H581" s="137">
        <v>5</v>
      </c>
      <c r="I581" s="137">
        <v>0</v>
      </c>
      <c r="J581" s="132">
        <v>16400000</v>
      </c>
      <c r="K581" s="133" t="s">
        <v>398</v>
      </c>
      <c r="L581" s="172" t="s">
        <v>157</v>
      </c>
      <c r="M581" s="173" t="s">
        <v>495</v>
      </c>
      <c r="N581" s="130" t="s">
        <v>198</v>
      </c>
      <c r="O581" s="150" t="s">
        <v>926</v>
      </c>
      <c r="P581" s="173" t="s">
        <v>348</v>
      </c>
      <c r="Q581" s="134">
        <v>80111600</v>
      </c>
      <c r="R581" s="173" t="s">
        <v>213</v>
      </c>
      <c r="S581" s="173" t="str">
        <f>MID(PAA[[#This Row],[Meta Proyecto de Inversión]],1,4)</f>
        <v>8173</v>
      </c>
      <c r="T581" s="173" t="str">
        <f>MID(PAA[[#This Row],[Meta Proyecto de Inversión]],6,1)</f>
        <v>4</v>
      </c>
      <c r="U581" s="174" t="str">
        <f>IFERROR(VLOOKUP(N581,TD!$B$50:$F$54,2,0)," ")</f>
        <v>O230117</v>
      </c>
      <c r="V581" s="174" t="str">
        <f>IFERROR(VLOOKUP(N581,TD!$B$50:$F$54,3,0)," ")</f>
        <v>4503</v>
      </c>
      <c r="W581" s="174">
        <f>IFERROR(VLOOKUP(N581,TD!$B$50:$F$54,4,0)," ")</f>
        <v>20240255</v>
      </c>
      <c r="X581" s="173" t="s">
        <v>176</v>
      </c>
      <c r="Y581" s="163" t="str">
        <f>IFERROR(VLOOKUP(X581,TD!$J$51:$K$64,2,0)," ")</f>
        <v>Servicio de mantenimiento, dotación (HEA´s y equipo menor) y adquisición de vehiculos   especializados para la atención de emergencias.</v>
      </c>
      <c r="Z581" s="175" t="str">
        <f t="shared" si="32"/>
        <v>09-Servicio de mantenimiento, dotación (HEA´s y equipo menor) y adquisición de vehiculos   especializados para la atención de emergencias.</v>
      </c>
      <c r="AA581" s="173" t="s">
        <v>221</v>
      </c>
      <c r="AB581" s="163" t="str">
        <f>IFERROR(VLOOKUP(AA581,TD!$N$51:$O$66,2,0)," ")</f>
        <v>Servicio de atención a emergencias y desastres</v>
      </c>
      <c r="AC581" s="175" t="str">
        <f t="shared" si="33"/>
        <v>004_Servicio de atención a emergencias y desastres</v>
      </c>
      <c r="AD581" s="175" t="str">
        <f t="shared" si="34"/>
        <v>09-Servicio de mantenimiento, dotación (HEA´s y equipo menor) y adquisición de vehiculos   especializados para la atención de emergencias. 004_Servicio de atención a emergencias y desastres</v>
      </c>
      <c r="AE581" s="174" t="str">
        <f t="shared" si="35"/>
        <v>O23011745032024025509004</v>
      </c>
      <c r="AF581" s="163" t="str">
        <f>IFERROR(VLOOKUP(AD581,TD!$J$66:$K$89,2,0)," ")</f>
        <v>PM/0131/0109/45030040255</v>
      </c>
      <c r="AG581" s="135" t="s">
        <v>385</v>
      </c>
      <c r="AH581" s="176" t="s">
        <v>193</v>
      </c>
      <c r="AI581" s="183" t="str">
        <f>CONCATENATE(PAA[[#This Row],[Id Interno]],"-",PAA[[#This Row],[tipo de Contrato (TH talento humano - B/S bienes y/o servicios)]],"-",S581,"-",T581,"-",PAA[[#This Row],[Objeto de la contratación]])</f>
        <v>20260578-TH-8173-4-Prestar servicios de apoyo a la gestión en las actividades de soporte operacional de la UAECOB Subdirección Logística. SBLG</v>
      </c>
    </row>
    <row r="582" spans="2:35" ht="84" x14ac:dyDescent="0.35">
      <c r="B582" s="142">
        <v>20260579</v>
      </c>
      <c r="C582" s="121" t="s">
        <v>893</v>
      </c>
      <c r="D582" s="130" t="s">
        <v>105</v>
      </c>
      <c r="E582" s="130" t="s">
        <v>363</v>
      </c>
      <c r="F582" s="130" t="s">
        <v>145</v>
      </c>
      <c r="G582" s="131" t="s">
        <v>373</v>
      </c>
      <c r="H582" s="137">
        <v>5</v>
      </c>
      <c r="I582" s="137">
        <v>0</v>
      </c>
      <c r="J582" s="132">
        <v>21388000</v>
      </c>
      <c r="K582" s="133" t="s">
        <v>398</v>
      </c>
      <c r="L582" s="172" t="s">
        <v>157</v>
      </c>
      <c r="M582" s="173" t="s">
        <v>495</v>
      </c>
      <c r="N582" s="130" t="s">
        <v>198</v>
      </c>
      <c r="O582" s="150" t="s">
        <v>926</v>
      </c>
      <c r="P582" s="173" t="s">
        <v>348</v>
      </c>
      <c r="Q582" s="134">
        <v>80111600</v>
      </c>
      <c r="R582" s="173" t="s">
        <v>213</v>
      </c>
      <c r="S582" s="173" t="str">
        <f>MID(PAA[[#This Row],[Meta Proyecto de Inversión]],1,4)</f>
        <v>8173</v>
      </c>
      <c r="T582" s="173" t="str">
        <f>MID(PAA[[#This Row],[Meta Proyecto de Inversión]],6,1)</f>
        <v>4</v>
      </c>
      <c r="U582" s="174" t="str">
        <f>IFERROR(VLOOKUP(N582,TD!$B$50:$F$54,2,0)," ")</f>
        <v>O230117</v>
      </c>
      <c r="V582" s="174" t="str">
        <f>IFERROR(VLOOKUP(N582,TD!$B$50:$F$54,3,0)," ")</f>
        <v>4503</v>
      </c>
      <c r="W582" s="174">
        <f>IFERROR(VLOOKUP(N582,TD!$B$50:$F$54,4,0)," ")</f>
        <v>20240255</v>
      </c>
      <c r="X582" s="173" t="s">
        <v>176</v>
      </c>
      <c r="Y582" s="163" t="str">
        <f>IFERROR(VLOOKUP(X582,TD!$J$51:$K$64,2,0)," ")</f>
        <v>Servicio de mantenimiento, dotación (HEA´s y equipo menor) y adquisición de vehiculos   especializados para la atención de emergencias.</v>
      </c>
      <c r="Z582" s="175" t="str">
        <f t="shared" si="32"/>
        <v>09-Servicio de mantenimiento, dotación (HEA´s y equipo menor) y adquisición de vehiculos   especializados para la atención de emergencias.</v>
      </c>
      <c r="AA582" s="173" t="s">
        <v>221</v>
      </c>
      <c r="AB582" s="163" t="str">
        <f>IFERROR(VLOOKUP(AA582,TD!$N$51:$O$66,2,0)," ")</f>
        <v>Servicio de atención a emergencias y desastres</v>
      </c>
      <c r="AC582" s="175" t="str">
        <f t="shared" si="33"/>
        <v>004_Servicio de atención a emergencias y desastres</v>
      </c>
      <c r="AD582" s="175" t="str">
        <f t="shared" si="34"/>
        <v>09-Servicio de mantenimiento, dotación (HEA´s y equipo menor) y adquisición de vehiculos   especializados para la atención de emergencias. 004_Servicio de atención a emergencias y desastres</v>
      </c>
      <c r="AE582" s="174" t="str">
        <f t="shared" si="35"/>
        <v>O23011745032024025509004</v>
      </c>
      <c r="AF582" s="163" t="str">
        <f>IFERROR(VLOOKUP(AD582,TD!$J$66:$K$89,2,0)," ")</f>
        <v>PM/0131/0109/45030040255</v>
      </c>
      <c r="AG582" s="135" t="s">
        <v>385</v>
      </c>
      <c r="AH582" s="176" t="s">
        <v>193</v>
      </c>
      <c r="AI582" s="183" t="str">
        <f>CONCATENATE(PAA[[#This Row],[Id Interno]],"-",PAA[[#This Row],[tipo de Contrato (TH talento humano - B/S bienes y/o servicios)]],"-",S582,"-",T582,"-",PAA[[#This Row],[Objeto de la contratación]])</f>
        <v>20260579-TH-8173-4-Prestar servicios de apoyo a la gestión en actividades administrativas y documentales que se desarrollen en la Subdirección Logística – SBLG".</v>
      </c>
    </row>
    <row r="583" spans="2:35" ht="84" x14ac:dyDescent="0.35">
      <c r="B583" s="142">
        <v>20260580</v>
      </c>
      <c r="C583" s="121" t="s">
        <v>894</v>
      </c>
      <c r="D583" s="130" t="s">
        <v>105</v>
      </c>
      <c r="E583" s="130" t="s">
        <v>363</v>
      </c>
      <c r="F583" s="130" t="s">
        <v>145</v>
      </c>
      <c r="G583" s="131" t="s">
        <v>373</v>
      </c>
      <c r="H583" s="137">
        <v>6</v>
      </c>
      <c r="I583" s="137">
        <v>0</v>
      </c>
      <c r="J583" s="132">
        <v>19680000</v>
      </c>
      <c r="K583" s="133" t="s">
        <v>398</v>
      </c>
      <c r="L583" s="172" t="s">
        <v>157</v>
      </c>
      <c r="M583" s="173" t="s">
        <v>495</v>
      </c>
      <c r="N583" s="130" t="s">
        <v>198</v>
      </c>
      <c r="O583" s="150" t="s">
        <v>926</v>
      </c>
      <c r="P583" s="173" t="s">
        <v>348</v>
      </c>
      <c r="Q583" s="134">
        <v>80111600</v>
      </c>
      <c r="R583" s="173" t="s">
        <v>213</v>
      </c>
      <c r="S583" s="173" t="str">
        <f>MID(PAA[[#This Row],[Meta Proyecto de Inversión]],1,4)</f>
        <v>8173</v>
      </c>
      <c r="T583" s="173" t="str">
        <f>MID(PAA[[#This Row],[Meta Proyecto de Inversión]],6,1)</f>
        <v>4</v>
      </c>
      <c r="U583" s="174" t="str">
        <f>IFERROR(VLOOKUP(N583,TD!$B$50:$F$54,2,0)," ")</f>
        <v>O230117</v>
      </c>
      <c r="V583" s="174" t="str">
        <f>IFERROR(VLOOKUP(N583,TD!$B$50:$F$54,3,0)," ")</f>
        <v>4503</v>
      </c>
      <c r="W583" s="174">
        <f>IFERROR(VLOOKUP(N583,TD!$B$50:$F$54,4,0)," ")</f>
        <v>20240255</v>
      </c>
      <c r="X583" s="173" t="s">
        <v>176</v>
      </c>
      <c r="Y583" s="163" t="str">
        <f>IFERROR(VLOOKUP(X583,TD!$J$51:$K$64,2,0)," ")</f>
        <v>Servicio de mantenimiento, dotación (HEA´s y equipo menor) y adquisición de vehiculos   especializados para la atención de emergencias.</v>
      </c>
      <c r="Z583" s="175" t="str">
        <f t="shared" si="32"/>
        <v>09-Servicio de mantenimiento, dotación (HEA´s y equipo menor) y adquisición de vehiculos   especializados para la atención de emergencias.</v>
      </c>
      <c r="AA583" s="173" t="s">
        <v>221</v>
      </c>
      <c r="AB583" s="163" t="str">
        <f>IFERROR(VLOOKUP(AA583,TD!$N$51:$O$66,2,0)," ")</f>
        <v>Servicio de atención a emergencias y desastres</v>
      </c>
      <c r="AC583" s="175" t="str">
        <f t="shared" si="33"/>
        <v>004_Servicio de atención a emergencias y desastres</v>
      </c>
      <c r="AD583" s="175" t="str">
        <f t="shared" si="34"/>
        <v>09-Servicio de mantenimiento, dotación (HEA´s y equipo menor) y adquisición de vehiculos   especializados para la atención de emergencias. 004_Servicio de atención a emergencias y desastres</v>
      </c>
      <c r="AE583" s="174" t="str">
        <f t="shared" si="35"/>
        <v>O23011745032024025509004</v>
      </c>
      <c r="AF583" s="163" t="str">
        <f>IFERROR(VLOOKUP(AD583,TD!$J$66:$K$89,2,0)," ")</f>
        <v>PM/0131/0109/45030040255</v>
      </c>
      <c r="AG583" s="135" t="s">
        <v>385</v>
      </c>
      <c r="AH583" s="176" t="s">
        <v>193</v>
      </c>
      <c r="AI583" s="183" t="str">
        <f>CONCATENATE(PAA[[#This Row],[Id Interno]],"-",PAA[[#This Row],[tipo de Contrato (TH talento humano - B/S bienes y/o servicios)]],"-",S583,"-",T583,"-",PAA[[#This Row],[Objeto de la contratación]])</f>
        <v>20260580-TH-8173-4-Prestación de servicios de apoyo a la gestión para realizar actividades documentales, administrativas relacionadas para el desarrollo de las estrategias de la Subdirección Logística. SBLG</v>
      </c>
    </row>
    <row r="584" spans="2:35" ht="84" x14ac:dyDescent="0.35">
      <c r="B584" s="142">
        <v>20260581</v>
      </c>
      <c r="C584" s="121" t="s">
        <v>895</v>
      </c>
      <c r="D584" s="130" t="s">
        <v>105</v>
      </c>
      <c r="E584" s="130" t="s">
        <v>363</v>
      </c>
      <c r="F584" s="130" t="s">
        <v>145</v>
      </c>
      <c r="G584" s="131" t="s">
        <v>373</v>
      </c>
      <c r="H584" s="137">
        <v>6</v>
      </c>
      <c r="I584" s="137">
        <v>0</v>
      </c>
      <c r="J584" s="132">
        <v>19680000</v>
      </c>
      <c r="K584" s="133" t="s">
        <v>398</v>
      </c>
      <c r="L584" s="172" t="s">
        <v>157</v>
      </c>
      <c r="M584" s="173" t="s">
        <v>495</v>
      </c>
      <c r="N584" s="130" t="s">
        <v>198</v>
      </c>
      <c r="O584" s="150" t="s">
        <v>926</v>
      </c>
      <c r="P584" s="173" t="s">
        <v>348</v>
      </c>
      <c r="Q584" s="134">
        <v>80111600</v>
      </c>
      <c r="R584" s="173" t="s">
        <v>213</v>
      </c>
      <c r="S584" s="173" t="str">
        <f>MID(PAA[[#This Row],[Meta Proyecto de Inversión]],1,4)</f>
        <v>8173</v>
      </c>
      <c r="T584" s="173" t="str">
        <f>MID(PAA[[#This Row],[Meta Proyecto de Inversión]],6,1)</f>
        <v>4</v>
      </c>
      <c r="U584" s="174" t="str">
        <f>IFERROR(VLOOKUP(N584,TD!$B$50:$F$54,2,0)," ")</f>
        <v>O230117</v>
      </c>
      <c r="V584" s="174" t="str">
        <f>IFERROR(VLOOKUP(N584,TD!$B$50:$F$54,3,0)," ")</f>
        <v>4503</v>
      </c>
      <c r="W584" s="174">
        <f>IFERROR(VLOOKUP(N584,TD!$B$50:$F$54,4,0)," ")</f>
        <v>20240255</v>
      </c>
      <c r="X584" s="173" t="s">
        <v>176</v>
      </c>
      <c r="Y584" s="163" t="str">
        <f>IFERROR(VLOOKUP(X584,TD!$J$51:$K$64,2,0)," ")</f>
        <v>Servicio de mantenimiento, dotación (HEA´s y equipo menor) y adquisición de vehiculos   especializados para la atención de emergencias.</v>
      </c>
      <c r="Z584" s="175" t="str">
        <f t="shared" si="32"/>
        <v>09-Servicio de mantenimiento, dotación (HEA´s y equipo menor) y adquisición de vehiculos   especializados para la atención de emergencias.</v>
      </c>
      <c r="AA584" s="173" t="s">
        <v>221</v>
      </c>
      <c r="AB584" s="163" t="str">
        <f>IFERROR(VLOOKUP(AA584,TD!$N$51:$O$66,2,0)," ")</f>
        <v>Servicio de atención a emergencias y desastres</v>
      </c>
      <c r="AC584" s="175" t="str">
        <f t="shared" si="33"/>
        <v>004_Servicio de atención a emergencias y desastres</v>
      </c>
      <c r="AD584" s="175" t="str">
        <f t="shared" si="34"/>
        <v>09-Servicio de mantenimiento, dotación (HEA´s y equipo menor) y adquisición de vehiculos   especializados para la atención de emergencias. 004_Servicio de atención a emergencias y desastres</v>
      </c>
      <c r="AE584" s="174" t="str">
        <f t="shared" si="35"/>
        <v>O23011745032024025509004</v>
      </c>
      <c r="AF584" s="163" t="str">
        <f>IFERROR(VLOOKUP(AD584,TD!$J$66:$K$89,2,0)," ")</f>
        <v>PM/0131/0109/45030040255</v>
      </c>
      <c r="AG584" s="135" t="s">
        <v>385</v>
      </c>
      <c r="AH584" s="176" t="s">
        <v>193</v>
      </c>
      <c r="AI584" s="183" t="str">
        <f>CONCATENATE(PAA[[#This Row],[Id Interno]],"-",PAA[[#This Row],[tipo de Contrato (TH talento humano - B/S bienes y/o servicios)]],"-",S584,"-",T584,"-",PAA[[#This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85" spans="2:35" ht="84" x14ac:dyDescent="0.35">
      <c r="B585" s="142">
        <v>20260582</v>
      </c>
      <c r="C585" s="121" t="s">
        <v>898</v>
      </c>
      <c r="D585" s="130" t="s">
        <v>105</v>
      </c>
      <c r="E585" s="130" t="s">
        <v>363</v>
      </c>
      <c r="F585" s="130" t="s">
        <v>144</v>
      </c>
      <c r="G585" s="131" t="s">
        <v>373</v>
      </c>
      <c r="H585" s="137">
        <v>6</v>
      </c>
      <c r="I585" s="137">
        <v>0</v>
      </c>
      <c r="J585" s="132">
        <v>33000000</v>
      </c>
      <c r="K585" s="133" t="s">
        <v>398</v>
      </c>
      <c r="L585" s="172" t="s">
        <v>154</v>
      </c>
      <c r="M585" s="173" t="s">
        <v>448</v>
      </c>
      <c r="N585" s="130" t="s">
        <v>198</v>
      </c>
      <c r="O585" s="150" t="s">
        <v>926</v>
      </c>
      <c r="P585" s="173" t="s">
        <v>348</v>
      </c>
      <c r="Q585" s="134">
        <v>80111600</v>
      </c>
      <c r="R585" s="173" t="s">
        <v>218</v>
      </c>
      <c r="S585" s="173" t="str">
        <f>MID(PAA[[#This Row],[Meta Proyecto de Inversión]],1,4)</f>
        <v>8173</v>
      </c>
      <c r="T585" s="173" t="str">
        <f>MID(PAA[[#This Row],[Meta Proyecto de Inversión]],6,1)</f>
        <v>9</v>
      </c>
      <c r="U585" s="174" t="str">
        <f>IFERROR(VLOOKUP(N585,TD!$B$50:$F$54,2,0)," ")</f>
        <v>O230117</v>
      </c>
      <c r="V585" s="174" t="str">
        <f>IFERROR(VLOOKUP(N585,TD!$B$50:$F$54,3,0)," ")</f>
        <v>4503</v>
      </c>
      <c r="W585" s="174">
        <f>IFERROR(VLOOKUP(N585,TD!$B$50:$F$54,4,0)," ")</f>
        <v>20240255</v>
      </c>
      <c r="X585" s="173" t="s">
        <v>172</v>
      </c>
      <c r="Y585" s="163" t="str">
        <f>IFERROR(VLOOKUP(X585,TD!$J$51:$K$64,2,0)," ")</f>
        <v>Servicio de formación en gestión del riesgo de incendios para el personal UAECOB</v>
      </c>
      <c r="Z585" s="175" t="str">
        <f t="shared" si="32"/>
        <v>07-Servicio de formación en gestión del riesgo de incendios para el personal UAECOB</v>
      </c>
      <c r="AA585" s="173" t="s">
        <v>222</v>
      </c>
      <c r="AB585" s="163" t="str">
        <f>IFERROR(VLOOKUP(AA585,TD!$N$51:$O$66,2,0)," ")</f>
        <v>Servicio de educación informal</v>
      </c>
      <c r="AC585" s="175" t="str">
        <f t="shared" si="33"/>
        <v>002_Servicio de educación informal</v>
      </c>
      <c r="AD585" s="175" t="str">
        <f t="shared" si="34"/>
        <v>07-Servicio de formación en gestión del riesgo de incendios para el personal UAECOB 002_Servicio de educación informal</v>
      </c>
      <c r="AE585" s="174" t="str">
        <f t="shared" si="35"/>
        <v>O23011745032024025507002</v>
      </c>
      <c r="AF585" s="163" t="str">
        <f>IFERROR(VLOOKUP(AD585,TD!$J$66:$K$89,2,0)," ")</f>
        <v>PM/0131/0107/45030020255</v>
      </c>
      <c r="AG585" s="135" t="s">
        <v>385</v>
      </c>
      <c r="AH585" s="176" t="s">
        <v>193</v>
      </c>
      <c r="AI585" s="183" t="str">
        <f>CONCATENATE(PAA[[#This Row],[Id Interno]],"-",PAA[[#This Row],[tipo de Contrato (TH talento humano - B/S bienes y/o servicios)]],"-",S585,"-",T585,"-",PAA[[#This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86" spans="2:35" ht="112" x14ac:dyDescent="0.35">
      <c r="B586" s="142">
        <v>20260583</v>
      </c>
      <c r="C586" s="121" t="s">
        <v>954</v>
      </c>
      <c r="D586" s="130" t="s">
        <v>105</v>
      </c>
      <c r="E586" s="130" t="s">
        <v>363</v>
      </c>
      <c r="F586" s="130" t="s">
        <v>145</v>
      </c>
      <c r="G586" s="131" t="s">
        <v>373</v>
      </c>
      <c r="H586" s="137">
        <v>6</v>
      </c>
      <c r="I586" s="137">
        <v>0</v>
      </c>
      <c r="J586" s="132">
        <v>24000000</v>
      </c>
      <c r="K586" s="133" t="s">
        <v>398</v>
      </c>
      <c r="L586" s="172" t="s">
        <v>154</v>
      </c>
      <c r="M586" s="173" t="s">
        <v>448</v>
      </c>
      <c r="N586" s="130" t="s">
        <v>197</v>
      </c>
      <c r="O586" s="150" t="s">
        <v>925</v>
      </c>
      <c r="P586" s="173" t="s">
        <v>348</v>
      </c>
      <c r="Q586" s="134">
        <v>80111600</v>
      </c>
      <c r="R586" s="173" t="s">
        <v>208</v>
      </c>
      <c r="S586" s="173" t="str">
        <f>MID(PAA[[#This Row],[Meta Proyecto de Inversión]],1,4)</f>
        <v>8126</v>
      </c>
      <c r="T586" s="173" t="str">
        <f>MID(PAA[[#This Row],[Meta Proyecto de Inversión]],6,1)</f>
        <v>9</v>
      </c>
      <c r="U586" s="174" t="str">
        <f>IFERROR(VLOOKUP(N586,TD!$B$50:$F$54,2,0)," ")</f>
        <v>O230117</v>
      </c>
      <c r="V586" s="174" t="str">
        <f>IFERROR(VLOOKUP(N586,TD!$B$50:$F$54,3,0)," ")</f>
        <v>4599</v>
      </c>
      <c r="W586" s="174">
        <f>IFERROR(VLOOKUP(N586,TD!$B$50:$F$54,4,0)," ")</f>
        <v>20240207</v>
      </c>
      <c r="X586" s="173" t="s">
        <v>174</v>
      </c>
      <c r="Y586" s="163" t="str">
        <f>IFERROR(VLOOKUP(X586,TD!$J$51:$K$64,2,0)," ")</f>
        <v>Infraestructura física, mantenimiento y dotación (Sedes construidas, mantenidas reforzadas)</v>
      </c>
      <c r="Z586" s="175" t="str">
        <f t="shared" si="32"/>
        <v>08-Infraestructura física, mantenimiento y dotación (Sedes construidas, mantenidas reforzadas)</v>
      </c>
      <c r="AA586" s="173" t="s">
        <v>227</v>
      </c>
      <c r="AB586" s="163" t="str">
        <f>IFERROR(VLOOKUP(AA586,TD!$N$51:$O$66,2,0)," ")</f>
        <v>Sedes mantenidas</v>
      </c>
      <c r="AC586" s="175" t="str">
        <f t="shared" si="33"/>
        <v>016_Sedes mantenidas</v>
      </c>
      <c r="AD586" s="175" t="str">
        <f t="shared" si="34"/>
        <v>08-Infraestructura física, mantenimiento y dotación (Sedes construidas, mantenidas reforzadas) 016_Sedes mantenidas</v>
      </c>
      <c r="AE586" s="174" t="str">
        <f t="shared" si="35"/>
        <v>O23011745992024020708016</v>
      </c>
      <c r="AF586" s="163" t="str">
        <f>IFERROR(VLOOKUP(AD586,TD!$J$66:$K$89,2,0)," ")</f>
        <v>PM/0131/0108/45990160207</v>
      </c>
      <c r="AG586" s="135" t="s">
        <v>385</v>
      </c>
      <c r="AH586" s="176" t="s">
        <v>193</v>
      </c>
      <c r="AI586" s="183" t="str">
        <f>CONCATENATE(PAA[[#This Row],[Id Interno]],"-",PAA[[#This Row],[tipo de Contrato (TH talento humano - B/S bienes y/o servicios)]],"-",S586,"-",T586,"-",PAA[[#This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87" spans="2:35" ht="56" x14ac:dyDescent="0.35">
      <c r="B587" s="142">
        <v>20260584</v>
      </c>
      <c r="C587" s="121" t="s">
        <v>844</v>
      </c>
      <c r="D587" s="130" t="s">
        <v>105</v>
      </c>
      <c r="E587" s="130" t="s">
        <v>363</v>
      </c>
      <c r="F587" s="130" t="s">
        <v>145</v>
      </c>
      <c r="G587" s="131" t="s">
        <v>373</v>
      </c>
      <c r="H587" s="137">
        <v>7</v>
      </c>
      <c r="I587" s="137">
        <v>0</v>
      </c>
      <c r="J587" s="132">
        <v>21700000</v>
      </c>
      <c r="K587" s="133" t="s">
        <v>398</v>
      </c>
      <c r="L587" s="172" t="s">
        <v>158</v>
      </c>
      <c r="M587" s="173" t="s">
        <v>421</v>
      </c>
      <c r="N587" s="130" t="s">
        <v>198</v>
      </c>
      <c r="O587" s="210" t="s">
        <v>926</v>
      </c>
      <c r="P587" s="173" t="s">
        <v>348</v>
      </c>
      <c r="Q587" s="134">
        <v>80111600</v>
      </c>
      <c r="R587" s="173" t="s">
        <v>211</v>
      </c>
      <c r="S587" s="173" t="str">
        <f>MID(PAA[[#This Row],[Meta Proyecto de Inversión]],1,4)</f>
        <v>8173</v>
      </c>
      <c r="T587" s="173" t="str">
        <f>MID(PAA[[#This Row],[Meta Proyecto de Inversión]],6,1)</f>
        <v>2</v>
      </c>
      <c r="U587" s="174" t="str">
        <f>IFERROR(VLOOKUP(N587,TD!$B$50:$F$54,2,0)," ")</f>
        <v>O230117</v>
      </c>
      <c r="V587" s="174" t="str">
        <f>IFERROR(VLOOKUP(N587,TD!$B$50:$F$54,3,0)," ")</f>
        <v>4503</v>
      </c>
      <c r="W587" s="174">
        <f>IFERROR(VLOOKUP(N587,TD!$B$50:$F$54,4,0)," ")</f>
        <v>20240255</v>
      </c>
      <c r="X587" s="173" t="s">
        <v>164</v>
      </c>
      <c r="Y587" s="163" t="str">
        <f>IFERROR(VLOOKUP(X587,TD!$J$51:$K$64,2,0)," ")</f>
        <v>Servicio de atención a incidentes y emergencias.</v>
      </c>
      <c r="Z587" s="175" t="str">
        <f t="shared" si="32"/>
        <v>04-Servicio de atención a incidentes y emergencias.</v>
      </c>
      <c r="AA587" s="173" t="s">
        <v>221</v>
      </c>
      <c r="AB587" s="163" t="str">
        <f>IFERROR(VLOOKUP(AA587,TD!$N$51:$O$66,2,0)," ")</f>
        <v>Servicio de atención a emergencias y desastres</v>
      </c>
      <c r="AC587" s="175" t="str">
        <f t="shared" si="33"/>
        <v>004_Servicio de atención a emergencias y desastres</v>
      </c>
      <c r="AD587" s="175" t="str">
        <f t="shared" si="34"/>
        <v>04-Servicio de atención a incidentes y emergencias. 004_Servicio de atención a emergencias y desastres</v>
      </c>
      <c r="AE587" s="174" t="str">
        <f t="shared" si="35"/>
        <v>O23011745032024025504004</v>
      </c>
      <c r="AF587" s="163" t="str">
        <f>IFERROR(VLOOKUP(AD587,TD!$J$66:$K$89,2,0)," ")</f>
        <v>PM/0131/0104/45030040255</v>
      </c>
      <c r="AG587" s="135" t="s">
        <v>385</v>
      </c>
      <c r="AH587" s="176" t="s">
        <v>193</v>
      </c>
      <c r="AI587" s="183" t="str">
        <f>CONCATENATE(PAA[[#This Row],[Id Interno]],"-",PAA[[#This Row],[tipo de Contrato (TH talento humano - B/S bienes y/o servicios)]],"-",S587,"-",T587,"-",PAA[[#This Row],[Objeto de la contratación]])</f>
        <v>20260584-TH-8173-2-Prestación de servicios de apoyo al proceso de comunicaciones en emergencias del centro de coordinación y comunicaciones (c.c.c.), para el desarrollo de los programas a cargo de la Subdirección Operativa-S.O.</v>
      </c>
    </row>
    <row r="588" spans="2:35" ht="66" customHeight="1" x14ac:dyDescent="0.35">
      <c r="B588" s="142">
        <v>20260585</v>
      </c>
      <c r="C588" s="121" t="s">
        <v>899</v>
      </c>
      <c r="D588" s="130" t="s">
        <v>105</v>
      </c>
      <c r="E588" s="130" t="s">
        <v>363</v>
      </c>
      <c r="F588" s="130" t="s">
        <v>144</v>
      </c>
      <c r="G588" s="131" t="s">
        <v>373</v>
      </c>
      <c r="H588" s="137">
        <v>11</v>
      </c>
      <c r="I588" s="137">
        <v>0</v>
      </c>
      <c r="J588" s="132">
        <v>66000000</v>
      </c>
      <c r="K588" s="133" t="s">
        <v>398</v>
      </c>
      <c r="L588" s="172" t="s">
        <v>158</v>
      </c>
      <c r="M588" s="173" t="s">
        <v>421</v>
      </c>
      <c r="N588" s="130" t="s">
        <v>198</v>
      </c>
      <c r="O588" s="210" t="s">
        <v>926</v>
      </c>
      <c r="P588" s="173" t="s">
        <v>348</v>
      </c>
      <c r="Q588" s="134">
        <v>80111600</v>
      </c>
      <c r="R588" s="173" t="s">
        <v>211</v>
      </c>
      <c r="S588" s="173" t="str">
        <f>MID(PAA[[#This Row],[Meta Proyecto de Inversión]],1,4)</f>
        <v>8173</v>
      </c>
      <c r="T588" s="173" t="str">
        <f>MID(PAA[[#This Row],[Meta Proyecto de Inversión]],6,1)</f>
        <v>2</v>
      </c>
      <c r="U588" s="174" t="str">
        <f>IFERROR(VLOOKUP(N588,TD!$B$50:$F$54,2,0)," ")</f>
        <v>O230117</v>
      </c>
      <c r="V588" s="174" t="str">
        <f>IFERROR(VLOOKUP(N588,TD!$B$50:$F$54,3,0)," ")</f>
        <v>4503</v>
      </c>
      <c r="W588" s="174">
        <f>IFERROR(VLOOKUP(N588,TD!$B$50:$F$54,4,0)," ")</f>
        <v>20240255</v>
      </c>
      <c r="X588" s="173" t="s">
        <v>164</v>
      </c>
      <c r="Y588" s="163" t="str">
        <f>IFERROR(VLOOKUP(X588,TD!$J$51:$K$64,2,0)," ")</f>
        <v>Servicio de atención a incidentes y emergencias.</v>
      </c>
      <c r="Z588" s="175" t="str">
        <f t="shared" ref="Z588:Z651" si="36">CONCATENATE(X588,"-",Y588)</f>
        <v>04-Servicio de atención a incidentes y emergencias.</v>
      </c>
      <c r="AA588" s="173" t="s">
        <v>221</v>
      </c>
      <c r="AB588" s="163" t="str">
        <f>IFERROR(VLOOKUP(AA588,TD!$N$51:$O$66,2,0)," ")</f>
        <v>Servicio de atención a emergencias y desastres</v>
      </c>
      <c r="AC588" s="175" t="str">
        <f t="shared" ref="AC588:AC651" si="37">CONCATENATE(AA588,"_",AB588)</f>
        <v>004_Servicio de atención a emergencias y desastres</v>
      </c>
      <c r="AD588" s="175" t="str">
        <f t="shared" ref="AD588:AD651" si="38">CONCATENATE(Z588," ",AC588)</f>
        <v>04-Servicio de atención a incidentes y emergencias. 004_Servicio de atención a emergencias y desastres</v>
      </c>
      <c r="AE588" s="174" t="str">
        <f t="shared" ref="AE588:AE651" si="39">CONCATENATE(U588,V588,W588,X588,AA588)</f>
        <v>O23011745032024025504004</v>
      </c>
      <c r="AF588" s="163" t="str">
        <f>IFERROR(VLOOKUP(AD588,TD!$J$66:$K$89,2,0)," ")</f>
        <v>PM/0131/0104/45030040255</v>
      </c>
      <c r="AG588" s="135" t="s">
        <v>385</v>
      </c>
      <c r="AH588" s="176" t="s">
        <v>193</v>
      </c>
      <c r="AI588" s="183" t="str">
        <f>CONCATENATE(PAA[[#This Row],[Id Interno]],"-",PAA[[#This Row],[tipo de Contrato (TH talento humano - B/S bienes y/o servicios)]],"-",S588,"-",T588,"-",PAA[[#This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89" spans="2:35" ht="84" x14ac:dyDescent="0.35">
      <c r="B589" s="142">
        <v>20260586</v>
      </c>
      <c r="C589" s="121" t="s">
        <v>911</v>
      </c>
      <c r="D589" s="130" t="s">
        <v>105</v>
      </c>
      <c r="E589" s="130" t="s">
        <v>363</v>
      </c>
      <c r="F589" s="130" t="s">
        <v>144</v>
      </c>
      <c r="G589" s="131" t="s">
        <v>373</v>
      </c>
      <c r="H589" s="137">
        <v>6</v>
      </c>
      <c r="I589" s="137">
        <v>0</v>
      </c>
      <c r="J589" s="132">
        <v>36000000</v>
      </c>
      <c r="K589" s="133" t="s">
        <v>398</v>
      </c>
      <c r="L589" s="172" t="s">
        <v>151</v>
      </c>
      <c r="M589" s="173" t="s">
        <v>401</v>
      </c>
      <c r="N589" s="130" t="s">
        <v>197</v>
      </c>
      <c r="O589" s="210" t="s">
        <v>925</v>
      </c>
      <c r="P589" s="173" t="s">
        <v>348</v>
      </c>
      <c r="Q589" s="134">
        <v>80111600</v>
      </c>
      <c r="R589" s="173" t="s">
        <v>206</v>
      </c>
      <c r="S589" s="173" t="str">
        <f>MID(PAA[[#This Row],[Meta Proyecto de Inversión]],1,4)</f>
        <v>8126</v>
      </c>
      <c r="T589" s="173" t="str">
        <f>MID(PAA[[#This Row],[Meta Proyecto de Inversión]],6,1)</f>
        <v>7</v>
      </c>
      <c r="U589" s="174" t="str">
        <f>IFERROR(VLOOKUP(N589,TD!$B$50:$F$54,2,0)," ")</f>
        <v>O230117</v>
      </c>
      <c r="V589" s="174" t="str">
        <f>IFERROR(VLOOKUP(N589,TD!$B$50:$F$54,3,0)," ")</f>
        <v>4599</v>
      </c>
      <c r="W589" s="174">
        <f>IFERROR(VLOOKUP(N589,TD!$B$50:$F$54,4,0)," ")</f>
        <v>20240207</v>
      </c>
      <c r="X589" s="173" t="s">
        <v>168</v>
      </c>
      <c r="Y589" s="163" t="str">
        <f>IFERROR(VLOOKUP(X589,TD!$J$51:$K$64,2,0)," ")</f>
        <v>Infraestructura Tecnológica   (Sistemas de Información y Tecnologia)</v>
      </c>
      <c r="Z589" s="175" t="str">
        <f t="shared" si="36"/>
        <v>11-Infraestructura Tecnológica   (Sistemas de Información y Tecnologia)</v>
      </c>
      <c r="AA589" s="173" t="s">
        <v>228</v>
      </c>
      <c r="AB589" s="163" t="str">
        <f>IFERROR(VLOOKUP(AA589,TD!$N$51:$O$66,2,0)," ")</f>
        <v>Servicios tecnológicos</v>
      </c>
      <c r="AC589" s="175" t="str">
        <f t="shared" si="37"/>
        <v>007_Servicios tecnológicos</v>
      </c>
      <c r="AD589" s="175" t="str">
        <f t="shared" si="38"/>
        <v>11-Infraestructura Tecnológica   (Sistemas de Información y Tecnologia) 007_Servicios tecnológicos</v>
      </c>
      <c r="AE589" s="174" t="str">
        <f t="shared" si="39"/>
        <v>O23011745992024020711007</v>
      </c>
      <c r="AF589" s="174" t="str">
        <f>IFERROR(VLOOKUP(AD589,TD!$J$66:$K$89,2,0)," ")</f>
        <v>PM/0131/0111/45990070207</v>
      </c>
      <c r="AG589" s="135" t="s">
        <v>385</v>
      </c>
      <c r="AH589" s="171" t="s">
        <v>193</v>
      </c>
      <c r="AI589" s="183" t="str">
        <f>CONCATENATE(PAA[[#This Row],[Id Interno]],"-",PAA[[#This Row],[tipo de Contrato (TH talento humano - B/S bienes y/o servicios)]],"-",S589,"-",T589,"-",PAA[[#This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590" spans="2:35" ht="98" x14ac:dyDescent="0.35">
      <c r="B590" s="148">
        <v>20260587</v>
      </c>
      <c r="C590" s="99" t="s">
        <v>912</v>
      </c>
      <c r="D590" s="23" t="s">
        <v>105</v>
      </c>
      <c r="E590" s="23" t="s">
        <v>363</v>
      </c>
      <c r="F590" s="23" t="s">
        <v>144</v>
      </c>
      <c r="G590" s="129" t="s">
        <v>373</v>
      </c>
      <c r="H590" s="136">
        <v>6</v>
      </c>
      <c r="I590" s="136">
        <v>0</v>
      </c>
      <c r="J590" s="127">
        <v>36000000</v>
      </c>
      <c r="K590" s="88" t="s">
        <v>398</v>
      </c>
      <c r="L590" s="159" t="s">
        <v>151</v>
      </c>
      <c r="M590" s="162" t="s">
        <v>401</v>
      </c>
      <c r="N590" s="23" t="s">
        <v>197</v>
      </c>
      <c r="O590" s="150" t="s">
        <v>925</v>
      </c>
      <c r="P590" s="162" t="s">
        <v>348</v>
      </c>
      <c r="Q590" s="53">
        <v>80111600</v>
      </c>
      <c r="R590" s="162" t="s">
        <v>206</v>
      </c>
      <c r="S590" s="162" t="str">
        <f>MID(PAA[[#This Row],[Meta Proyecto de Inversión]],1,4)</f>
        <v>8126</v>
      </c>
      <c r="T590" s="162" t="str">
        <f>MID(PAA[[#This Row],[Meta Proyecto de Inversión]],6,1)</f>
        <v>7</v>
      </c>
      <c r="U590" s="163" t="str">
        <f>IFERROR(VLOOKUP(N590,TD!$B$50:$F$54,2,0)," ")</f>
        <v>O230117</v>
      </c>
      <c r="V590" s="163" t="str">
        <f>IFERROR(VLOOKUP(N590,TD!$B$50:$F$54,3,0)," ")</f>
        <v>4599</v>
      </c>
      <c r="W590" s="163">
        <f>IFERROR(VLOOKUP(N590,TD!$B$50:$F$54,4,0)," ")</f>
        <v>20240207</v>
      </c>
      <c r="X590" s="173" t="s">
        <v>168</v>
      </c>
      <c r="Y590" s="163" t="str">
        <f>IFERROR(VLOOKUP(X590,TD!$J$51:$K$64,2,0)," ")</f>
        <v>Infraestructura Tecnológica   (Sistemas de Información y Tecnologia)</v>
      </c>
      <c r="Z590" s="175" t="str">
        <f t="shared" si="36"/>
        <v>11-Infraestructura Tecnológica   (Sistemas de Información y Tecnologia)</v>
      </c>
      <c r="AA590" s="173" t="s">
        <v>228</v>
      </c>
      <c r="AB590" s="163" t="str">
        <f>IFERROR(VLOOKUP(AA590,TD!$N$51:$O$66,2,0)," ")</f>
        <v>Servicios tecnológicos</v>
      </c>
      <c r="AC590" s="164" t="str">
        <f t="shared" si="37"/>
        <v>007_Servicios tecnológicos</v>
      </c>
      <c r="AD590" s="164" t="str">
        <f t="shared" si="38"/>
        <v>11-Infraestructura Tecnológica   (Sistemas de Información y Tecnologia) 007_Servicios tecnológicos</v>
      </c>
      <c r="AE590" s="163" t="str">
        <f t="shared" si="39"/>
        <v>O23011745992024020711007</v>
      </c>
      <c r="AF590" s="163" t="str">
        <f>IFERROR(VLOOKUP(AD590,TD!$J$66:$K$89,2,0)," ")</f>
        <v>PM/0131/0111/45990070207</v>
      </c>
      <c r="AG590" s="135" t="s">
        <v>385</v>
      </c>
      <c r="AH590" s="171" t="s">
        <v>193</v>
      </c>
      <c r="AI590" s="183" t="str">
        <f>CONCATENATE(PAA[[#This Row],[Id Interno]],"-",PAA[[#This Row],[tipo de Contrato (TH talento humano - B/S bienes y/o servicios)]],"-",S590,"-",T590,"-",PAA[[#This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591" spans="2:35" ht="56" x14ac:dyDescent="0.35">
      <c r="B591" s="148">
        <v>20260588</v>
      </c>
      <c r="C591" s="23" t="s">
        <v>913</v>
      </c>
      <c r="D591" s="23" t="s">
        <v>92</v>
      </c>
      <c r="E591" s="23" t="s">
        <v>402</v>
      </c>
      <c r="F591" s="23" t="s">
        <v>111</v>
      </c>
      <c r="G591" s="157" t="s">
        <v>375</v>
      </c>
      <c r="H591" s="136">
        <v>1</v>
      </c>
      <c r="I591" s="136">
        <v>12</v>
      </c>
      <c r="J591" s="127">
        <v>2386600</v>
      </c>
      <c r="K591" s="88" t="s">
        <v>398</v>
      </c>
      <c r="L591" s="159" t="s">
        <v>155</v>
      </c>
      <c r="M591" s="162" t="s">
        <v>422</v>
      </c>
      <c r="N591" s="23" t="s">
        <v>197</v>
      </c>
      <c r="O591" s="151" t="s">
        <v>925</v>
      </c>
      <c r="P591" s="162" t="s">
        <v>348</v>
      </c>
      <c r="Q591" s="53" t="s">
        <v>755</v>
      </c>
      <c r="R591" s="162" t="s">
        <v>207</v>
      </c>
      <c r="S591" s="162" t="str">
        <f>MID(PAA[[#This Row],[Meta Proyecto de Inversión]],1,4)</f>
        <v>8126</v>
      </c>
      <c r="T591" s="162" t="str">
        <f>MID(PAA[[#This Row],[Meta Proyecto de Inversión]],6,1)</f>
        <v>8</v>
      </c>
      <c r="U591" s="163" t="str">
        <f>IFERROR(VLOOKUP(N591,TD!$B$50:$F$54,2,0)," ")</f>
        <v>O230117</v>
      </c>
      <c r="V591" s="163" t="str">
        <f>IFERROR(VLOOKUP(N591,TD!$B$50:$F$54,3,0)," ")</f>
        <v>4599</v>
      </c>
      <c r="W591" s="163">
        <f>IFERROR(VLOOKUP(N591,TD!$B$50:$F$54,4,0)," ")</f>
        <v>20240207</v>
      </c>
      <c r="X591" s="173" t="s">
        <v>174</v>
      </c>
      <c r="Y591" s="163" t="str">
        <f>IFERROR(VLOOKUP(X591,TD!$J$51:$K$64,2,0)," ")</f>
        <v>Infraestructura física, mantenimiento y dotación (Sedes construidas, mantenidas reforzadas)</v>
      </c>
      <c r="Z591" s="175" t="str">
        <f t="shared" si="36"/>
        <v>08-Infraestructura física, mantenimiento y dotación (Sedes construidas, mantenidas reforzadas)</v>
      </c>
      <c r="AA591" s="173" t="s">
        <v>227</v>
      </c>
      <c r="AB591" s="163" t="str">
        <f>IFERROR(VLOOKUP(AA591,TD!$N$51:$O$66,2,0)," ")</f>
        <v>Sedes mantenidas</v>
      </c>
      <c r="AC591" s="164" t="str">
        <f t="shared" si="37"/>
        <v>016_Sedes mantenidas</v>
      </c>
      <c r="AD591" s="164" t="str">
        <f t="shared" si="38"/>
        <v>08-Infraestructura física, mantenimiento y dotación (Sedes construidas, mantenidas reforzadas) 016_Sedes mantenidas</v>
      </c>
      <c r="AE591" s="163" t="str">
        <f t="shared" si="39"/>
        <v>O23011745992024020708016</v>
      </c>
      <c r="AF591" s="163" t="str">
        <f>IFERROR(VLOOKUP(AD591,TD!$J$66:$K$89,2,0)," ")</f>
        <v>PM/0131/0108/45990160207</v>
      </c>
      <c r="AG591" s="132" t="s">
        <v>906</v>
      </c>
      <c r="AH591" s="171" t="s">
        <v>194</v>
      </c>
      <c r="AI591" s="184" t="str">
        <f>CONCATENATE(PAA[[#This Row],[Id Interno]],"-",PAA[[#This Row],[tipo de Contrato (TH talento humano - B/S bienes y/o servicios)]],"-",S591,"-",T591,"-",PAA[[#This Row],[Objeto de la contratación]])</f>
        <v>20260588-BS-8126-8-Adición y prórroga No. 1 al contrato 698 de 2025 que tiene como objeto “Prestar el servicio y mantenimiento de equipos de higienización, desodorización y aromatización para la UAECOB-SGC"</v>
      </c>
    </row>
    <row r="592" spans="2:35" ht="42" x14ac:dyDescent="0.35">
      <c r="B592" s="148">
        <v>20260589</v>
      </c>
      <c r="C592" s="99" t="s">
        <v>914</v>
      </c>
      <c r="D592" s="23" t="s">
        <v>105</v>
      </c>
      <c r="E592" s="23" t="s">
        <v>363</v>
      </c>
      <c r="F592" s="23" t="s">
        <v>144</v>
      </c>
      <c r="G592" s="129" t="s">
        <v>373</v>
      </c>
      <c r="H592" s="136">
        <v>10</v>
      </c>
      <c r="I592" s="136">
        <v>0</v>
      </c>
      <c r="J592" s="127">
        <v>51610870</v>
      </c>
      <c r="K592" s="88" t="s">
        <v>398</v>
      </c>
      <c r="L592" s="159" t="s">
        <v>155</v>
      </c>
      <c r="M592" s="162" t="s">
        <v>422</v>
      </c>
      <c r="N592" s="23" t="s">
        <v>198</v>
      </c>
      <c r="O592" s="150" t="s">
        <v>926</v>
      </c>
      <c r="P592" s="162" t="s">
        <v>348</v>
      </c>
      <c r="Q592" s="53" t="s">
        <v>753</v>
      </c>
      <c r="R592" s="162" t="s">
        <v>216</v>
      </c>
      <c r="S592" s="162" t="str">
        <f>MID(PAA[[#This Row],[Meta Proyecto de Inversión]],1,4)</f>
        <v>8173</v>
      </c>
      <c r="T592" s="162" t="str">
        <f>MID(PAA[[#This Row],[Meta Proyecto de Inversión]],6,1)</f>
        <v>7</v>
      </c>
      <c r="U592" s="163" t="str">
        <f>IFERROR(VLOOKUP(N592,TD!$B$50:$F$54,2,0)," ")</f>
        <v>O230117</v>
      </c>
      <c r="V592" s="163" t="str">
        <f>IFERROR(VLOOKUP(N592,TD!$B$50:$F$54,3,0)," ")</f>
        <v>4503</v>
      </c>
      <c r="W592" s="163">
        <f>IFERROR(VLOOKUP(N592,TD!$B$50:$F$54,4,0)," ")</f>
        <v>20240255</v>
      </c>
      <c r="X592" s="173">
        <v>14</v>
      </c>
      <c r="Y592" s="163" t="str">
        <f>IFERROR(VLOOKUP(X592,TD!$J$51:$K$64,2,0)," ")</f>
        <v xml:space="preserve">Infraestructura física misional construida mantenida y dotada </v>
      </c>
      <c r="Z592" s="175" t="str">
        <f t="shared" si="36"/>
        <v xml:space="preserve">14-Infraestructura física misional construida mantenida y dotada </v>
      </c>
      <c r="AA592" s="173" t="s">
        <v>225</v>
      </c>
      <c r="AB592" s="163" t="str">
        <f>IFERROR(VLOOKUP(AA592,TD!$N$51:$O$66,2,0)," ")</f>
        <v>Estaciones de bomberos adecuadas</v>
      </c>
      <c r="AC592" s="164" t="str">
        <f t="shared" si="37"/>
        <v>014_Estaciones de bomberos adecuadas</v>
      </c>
      <c r="AD592" s="164" t="str">
        <f t="shared" si="38"/>
        <v>14-Infraestructura física misional construida mantenida y dotada  014_Estaciones de bomberos adecuadas</v>
      </c>
      <c r="AE592" s="163" t="str">
        <f t="shared" si="39"/>
        <v>O23011745032024025514014</v>
      </c>
      <c r="AF592" s="163" t="str">
        <f>IFERROR(VLOOKUP(AD592,TD!$J$66:$K$89,2,0)," ")</f>
        <v>PM/0131/0114/45030140255</v>
      </c>
      <c r="AG592" s="135" t="s">
        <v>385</v>
      </c>
      <c r="AH592" s="171" t="s">
        <v>193</v>
      </c>
      <c r="AI592" s="183" t="str">
        <f>CONCATENATE(PAA[[#This Row],[Id Interno]],"-",PAA[[#This Row],[tipo de Contrato (TH talento humano - B/S bienes y/o servicios)]],"-",S592,"-",T592,"-",PAA[[#This Row],[Objeto de la contratación]])</f>
        <v>20260589-TH-8173-7-Prestación de servicios profesionales para apoyar las actividades jurídicas de la Subdirección de Gestión Corporativa-SGC</v>
      </c>
    </row>
    <row r="593" spans="2:35" ht="70" x14ac:dyDescent="0.35">
      <c r="B593" s="148">
        <v>20260590</v>
      </c>
      <c r="C593" s="99" t="s">
        <v>691</v>
      </c>
      <c r="D593" s="23" t="s">
        <v>105</v>
      </c>
      <c r="E593" s="23" t="s">
        <v>363</v>
      </c>
      <c r="F593" s="23" t="s">
        <v>145</v>
      </c>
      <c r="G593" s="129" t="s">
        <v>373</v>
      </c>
      <c r="H593" s="136">
        <v>6</v>
      </c>
      <c r="I593" s="136">
        <v>0</v>
      </c>
      <c r="J593" s="127">
        <v>19705968</v>
      </c>
      <c r="K593" s="88" t="s">
        <v>398</v>
      </c>
      <c r="L593" s="159" t="s">
        <v>155</v>
      </c>
      <c r="M593" s="162" t="s">
        <v>422</v>
      </c>
      <c r="N593" s="23" t="s">
        <v>197</v>
      </c>
      <c r="O593" s="150" t="s">
        <v>925</v>
      </c>
      <c r="P593" s="162" t="s">
        <v>348</v>
      </c>
      <c r="Q593" s="53" t="s">
        <v>753</v>
      </c>
      <c r="R593" s="162" t="s">
        <v>207</v>
      </c>
      <c r="S593" s="162" t="str">
        <f>MID(PAA[[#This Row],[Meta Proyecto de Inversión]],1,4)</f>
        <v>8126</v>
      </c>
      <c r="T593" s="162" t="str">
        <f>MID(PAA[[#This Row],[Meta Proyecto de Inversión]],6,1)</f>
        <v>8</v>
      </c>
      <c r="U593" s="163" t="str">
        <f>IFERROR(VLOOKUP(N593,TD!$B$50:$F$54,2,0)," ")</f>
        <v>O230117</v>
      </c>
      <c r="V593" s="163" t="str">
        <f>IFERROR(VLOOKUP(N593,TD!$B$50:$F$54,3,0)," ")</f>
        <v>4599</v>
      </c>
      <c r="W593" s="163">
        <f>IFERROR(VLOOKUP(N593,TD!$B$50:$F$54,4,0)," ")</f>
        <v>20240207</v>
      </c>
      <c r="X593" s="173" t="s">
        <v>174</v>
      </c>
      <c r="Y593" s="163" t="str">
        <f>IFERROR(VLOOKUP(X593,TD!$J$51:$K$64,2,0)," ")</f>
        <v>Infraestructura física, mantenimiento y dotación (Sedes construidas, mantenidas reforzadas)</v>
      </c>
      <c r="Z593" s="175" t="str">
        <f t="shared" si="36"/>
        <v>08-Infraestructura física, mantenimiento y dotación (Sedes construidas, mantenidas reforzadas)</v>
      </c>
      <c r="AA593" s="173" t="s">
        <v>227</v>
      </c>
      <c r="AB593" s="163" t="str">
        <f>IFERROR(VLOOKUP(AA593,TD!$N$51:$O$66,2,0)," ")</f>
        <v>Sedes mantenidas</v>
      </c>
      <c r="AC593" s="164" t="str">
        <f t="shared" si="37"/>
        <v>016_Sedes mantenidas</v>
      </c>
      <c r="AD593" s="164" t="str">
        <f t="shared" si="38"/>
        <v>08-Infraestructura física, mantenimiento y dotación (Sedes construidas, mantenidas reforzadas) 016_Sedes mantenidas</v>
      </c>
      <c r="AE593" s="163" t="str">
        <f t="shared" si="39"/>
        <v>O23011745992024020708016</v>
      </c>
      <c r="AF593" s="163" t="str">
        <f>IFERROR(VLOOKUP(AD593,TD!$J$66:$K$89,2,0)," ")</f>
        <v>PM/0131/0108/45990160207</v>
      </c>
      <c r="AG593" s="135" t="s">
        <v>385</v>
      </c>
      <c r="AH593" s="171" t="s">
        <v>193</v>
      </c>
      <c r="AI593" s="183" t="str">
        <f>CONCATENATE(PAA[[#This Row],[Id Interno]],"-",PAA[[#This Row],[tipo de Contrato (TH talento humano - B/S bienes y/o servicios)]],"-",S593,"-",T593,"-",PAA[[#This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594" spans="2:35" ht="56" x14ac:dyDescent="0.35">
      <c r="B594" s="148">
        <v>20260592</v>
      </c>
      <c r="C594" s="99" t="s">
        <v>672</v>
      </c>
      <c r="D594" s="23" t="s">
        <v>105</v>
      </c>
      <c r="E594" s="23" t="s">
        <v>363</v>
      </c>
      <c r="F594" s="23" t="s">
        <v>145</v>
      </c>
      <c r="G594" s="129" t="s">
        <v>373</v>
      </c>
      <c r="H594" s="136">
        <v>6</v>
      </c>
      <c r="I594" s="136">
        <v>0</v>
      </c>
      <c r="J594" s="127">
        <v>19705968</v>
      </c>
      <c r="K594" s="88" t="s">
        <v>398</v>
      </c>
      <c r="L594" s="159" t="s">
        <v>155</v>
      </c>
      <c r="M594" s="162" t="s">
        <v>422</v>
      </c>
      <c r="N594" s="23" t="s">
        <v>197</v>
      </c>
      <c r="O594" s="150" t="s">
        <v>925</v>
      </c>
      <c r="P594" s="162" t="s">
        <v>348</v>
      </c>
      <c r="Q594" s="53" t="s">
        <v>753</v>
      </c>
      <c r="R594" s="162" t="s">
        <v>208</v>
      </c>
      <c r="S594" s="162" t="str">
        <f>MID(PAA[[#This Row],[Meta Proyecto de Inversión]],1,4)</f>
        <v>8126</v>
      </c>
      <c r="T594" s="162" t="str">
        <f>MID(PAA[[#This Row],[Meta Proyecto de Inversión]],6,1)</f>
        <v>9</v>
      </c>
      <c r="U594" s="163" t="str">
        <f>IFERROR(VLOOKUP(N594,TD!$B$50:$F$54,2,0)," ")</f>
        <v>O230117</v>
      </c>
      <c r="V594" s="163" t="str">
        <f>IFERROR(VLOOKUP(N594,TD!$B$50:$F$54,3,0)," ")</f>
        <v>4599</v>
      </c>
      <c r="W594" s="163">
        <f>IFERROR(VLOOKUP(N594,TD!$B$50:$F$54,4,0)," ")</f>
        <v>20240207</v>
      </c>
      <c r="X594" s="173" t="s">
        <v>174</v>
      </c>
      <c r="Y594" s="163" t="str">
        <f>IFERROR(VLOOKUP(X594,TD!$J$51:$K$64,2,0)," ")</f>
        <v>Infraestructura física, mantenimiento y dotación (Sedes construidas, mantenidas reforzadas)</v>
      </c>
      <c r="Z594" s="175" t="str">
        <f t="shared" si="36"/>
        <v>08-Infraestructura física, mantenimiento y dotación (Sedes construidas, mantenidas reforzadas)</v>
      </c>
      <c r="AA594" s="173" t="s">
        <v>227</v>
      </c>
      <c r="AB594" s="163" t="str">
        <f>IFERROR(VLOOKUP(AA594,TD!$N$51:$O$66,2,0)," ")</f>
        <v>Sedes mantenidas</v>
      </c>
      <c r="AC594" s="164" t="str">
        <f t="shared" si="37"/>
        <v>016_Sedes mantenidas</v>
      </c>
      <c r="AD594" s="164" t="str">
        <f t="shared" si="38"/>
        <v>08-Infraestructura física, mantenimiento y dotación (Sedes construidas, mantenidas reforzadas) 016_Sedes mantenidas</v>
      </c>
      <c r="AE594" s="163" t="str">
        <f t="shared" si="39"/>
        <v>O23011745992024020708016</v>
      </c>
      <c r="AF594" s="163" t="str">
        <f>IFERROR(VLOOKUP(AD594,TD!$J$66:$K$89,2,0)," ")</f>
        <v>PM/0131/0108/45990160207</v>
      </c>
      <c r="AG594" s="135" t="s">
        <v>385</v>
      </c>
      <c r="AH594" s="171" t="s">
        <v>193</v>
      </c>
      <c r="AI594" s="183" t="str">
        <f>CONCATENATE(PAA[[#This Row],[Id Interno]],"-",PAA[[#This Row],[tipo de Contrato (TH talento humano - B/S bienes y/o servicios)]],"-",S594,"-",T594,"-",PAA[[#This Row],[Objeto de la contratación]])</f>
        <v>20260592-TH-8126-9-Prestación de servicios de apoyo a la gestión del proceso de inventarios de la Subdirección de Gestión Corporativa.-SGC</v>
      </c>
    </row>
    <row r="595" spans="2:35" ht="56" x14ac:dyDescent="0.35">
      <c r="B595" s="148">
        <v>20260594</v>
      </c>
      <c r="C595" s="99" t="s">
        <v>915</v>
      </c>
      <c r="D595" s="23" t="s">
        <v>105</v>
      </c>
      <c r="E595" s="23" t="s">
        <v>363</v>
      </c>
      <c r="F595" s="23" t="s">
        <v>144</v>
      </c>
      <c r="G595" s="129" t="s">
        <v>373</v>
      </c>
      <c r="H595" s="136">
        <v>10</v>
      </c>
      <c r="I595" s="136">
        <v>0</v>
      </c>
      <c r="J595" s="127">
        <v>51610870</v>
      </c>
      <c r="K595" s="88" t="s">
        <v>398</v>
      </c>
      <c r="L595" s="159" t="s">
        <v>155</v>
      </c>
      <c r="M595" s="162" t="s">
        <v>422</v>
      </c>
      <c r="N595" s="23" t="s">
        <v>197</v>
      </c>
      <c r="O595" s="150" t="s">
        <v>925</v>
      </c>
      <c r="P595" s="162" t="s">
        <v>348</v>
      </c>
      <c r="Q595" s="53" t="s">
        <v>753</v>
      </c>
      <c r="R595" s="162" t="s">
        <v>208</v>
      </c>
      <c r="S595" s="162" t="str">
        <f>MID(PAA[[#This Row],[Meta Proyecto de Inversión]],1,4)</f>
        <v>8126</v>
      </c>
      <c r="T595" s="162" t="str">
        <f>MID(PAA[[#This Row],[Meta Proyecto de Inversión]],6,1)</f>
        <v>9</v>
      </c>
      <c r="U595" s="163" t="str">
        <f>IFERROR(VLOOKUP(N595,TD!$B$50:$F$54,2,0)," ")</f>
        <v>O230117</v>
      </c>
      <c r="V595" s="163" t="str">
        <f>IFERROR(VLOOKUP(N595,TD!$B$50:$F$54,3,0)," ")</f>
        <v>4599</v>
      </c>
      <c r="W595" s="163">
        <f>IFERROR(VLOOKUP(N595,TD!$B$50:$F$54,4,0)," ")</f>
        <v>20240207</v>
      </c>
      <c r="X595" s="173" t="s">
        <v>174</v>
      </c>
      <c r="Y595" s="163" t="str">
        <f>IFERROR(VLOOKUP(X595,TD!$J$51:$K$64,2,0)," ")</f>
        <v>Infraestructura física, mantenimiento y dotación (Sedes construidas, mantenidas reforzadas)</v>
      </c>
      <c r="Z595" s="175" t="str">
        <f t="shared" si="36"/>
        <v>08-Infraestructura física, mantenimiento y dotación (Sedes construidas, mantenidas reforzadas)</v>
      </c>
      <c r="AA595" s="173" t="s">
        <v>227</v>
      </c>
      <c r="AB595" s="163" t="str">
        <f>IFERROR(VLOOKUP(AA595,TD!$N$51:$O$66,2,0)," ")</f>
        <v>Sedes mantenidas</v>
      </c>
      <c r="AC595" s="164" t="str">
        <f t="shared" si="37"/>
        <v>016_Sedes mantenidas</v>
      </c>
      <c r="AD595" s="164" t="str">
        <f t="shared" si="38"/>
        <v>08-Infraestructura física, mantenimiento y dotación (Sedes construidas, mantenidas reforzadas) 016_Sedes mantenidas</v>
      </c>
      <c r="AE595" s="163" t="str">
        <f t="shared" si="39"/>
        <v>O23011745992024020708016</v>
      </c>
      <c r="AF595" s="163" t="str">
        <f>IFERROR(VLOOKUP(AD595,TD!$J$66:$K$89,2,0)," ")</f>
        <v>PM/0131/0108/45990160207</v>
      </c>
      <c r="AG595" s="135" t="s">
        <v>385</v>
      </c>
      <c r="AH595" s="171" t="s">
        <v>193</v>
      </c>
      <c r="AI595" s="183" t="str">
        <f>CONCATENATE(PAA[[#This Row],[Id Interno]],"-",PAA[[#This Row],[tipo de Contrato (TH talento humano - B/S bienes y/o servicios)]],"-",S595,"-",T595,"-",PAA[[#This Row],[Objeto de la contratación]])</f>
        <v>20260594-TH-8126-9-Prestación de servicios profesionales, en temas jurídicos de la gestión administrativa a cargo de la Subdirección de Gestión Corporativa.- SGC</v>
      </c>
    </row>
    <row r="596" spans="2:35" ht="140" x14ac:dyDescent="0.35">
      <c r="B596" s="148">
        <v>20260596</v>
      </c>
      <c r="C596" s="99" t="s">
        <v>916</v>
      </c>
      <c r="D596" s="23" t="s">
        <v>78</v>
      </c>
      <c r="E596" s="23" t="s">
        <v>402</v>
      </c>
      <c r="F596" s="23" t="s">
        <v>133</v>
      </c>
      <c r="G596" s="129" t="s">
        <v>376</v>
      </c>
      <c r="H596" s="136">
        <v>3</v>
      </c>
      <c r="I596" s="136">
        <v>12</v>
      </c>
      <c r="J596" s="127">
        <v>2066812200</v>
      </c>
      <c r="K596" s="88" t="s">
        <v>398</v>
      </c>
      <c r="L596" s="159" t="s">
        <v>155</v>
      </c>
      <c r="M596" s="162" t="s">
        <v>422</v>
      </c>
      <c r="N596" s="23" t="s">
        <v>330</v>
      </c>
      <c r="O596" s="150" t="s">
        <v>925</v>
      </c>
      <c r="P596" s="162" t="s">
        <v>161</v>
      </c>
      <c r="Q596" s="53" t="s">
        <v>773</v>
      </c>
      <c r="R596" s="162" t="s">
        <v>331</v>
      </c>
      <c r="S596" s="162" t="str">
        <f>MID(PAA[[#This Row],[Meta Proyecto de Inversión]],1,4)</f>
        <v>No a</v>
      </c>
      <c r="T596" s="162" t="str">
        <f>MID(PAA[[#This Row],[Meta Proyecto de Inversión]],6,1)</f>
        <v>l</v>
      </c>
      <c r="U596" s="163" t="str">
        <f>IFERROR(VLOOKUP(N596,TD!$B$50:$F$54,2,0)," ")</f>
        <v>NA</v>
      </c>
      <c r="V596" s="163" t="str">
        <f>IFERROR(VLOOKUP(N596,TD!$B$50:$F$54,3,0)," ")</f>
        <v>NA</v>
      </c>
      <c r="W596" s="163" t="str">
        <f>IFERROR(VLOOKUP(N596,TD!$B$50:$F$54,4,0)," ")</f>
        <v>NA</v>
      </c>
      <c r="X596" s="173" t="s">
        <v>335</v>
      </c>
      <c r="Y596" s="163" t="str">
        <f>IFERROR(VLOOKUP(X596,TD!$J$51:$K$64,2,0)," ")</f>
        <v>N/A</v>
      </c>
      <c r="Z596" s="175" t="str">
        <f t="shared" si="36"/>
        <v>N/A-N/A</v>
      </c>
      <c r="AA596" s="173" t="s">
        <v>335</v>
      </c>
      <c r="AB596" s="163" t="str">
        <f>IFERROR(VLOOKUP(AA596,TD!$N$51:$O$66,2,0)," ")</f>
        <v>N/A</v>
      </c>
      <c r="AC596" s="164" t="str">
        <f t="shared" si="37"/>
        <v>N/A_N/A</v>
      </c>
      <c r="AD596" s="164" t="str">
        <f t="shared" si="38"/>
        <v>N/A-N/A N/A_N/A</v>
      </c>
      <c r="AE596" s="163" t="str">
        <f t="shared" si="39"/>
        <v>NANANAN/AN/A</v>
      </c>
      <c r="AF596" s="163" t="str">
        <f>IFERROR(VLOOKUP(AD596,TD!$J$66:$K$89,2,0)," ")</f>
        <v>N/A</v>
      </c>
      <c r="AG596" s="135" t="s">
        <v>332</v>
      </c>
      <c r="AH596" s="171" t="s">
        <v>194</v>
      </c>
      <c r="AI596" s="185" t="str">
        <f>CONCATENATE(PAA[[#This Row],[Id Interno]],"-",PAA[[#This Row],[tipo de Contrato (TH talento humano - B/S bienes y/o servicios)]],"-",S596,"-",T596,"-",PAA[[#This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597" spans="2:35" ht="140" x14ac:dyDescent="0.35">
      <c r="B597" s="142">
        <v>20260597</v>
      </c>
      <c r="C597" s="121" t="s">
        <v>917</v>
      </c>
      <c r="D597" s="130" t="s">
        <v>83</v>
      </c>
      <c r="E597" s="130" t="s">
        <v>402</v>
      </c>
      <c r="F597" s="130" t="s">
        <v>133</v>
      </c>
      <c r="G597" s="131" t="s">
        <v>378</v>
      </c>
      <c r="H597" s="137">
        <v>12</v>
      </c>
      <c r="I597" s="137">
        <v>0</v>
      </c>
      <c r="J597" s="132">
        <v>60000000</v>
      </c>
      <c r="K597" s="133" t="s">
        <v>398</v>
      </c>
      <c r="L597" s="172" t="s">
        <v>155</v>
      </c>
      <c r="M597" s="173" t="s">
        <v>422</v>
      </c>
      <c r="N597" s="130" t="s">
        <v>330</v>
      </c>
      <c r="O597" s="210" t="s">
        <v>925</v>
      </c>
      <c r="P597" s="173" t="s">
        <v>161</v>
      </c>
      <c r="Q597" s="134" t="s">
        <v>773</v>
      </c>
      <c r="R597" s="173" t="s">
        <v>331</v>
      </c>
      <c r="S597" s="173" t="str">
        <f>MID(PAA[[#This Row],[Meta Proyecto de Inversión]],1,4)</f>
        <v>No a</v>
      </c>
      <c r="T597" s="173" t="str">
        <f>MID(PAA[[#This Row],[Meta Proyecto de Inversión]],6,1)</f>
        <v>l</v>
      </c>
      <c r="U597" s="174" t="str">
        <f>IFERROR(VLOOKUP(N597,TD!$B$50:$F$54,2,0)," ")</f>
        <v>NA</v>
      </c>
      <c r="V597" s="174" t="str">
        <f>IFERROR(VLOOKUP(N597,TD!$B$50:$F$54,3,0)," ")</f>
        <v>NA</v>
      </c>
      <c r="W597" s="174" t="str">
        <f>IFERROR(VLOOKUP(N597,TD!$B$50:$F$54,4,0)," ")</f>
        <v>NA</v>
      </c>
      <c r="X597" s="173" t="s">
        <v>335</v>
      </c>
      <c r="Y597" s="163" t="str">
        <f>IFERROR(VLOOKUP(X597,TD!$J$51:$K$64,2,0)," ")</f>
        <v>N/A</v>
      </c>
      <c r="Z597" s="175" t="str">
        <f t="shared" si="36"/>
        <v>N/A-N/A</v>
      </c>
      <c r="AA597" s="173" t="s">
        <v>335</v>
      </c>
      <c r="AB597" s="163" t="str">
        <f>IFERROR(VLOOKUP(AA597,TD!$N$51:$O$66,2,0)," ")</f>
        <v>N/A</v>
      </c>
      <c r="AC597" s="175" t="str">
        <f t="shared" si="37"/>
        <v>N/A_N/A</v>
      </c>
      <c r="AD597" s="175" t="str">
        <f t="shared" si="38"/>
        <v>N/A-N/A N/A_N/A</v>
      </c>
      <c r="AE597" s="174" t="str">
        <f t="shared" si="39"/>
        <v>NANANAN/AN/A</v>
      </c>
      <c r="AF597" s="163" t="str">
        <f>IFERROR(VLOOKUP(AD597,TD!$J$66:$K$89,2,0)," ")</f>
        <v>N/A</v>
      </c>
      <c r="AG597" s="135" t="s">
        <v>332</v>
      </c>
      <c r="AH597" s="176" t="s">
        <v>194</v>
      </c>
      <c r="AI597" s="183" t="str">
        <f>CONCATENATE(PAA[[#This Row],[Id Interno]],"-",PAA[[#This Row],[tipo de Contrato (TH talento humano - B/S bienes y/o servicios)]],"-",S597,"-",T597,"-",PAA[[#This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598" spans="2:35" ht="56" x14ac:dyDescent="0.35">
      <c r="B598" s="142">
        <v>20260598</v>
      </c>
      <c r="C598" s="121" t="s">
        <v>918</v>
      </c>
      <c r="D598" s="130" t="s">
        <v>114</v>
      </c>
      <c r="E598" s="130" t="s">
        <v>402</v>
      </c>
      <c r="F598" s="130" t="s">
        <v>89</v>
      </c>
      <c r="G598" s="131" t="s">
        <v>373</v>
      </c>
      <c r="H598" s="137">
        <v>1</v>
      </c>
      <c r="I598" s="137">
        <v>0</v>
      </c>
      <c r="J598" s="132">
        <v>45000000</v>
      </c>
      <c r="K598" s="133" t="s">
        <v>398</v>
      </c>
      <c r="L598" s="172" t="s">
        <v>155</v>
      </c>
      <c r="M598" s="173" t="s">
        <v>422</v>
      </c>
      <c r="N598" s="130" t="s">
        <v>197</v>
      </c>
      <c r="O598" s="150" t="s">
        <v>925</v>
      </c>
      <c r="P598" s="173" t="s">
        <v>348</v>
      </c>
      <c r="Q598" s="134" t="s">
        <v>754</v>
      </c>
      <c r="R598" s="173" t="s">
        <v>207</v>
      </c>
      <c r="S598" s="173" t="str">
        <f>MID(PAA[[#This Row],[Meta Proyecto de Inversión]],1,4)</f>
        <v>8126</v>
      </c>
      <c r="T598" s="173" t="str">
        <f>MID(PAA[[#This Row],[Meta Proyecto de Inversión]],6,1)</f>
        <v>8</v>
      </c>
      <c r="U598" s="174" t="str">
        <f>IFERROR(VLOOKUP(N598,TD!$B$50:$F$54,2,0)," ")</f>
        <v>O230117</v>
      </c>
      <c r="V598" s="174" t="str">
        <f>IFERROR(VLOOKUP(N598,TD!$B$50:$F$54,3,0)," ")</f>
        <v>4599</v>
      </c>
      <c r="W598" s="174">
        <f>IFERROR(VLOOKUP(N598,TD!$B$50:$F$54,4,0)," ")</f>
        <v>20240207</v>
      </c>
      <c r="X598" s="173" t="s">
        <v>174</v>
      </c>
      <c r="Y598" s="163" t="str">
        <f>IFERROR(VLOOKUP(X598,TD!$J$51:$K$64,2,0)," ")</f>
        <v>Infraestructura física, mantenimiento y dotación (Sedes construidas, mantenidas reforzadas)</v>
      </c>
      <c r="Z598" s="175" t="str">
        <f t="shared" si="36"/>
        <v>08-Infraestructura física, mantenimiento y dotación (Sedes construidas, mantenidas reforzadas)</v>
      </c>
      <c r="AA598" s="173" t="s">
        <v>227</v>
      </c>
      <c r="AB598" s="163" t="str">
        <f>IFERROR(VLOOKUP(AA598,TD!$N$51:$O$66,2,0)," ")</f>
        <v>Sedes mantenidas</v>
      </c>
      <c r="AC598" s="175" t="str">
        <f t="shared" si="37"/>
        <v>016_Sedes mantenidas</v>
      </c>
      <c r="AD598" s="175" t="str">
        <f t="shared" si="38"/>
        <v>08-Infraestructura física, mantenimiento y dotación (Sedes construidas, mantenidas reforzadas) 016_Sedes mantenidas</v>
      </c>
      <c r="AE598" s="174" t="str">
        <f t="shared" si="39"/>
        <v>O23011745992024020708016</v>
      </c>
      <c r="AF598" s="163" t="str">
        <f>IFERROR(VLOOKUP(AD598,TD!$J$66:$K$89,2,0)," ")</f>
        <v>PM/0131/0108/45990160207</v>
      </c>
      <c r="AG598" s="135" t="s">
        <v>134</v>
      </c>
      <c r="AH598" s="176" t="s">
        <v>194</v>
      </c>
      <c r="AI598" s="183" t="str">
        <f>CONCATENATE(PAA[[#This Row],[Id Interno]],"-",PAA[[#This Row],[tipo de Contrato (TH talento humano - B/S bienes y/o servicios)]],"-",S598,"-",T598,"-",PAA[[#This Row],[Objeto de la contratación]])</f>
        <v>20260598-BS-8126-8-Adición y prórroga No. 2 al contrato 597 de 2025  que tiene como objeto " Contratar la prestación del servicio de aseo y cafetería incluido insumos para la UAE Cuerpo Oficial de Bomberos -SGC</v>
      </c>
    </row>
    <row r="599" spans="2:35" ht="56" x14ac:dyDescent="0.35">
      <c r="B599" s="142">
        <v>20260599</v>
      </c>
      <c r="C599" s="121" t="s">
        <v>918</v>
      </c>
      <c r="D599" s="130" t="s">
        <v>114</v>
      </c>
      <c r="E599" s="130" t="s">
        <v>402</v>
      </c>
      <c r="F599" s="130" t="s">
        <v>89</v>
      </c>
      <c r="G599" s="131" t="s">
        <v>373</v>
      </c>
      <c r="H599" s="137">
        <v>1</v>
      </c>
      <c r="I599" s="137">
        <v>0</v>
      </c>
      <c r="J599" s="132">
        <v>45000000</v>
      </c>
      <c r="K599" s="133" t="s">
        <v>398</v>
      </c>
      <c r="L599" s="172" t="s">
        <v>155</v>
      </c>
      <c r="M599" s="173" t="s">
        <v>422</v>
      </c>
      <c r="N599" s="130" t="s">
        <v>330</v>
      </c>
      <c r="O599" s="150" t="s">
        <v>925</v>
      </c>
      <c r="P599" s="173" t="s">
        <v>161</v>
      </c>
      <c r="Q599" s="134" t="s">
        <v>754</v>
      </c>
      <c r="R599" s="173" t="s">
        <v>331</v>
      </c>
      <c r="S599" s="173" t="str">
        <f>MID(PAA[[#This Row],[Meta Proyecto de Inversión]],1,4)</f>
        <v>No a</v>
      </c>
      <c r="T599" s="173" t="str">
        <f>MID(PAA[[#This Row],[Meta Proyecto de Inversión]],6,1)</f>
        <v>l</v>
      </c>
      <c r="U599" s="174" t="str">
        <f>IFERROR(VLOOKUP(N599,TD!$B$50:$F$54,2,0)," ")</f>
        <v>NA</v>
      </c>
      <c r="V599" s="174" t="str">
        <f>IFERROR(VLOOKUP(N599,TD!$B$50:$F$54,3,0)," ")</f>
        <v>NA</v>
      </c>
      <c r="W599" s="174" t="str">
        <f>IFERROR(VLOOKUP(N599,TD!$B$50:$F$54,4,0)," ")</f>
        <v>NA</v>
      </c>
      <c r="X599" s="173" t="s">
        <v>335</v>
      </c>
      <c r="Y599" s="163" t="str">
        <f>IFERROR(VLOOKUP(X599,TD!$J$51:$K$64,2,0)," ")</f>
        <v>N/A</v>
      </c>
      <c r="Z599" s="175" t="str">
        <f t="shared" si="36"/>
        <v>N/A-N/A</v>
      </c>
      <c r="AA599" s="173" t="s">
        <v>335</v>
      </c>
      <c r="AB599" s="163" t="str">
        <f>IFERROR(VLOOKUP(AA599,TD!$N$51:$O$66,2,0)," ")</f>
        <v>N/A</v>
      </c>
      <c r="AC599" s="175" t="str">
        <f t="shared" si="37"/>
        <v>N/A_N/A</v>
      </c>
      <c r="AD599" s="175" t="str">
        <f t="shared" si="38"/>
        <v>N/A-N/A N/A_N/A</v>
      </c>
      <c r="AE599" s="174" t="str">
        <f t="shared" si="39"/>
        <v>NANANAN/AN/A</v>
      </c>
      <c r="AF599" s="163" t="str">
        <f>IFERROR(VLOOKUP(AD599,TD!$J$66:$K$89,2,0)," ")</f>
        <v>N/A</v>
      </c>
      <c r="AG599" s="135" t="s">
        <v>332</v>
      </c>
      <c r="AH599" s="176" t="s">
        <v>194</v>
      </c>
      <c r="AI599" s="183" t="str">
        <f>CONCATENATE(PAA[[#This Row],[Id Interno]],"-",PAA[[#This Row],[tipo de Contrato (TH talento humano - B/S bienes y/o servicios)]],"-",S599,"-",T599,"-",PAA[[#This Row],[Objeto de la contratación]])</f>
        <v>20260599-BS-No a-l-Adición y prórroga No. 2 al contrato 597 de 2025  que tiene como objeto " Contratar la prestación del servicio de aseo y cafetería incluido insumos para la UAE Cuerpo Oficial de Bomberos -SGC</v>
      </c>
    </row>
    <row r="600" spans="2:35" ht="56" x14ac:dyDescent="0.35">
      <c r="B600" s="142">
        <v>20260600</v>
      </c>
      <c r="C600" s="121" t="s">
        <v>918</v>
      </c>
      <c r="D600" s="130" t="s">
        <v>114</v>
      </c>
      <c r="E600" s="130" t="s">
        <v>402</v>
      </c>
      <c r="F600" s="130" t="s">
        <v>89</v>
      </c>
      <c r="G600" s="131" t="s">
        <v>373</v>
      </c>
      <c r="H600" s="137">
        <v>1</v>
      </c>
      <c r="I600" s="137">
        <v>0</v>
      </c>
      <c r="J600" s="132">
        <v>25000000</v>
      </c>
      <c r="K600" s="133" t="s">
        <v>398</v>
      </c>
      <c r="L600" s="172" t="s">
        <v>155</v>
      </c>
      <c r="M600" s="173" t="s">
        <v>422</v>
      </c>
      <c r="N600" s="130" t="s">
        <v>330</v>
      </c>
      <c r="O600" s="210" t="s">
        <v>925</v>
      </c>
      <c r="P600" s="173" t="s">
        <v>161</v>
      </c>
      <c r="Q600" s="134" t="s">
        <v>754</v>
      </c>
      <c r="R600" s="173" t="s">
        <v>331</v>
      </c>
      <c r="S600" s="173" t="str">
        <f>MID(PAA[[#This Row],[Meta Proyecto de Inversión]],1,4)</f>
        <v>No a</v>
      </c>
      <c r="T600" s="173" t="str">
        <f>MID(PAA[[#This Row],[Meta Proyecto de Inversión]],6,1)</f>
        <v>l</v>
      </c>
      <c r="U600" s="174" t="str">
        <f>IFERROR(VLOOKUP(N600,TD!$B$50:$F$54,2,0)," ")</f>
        <v>NA</v>
      </c>
      <c r="V600" s="174" t="str">
        <f>IFERROR(VLOOKUP(N600,TD!$B$50:$F$54,3,0)," ")</f>
        <v>NA</v>
      </c>
      <c r="W600" s="174" t="str">
        <f>IFERROR(VLOOKUP(N600,TD!$B$50:$F$54,4,0)," ")</f>
        <v>NA</v>
      </c>
      <c r="X600" s="173" t="s">
        <v>335</v>
      </c>
      <c r="Y600" s="163" t="str">
        <f>IFERROR(VLOOKUP(X600,TD!$J$51:$K$64,2,0)," ")</f>
        <v>N/A</v>
      </c>
      <c r="Z600" s="175" t="str">
        <f t="shared" si="36"/>
        <v>N/A-N/A</v>
      </c>
      <c r="AA600" s="173" t="s">
        <v>335</v>
      </c>
      <c r="AB600" s="163" t="str">
        <f>IFERROR(VLOOKUP(AA600,TD!$N$51:$O$66,2,0)," ")</f>
        <v>N/A</v>
      </c>
      <c r="AC600" s="175" t="str">
        <f t="shared" si="37"/>
        <v>N/A_N/A</v>
      </c>
      <c r="AD600" s="175" t="str">
        <f t="shared" si="38"/>
        <v>N/A-N/A N/A_N/A</v>
      </c>
      <c r="AE600" s="174" t="str">
        <f t="shared" si="39"/>
        <v>NANANAN/AN/A</v>
      </c>
      <c r="AF600" s="163" t="str">
        <f>IFERROR(VLOOKUP(AD600,TD!$J$66:$K$89,2,0)," ")</f>
        <v>N/A</v>
      </c>
      <c r="AG600" s="135" t="s">
        <v>332</v>
      </c>
      <c r="AH600" s="176" t="s">
        <v>194</v>
      </c>
      <c r="AI600" s="183" t="str">
        <f>CONCATENATE(PAA[[#This Row],[Id Interno]],"-",PAA[[#This Row],[tipo de Contrato (TH talento humano - B/S bienes y/o servicios)]],"-",S600,"-",T600,"-",PAA[[#This Row],[Objeto de la contratación]])</f>
        <v>20260600-BS-No a-l-Adición y prórroga No. 2 al contrato 597 de 2025  que tiene como objeto " Contratar la prestación del servicio de aseo y cafetería incluido insumos para la UAE Cuerpo Oficial de Bomberos -SGC</v>
      </c>
    </row>
    <row r="601" spans="2:35" ht="84" x14ac:dyDescent="0.35">
      <c r="B601" s="153">
        <v>20260601</v>
      </c>
      <c r="C601" s="121" t="s">
        <v>1030</v>
      </c>
      <c r="D601" s="121" t="s">
        <v>92</v>
      </c>
      <c r="E601" s="121" t="s">
        <v>402</v>
      </c>
      <c r="F601" s="121" t="s">
        <v>89</v>
      </c>
      <c r="G601" s="131" t="s">
        <v>376</v>
      </c>
      <c r="H601" s="154">
        <v>0</v>
      </c>
      <c r="I601" s="154">
        <v>0</v>
      </c>
      <c r="J601" s="135">
        <v>23000000</v>
      </c>
      <c r="K601" s="155" t="s">
        <v>398</v>
      </c>
      <c r="L601" s="177" t="s">
        <v>155</v>
      </c>
      <c r="M601" s="178" t="s">
        <v>422</v>
      </c>
      <c r="N601" s="121" t="s">
        <v>197</v>
      </c>
      <c r="O601" s="210" t="s">
        <v>925</v>
      </c>
      <c r="P601" s="178" t="s">
        <v>348</v>
      </c>
      <c r="Q601" s="156" t="s">
        <v>927</v>
      </c>
      <c r="R601" s="178" t="s">
        <v>207</v>
      </c>
      <c r="S601" s="173" t="str">
        <f>MID(PAA[[#This Row],[Meta Proyecto de Inversión]],1,4)</f>
        <v>8126</v>
      </c>
      <c r="T601" s="173" t="str">
        <f>MID(PAA[[#This Row],[Meta Proyecto de Inversión]],6,1)</f>
        <v>8</v>
      </c>
      <c r="U601" s="179" t="str">
        <f>IFERROR(VLOOKUP(N601,TD!$B$50:$F$54,2,0)," ")</f>
        <v>O230117</v>
      </c>
      <c r="V601" s="179" t="str">
        <f>IFERROR(VLOOKUP(N601,TD!$B$50:$F$54,3,0)," ")</f>
        <v>4599</v>
      </c>
      <c r="W601" s="179">
        <f>IFERROR(VLOOKUP(N601,TD!$B$50:$F$54,4,0)," ")</f>
        <v>20240207</v>
      </c>
      <c r="X601" s="178" t="s">
        <v>174</v>
      </c>
      <c r="Y601" s="168" t="str">
        <f>IFERROR(VLOOKUP(X601,TD!$J$51:$K$64,2,0)," ")</f>
        <v>Infraestructura física, mantenimiento y dotación (Sedes construidas, mantenidas reforzadas)</v>
      </c>
      <c r="Z601" s="175" t="str">
        <f t="shared" si="36"/>
        <v>08-Infraestructura física, mantenimiento y dotación (Sedes construidas, mantenidas reforzadas)</v>
      </c>
      <c r="AA601" s="178" t="s">
        <v>227</v>
      </c>
      <c r="AB601" s="168" t="str">
        <f>IFERROR(VLOOKUP(AA601,TD!$N$51:$O$66,2,0)," ")</f>
        <v>Sedes mantenidas</v>
      </c>
      <c r="AC601" s="175" t="str">
        <f t="shared" si="37"/>
        <v>016_Sedes mantenidas</v>
      </c>
      <c r="AD601" s="175" t="str">
        <f t="shared" si="38"/>
        <v>08-Infraestructura física, mantenimiento y dotación (Sedes construidas, mantenidas reforzadas) 016_Sedes mantenidas</v>
      </c>
      <c r="AE601" s="179" t="str">
        <f t="shared" si="39"/>
        <v>O23011745992024020708016</v>
      </c>
      <c r="AF601" s="168" t="str">
        <f>IFERROR(VLOOKUP(AD601,TD!$J$66:$K$89,2,0)," ")</f>
        <v>PM/0131/0108/45990160207</v>
      </c>
      <c r="AG601" s="135" t="s">
        <v>906</v>
      </c>
      <c r="AH601" s="182" t="s">
        <v>194</v>
      </c>
      <c r="AI601" s="183" t="str">
        <f>CONCATENATE(PAA[[#This Row],[Id Interno]],"-",PAA[[#This Row],[tipo de Contrato (TH talento humano - B/S bienes y/o servicios)]],"-",S601,"-",T601,"-",PAA[[#This Row],[Objeto de la contratación]])</f>
        <v>20260601-BS-8126-8-Adición y prórroga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02" spans="2:35" ht="70" x14ac:dyDescent="0.35">
      <c r="B602" s="221">
        <v>20260602</v>
      </c>
      <c r="C602" s="99" t="s">
        <v>678</v>
      </c>
      <c r="D602" s="99" t="s">
        <v>105</v>
      </c>
      <c r="E602" s="99" t="s">
        <v>363</v>
      </c>
      <c r="F602" s="99" t="s">
        <v>144</v>
      </c>
      <c r="G602" s="129" t="s">
        <v>373</v>
      </c>
      <c r="H602" s="180">
        <v>4</v>
      </c>
      <c r="I602" s="180">
        <v>0</v>
      </c>
      <c r="J602" s="118">
        <v>22035670</v>
      </c>
      <c r="K602" s="126" t="s">
        <v>398</v>
      </c>
      <c r="L602" s="160" t="s">
        <v>155</v>
      </c>
      <c r="M602" s="167" t="s">
        <v>422</v>
      </c>
      <c r="N602" s="99" t="s">
        <v>197</v>
      </c>
      <c r="O602" s="210" t="s">
        <v>925</v>
      </c>
      <c r="P602" s="167" t="s">
        <v>348</v>
      </c>
      <c r="Q602" s="128" t="s">
        <v>753</v>
      </c>
      <c r="R602" s="167" t="s">
        <v>208</v>
      </c>
      <c r="S602" s="162" t="str">
        <f>MID(PAA[[#This Row],[Meta Proyecto de Inversión]],1,4)</f>
        <v>8126</v>
      </c>
      <c r="T602" s="162" t="str">
        <f>MID(PAA[[#This Row],[Meta Proyecto de Inversión]],6,1)</f>
        <v>9</v>
      </c>
      <c r="U602" s="168" t="str">
        <f>IFERROR(VLOOKUP(N602,TD!$B$50:$F$54,2,0)," ")</f>
        <v>O230117</v>
      </c>
      <c r="V602" s="168" t="str">
        <f>IFERROR(VLOOKUP(N602,TD!$B$50:$F$54,3,0)," ")</f>
        <v>4599</v>
      </c>
      <c r="W602" s="168">
        <f>IFERROR(VLOOKUP(N602,TD!$B$50:$F$54,4,0)," ")</f>
        <v>20240207</v>
      </c>
      <c r="X602" s="178" t="s">
        <v>174</v>
      </c>
      <c r="Y602" s="168" t="str">
        <f>IFERROR(VLOOKUP(X602,TD!$J$51:$K$64,2,0)," ")</f>
        <v>Infraestructura física, mantenimiento y dotación (Sedes construidas, mantenidas reforzadas)</v>
      </c>
      <c r="Z602" s="175" t="str">
        <f t="shared" si="36"/>
        <v>08-Infraestructura física, mantenimiento y dotación (Sedes construidas, mantenidas reforzadas)</v>
      </c>
      <c r="AA602" s="178" t="s">
        <v>227</v>
      </c>
      <c r="AB602" s="168" t="str">
        <f>IFERROR(VLOOKUP(AA602,TD!$N$51:$O$66,2,0)," ")</f>
        <v>Sedes mantenidas</v>
      </c>
      <c r="AC602" s="164" t="str">
        <f t="shared" si="37"/>
        <v>016_Sedes mantenidas</v>
      </c>
      <c r="AD602" s="164" t="str">
        <f t="shared" si="38"/>
        <v>08-Infraestructura física, mantenimiento y dotación (Sedes construidas, mantenidas reforzadas) 016_Sedes mantenidas</v>
      </c>
      <c r="AE602" s="168" t="str">
        <f t="shared" si="39"/>
        <v>O23011745992024020708016</v>
      </c>
      <c r="AF602" s="168" t="str">
        <f>IFERROR(VLOOKUP(AD602,TD!$J$66:$K$89,2,0)," ")</f>
        <v>PM/0131/0108/45990160207</v>
      </c>
      <c r="AG602" s="118" t="s">
        <v>385</v>
      </c>
      <c r="AH602" s="181" t="s">
        <v>193</v>
      </c>
      <c r="AI602" s="183" t="str">
        <f>CONCATENATE(PAA[[#This Row],[Id Interno]],"-",PAA[[#This Row],[tipo de Contrato (TH talento humano - B/S bienes y/o servicios)]],"-",S602,"-",T602,"-",PAA[[#This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03" spans="2:35" ht="112" x14ac:dyDescent="0.35">
      <c r="B603" s="153">
        <v>20260603</v>
      </c>
      <c r="C603" s="121" t="s">
        <v>930</v>
      </c>
      <c r="D603" s="121" t="s">
        <v>92</v>
      </c>
      <c r="E603" s="121" t="s">
        <v>402</v>
      </c>
      <c r="F603" s="121" t="s">
        <v>111</v>
      </c>
      <c r="G603" s="131" t="s">
        <v>377</v>
      </c>
      <c r="H603" s="154">
        <v>4</v>
      </c>
      <c r="I603" s="154">
        <v>0</v>
      </c>
      <c r="J603" s="135">
        <v>30000000</v>
      </c>
      <c r="K603" s="155" t="s">
        <v>398</v>
      </c>
      <c r="L603" s="177" t="s">
        <v>155</v>
      </c>
      <c r="M603" s="178" t="s">
        <v>422</v>
      </c>
      <c r="N603" s="121" t="s">
        <v>198</v>
      </c>
      <c r="O603" s="178" t="s">
        <v>926</v>
      </c>
      <c r="P603" s="178" t="s">
        <v>348</v>
      </c>
      <c r="Q603" s="156" t="s">
        <v>756</v>
      </c>
      <c r="R603" s="178" t="s">
        <v>351</v>
      </c>
      <c r="S603" s="173" t="str">
        <f>MID(PAA[[#This Row],[Meta Proyecto de Inversión]],1,4)</f>
        <v>8173</v>
      </c>
      <c r="T603" s="173" t="str">
        <f>MID(PAA[[#This Row],[Meta Proyecto de Inversión]],6,1)</f>
        <v>1</v>
      </c>
      <c r="U603" s="179" t="str">
        <f>IFERROR(VLOOKUP(N603,TD!$B$50:$F$54,2,0)," ")</f>
        <v>O230117</v>
      </c>
      <c r="V603" s="179" t="str">
        <f>IFERROR(VLOOKUP(N603,TD!$B$50:$F$54,3,0)," ")</f>
        <v>4503</v>
      </c>
      <c r="W603" s="179">
        <f>IFERROR(VLOOKUP(N603,TD!$B$50:$F$54,4,0)," ")</f>
        <v>20240255</v>
      </c>
      <c r="X603" s="178">
        <v>14</v>
      </c>
      <c r="Y603" s="168" t="str">
        <f>IFERROR(VLOOKUP(X603,TD!$J$51:$K$64,2,0)," ")</f>
        <v xml:space="preserve">Infraestructura física misional construida mantenida y dotada </v>
      </c>
      <c r="Z603" s="175" t="str">
        <f t="shared" si="36"/>
        <v xml:space="preserve">14-Infraestructura física misional construida mantenida y dotada </v>
      </c>
      <c r="AA603" s="178" t="s">
        <v>225</v>
      </c>
      <c r="AB603" s="168" t="str">
        <f>IFERROR(VLOOKUP(AA603,TD!$N$51:$O$66,2,0)," ")</f>
        <v>Estaciones de bomberos adecuadas</v>
      </c>
      <c r="AC603" s="175" t="str">
        <f t="shared" si="37"/>
        <v>014_Estaciones de bomberos adecuadas</v>
      </c>
      <c r="AD603" s="175" t="str">
        <f t="shared" si="38"/>
        <v>14-Infraestructura física misional construida mantenida y dotada  014_Estaciones de bomberos adecuadas</v>
      </c>
      <c r="AE603" s="179" t="str">
        <f t="shared" si="39"/>
        <v>O23011745032024025514014</v>
      </c>
      <c r="AF603" s="168" t="str">
        <f>IFERROR(VLOOKUP(AD603,TD!$J$66:$K$89,2,0)," ")</f>
        <v>PM/0131/0114/45030140255</v>
      </c>
      <c r="AG603" s="118" t="s">
        <v>355</v>
      </c>
      <c r="AH603" s="181" t="s">
        <v>193</v>
      </c>
      <c r="AI603" s="183" t="str">
        <f>CONCATENATE(PAA[[#This Row],[Id Interno]],"-",PAA[[#This Row],[tipo de Contrato (TH talento humano - B/S bienes y/o servicios)]],"-",S603,"-",T603,"-",PAA[[#This Row],[Objeto de la contratación]])</f>
        <v>20260603-BS-8173-1-Suministro de banderas y accesorios para las sedes UAECOB-SGC</v>
      </c>
    </row>
    <row r="604" spans="2:35" ht="56" x14ac:dyDescent="0.35">
      <c r="B604" s="142">
        <v>20260604</v>
      </c>
      <c r="C604" s="121" t="s">
        <v>933</v>
      </c>
      <c r="D604" s="130" t="s">
        <v>105</v>
      </c>
      <c r="E604" s="130" t="s">
        <v>363</v>
      </c>
      <c r="F604" s="130" t="s">
        <v>144</v>
      </c>
      <c r="G604" s="131" t="s">
        <v>374</v>
      </c>
      <c r="H604" s="137">
        <v>10</v>
      </c>
      <c r="I604" s="137">
        <v>0</v>
      </c>
      <c r="J604" s="132">
        <v>50000000</v>
      </c>
      <c r="K604" s="133" t="s">
        <v>398</v>
      </c>
      <c r="L604" s="172" t="s">
        <v>46</v>
      </c>
      <c r="M604" s="173" t="s">
        <v>421</v>
      </c>
      <c r="N604" s="130" t="s">
        <v>197</v>
      </c>
      <c r="O604" s="178" t="s">
        <v>925</v>
      </c>
      <c r="P604" s="173" t="s">
        <v>348</v>
      </c>
      <c r="Q604" s="134">
        <v>80111600</v>
      </c>
      <c r="R604" s="162" t="s">
        <v>208</v>
      </c>
      <c r="S604" s="173" t="str">
        <f>MID(PAA[[#This Row],[Meta Proyecto de Inversión]],1,4)</f>
        <v>8126</v>
      </c>
      <c r="T604" s="173" t="str">
        <f>MID(PAA[[#This Row],[Meta Proyecto de Inversión]],6,1)</f>
        <v>9</v>
      </c>
      <c r="U604" s="174" t="str">
        <f>IFERROR(VLOOKUP(N604,TD!$B$50:$F$54,2,0)," ")</f>
        <v>O230117</v>
      </c>
      <c r="V604" s="174" t="str">
        <f>IFERROR(VLOOKUP(N604,TD!$B$50:$F$54,3,0)," ")</f>
        <v>4599</v>
      </c>
      <c r="W604" s="174">
        <f>IFERROR(VLOOKUP(N604,TD!$B$50:$F$54,4,0)," ")</f>
        <v>20240207</v>
      </c>
      <c r="X604" s="178" t="s">
        <v>174</v>
      </c>
      <c r="Y604" s="168" t="str">
        <f>IFERROR(VLOOKUP(X604,TD!$J$51:$K$64,2,0)," ")</f>
        <v>Infraestructura física, mantenimiento y dotación (Sedes construidas, mantenidas reforzadas)</v>
      </c>
      <c r="Z604" s="175" t="str">
        <f t="shared" si="36"/>
        <v>08-Infraestructura física, mantenimiento y dotación (Sedes construidas, mantenidas reforzadas)</v>
      </c>
      <c r="AA604" s="178" t="s">
        <v>227</v>
      </c>
      <c r="AB604" s="168" t="str">
        <f>IFERROR(VLOOKUP(AA604,TD!$N$51:$O$66,2,0)," ")</f>
        <v>Sedes mantenidas</v>
      </c>
      <c r="AC604" s="175" t="str">
        <f t="shared" si="37"/>
        <v>016_Sedes mantenidas</v>
      </c>
      <c r="AD604" s="175" t="str">
        <f t="shared" si="38"/>
        <v>08-Infraestructura física, mantenimiento y dotación (Sedes construidas, mantenidas reforzadas) 016_Sedes mantenidas</v>
      </c>
      <c r="AE604" s="174" t="str">
        <f t="shared" si="39"/>
        <v>O23011745992024020708016</v>
      </c>
      <c r="AF604" s="168" t="str">
        <f>IFERROR(VLOOKUP(AD604,TD!$J$66:$K$89,2,0)," ")</f>
        <v>PM/0131/0108/45990160207</v>
      </c>
      <c r="AG604" s="135" t="s">
        <v>385</v>
      </c>
      <c r="AH604" s="176" t="s">
        <v>193</v>
      </c>
      <c r="AI604" s="183" t="str">
        <f>CONCATENATE(PAA[[#This Row],[Id Interno]],"-",PAA[[#This Row],[tipo de Contrato (TH talento humano - B/S bienes y/o servicios)]],"-",S604,"-",T604,"-",PAA[[#This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05" spans="2:35" ht="70" x14ac:dyDescent="0.35">
      <c r="B605" s="142">
        <v>20260605</v>
      </c>
      <c r="C605" s="121" t="s">
        <v>934</v>
      </c>
      <c r="D605" s="130" t="s">
        <v>105</v>
      </c>
      <c r="E605" s="130" t="s">
        <v>363</v>
      </c>
      <c r="F605" s="130" t="s">
        <v>144</v>
      </c>
      <c r="G605" s="131" t="s">
        <v>374</v>
      </c>
      <c r="H605" s="137">
        <v>5</v>
      </c>
      <c r="I605" s="137">
        <v>15</v>
      </c>
      <c r="J605" s="132">
        <v>53900000</v>
      </c>
      <c r="K605" s="133" t="s">
        <v>398</v>
      </c>
      <c r="L605" s="172" t="s">
        <v>45</v>
      </c>
      <c r="M605" s="173" t="s">
        <v>401</v>
      </c>
      <c r="N605" s="130" t="s">
        <v>197</v>
      </c>
      <c r="O605" s="178" t="s">
        <v>925</v>
      </c>
      <c r="P605" s="173" t="s">
        <v>348</v>
      </c>
      <c r="Q605" s="134">
        <v>80111600</v>
      </c>
      <c r="R605" s="162" t="s">
        <v>208</v>
      </c>
      <c r="S605" s="173" t="str">
        <f>MID(PAA[[#This Row],[Meta Proyecto de Inversión]],1,4)</f>
        <v>8126</v>
      </c>
      <c r="T605" s="173" t="str">
        <f>MID(PAA[[#This Row],[Meta Proyecto de Inversión]],6,1)</f>
        <v>9</v>
      </c>
      <c r="U605" s="174" t="str">
        <f>IFERROR(VLOOKUP(N605,TD!$B$50:$F$54,2,0)," ")</f>
        <v>O230117</v>
      </c>
      <c r="V605" s="174" t="str">
        <f>IFERROR(VLOOKUP(N605,TD!$B$50:$F$54,3,0)," ")</f>
        <v>4599</v>
      </c>
      <c r="W605" s="174">
        <f>IFERROR(VLOOKUP(N605,TD!$B$50:$F$54,4,0)," ")</f>
        <v>20240207</v>
      </c>
      <c r="X605" s="178" t="s">
        <v>174</v>
      </c>
      <c r="Y605" s="168" t="str">
        <f>IFERROR(VLOOKUP(X605,TD!$J$51:$K$64,2,0)," ")</f>
        <v>Infraestructura física, mantenimiento y dotación (Sedes construidas, mantenidas reforzadas)</v>
      </c>
      <c r="Z605" s="175" t="str">
        <f t="shared" si="36"/>
        <v>08-Infraestructura física, mantenimiento y dotación (Sedes construidas, mantenidas reforzadas)</v>
      </c>
      <c r="AA605" s="178" t="s">
        <v>227</v>
      </c>
      <c r="AB605" s="168" t="str">
        <f>IFERROR(VLOOKUP(AA605,TD!$N$51:$O$66,2,0)," ")</f>
        <v>Sedes mantenidas</v>
      </c>
      <c r="AC605" s="175" t="str">
        <f t="shared" si="37"/>
        <v>016_Sedes mantenidas</v>
      </c>
      <c r="AD605" s="175" t="str">
        <f t="shared" si="38"/>
        <v>08-Infraestructura física, mantenimiento y dotación (Sedes construidas, mantenidas reforzadas) 016_Sedes mantenidas</v>
      </c>
      <c r="AE605" s="174" t="str">
        <f t="shared" si="39"/>
        <v>O23011745992024020708016</v>
      </c>
      <c r="AF605" s="163" t="str">
        <f>IFERROR(VLOOKUP(AD605,TD!$J$66:$K$89,2,0)," ")</f>
        <v>PM/0131/0108/45990160207</v>
      </c>
      <c r="AG605" s="135" t="s">
        <v>385</v>
      </c>
      <c r="AH605" s="176" t="s">
        <v>194</v>
      </c>
      <c r="AI605" s="183" t="str">
        <f>CONCATENATE(PAA[[#This Row],[Id Interno]],"-",PAA[[#This Row],[tipo de Contrato (TH talento humano - B/S bienes y/o servicios)]],"-",S605,"-",T605,"-",PAA[[#This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06" spans="2:35" ht="56" x14ac:dyDescent="0.35">
      <c r="B606" s="142">
        <v>20260606</v>
      </c>
      <c r="C606" s="121" t="s">
        <v>935</v>
      </c>
      <c r="D606" s="130" t="s">
        <v>105</v>
      </c>
      <c r="E606" s="130" t="s">
        <v>363</v>
      </c>
      <c r="F606" s="130" t="s">
        <v>144</v>
      </c>
      <c r="G606" s="131" t="s">
        <v>374</v>
      </c>
      <c r="H606" s="137">
        <v>5</v>
      </c>
      <c r="I606" s="137">
        <v>0</v>
      </c>
      <c r="J606" s="132">
        <v>50000000</v>
      </c>
      <c r="K606" s="133" t="s">
        <v>398</v>
      </c>
      <c r="L606" s="172" t="s">
        <v>45</v>
      </c>
      <c r="M606" s="173" t="s">
        <v>401</v>
      </c>
      <c r="N606" s="130" t="s">
        <v>197</v>
      </c>
      <c r="O606" s="178" t="s">
        <v>925</v>
      </c>
      <c r="P606" s="173" t="s">
        <v>348</v>
      </c>
      <c r="Q606" s="134">
        <v>80111600</v>
      </c>
      <c r="R606" s="173" t="s">
        <v>208</v>
      </c>
      <c r="S606" s="173" t="str">
        <f>MID(PAA[[#This Row],[Meta Proyecto de Inversión]],1,4)</f>
        <v>8126</v>
      </c>
      <c r="T606" s="173" t="str">
        <f>MID(PAA[[#This Row],[Meta Proyecto de Inversión]],6,1)</f>
        <v>9</v>
      </c>
      <c r="U606" s="174" t="str">
        <f>IFERROR(VLOOKUP(N606,TD!$B$50:$F$54,2,0)," ")</f>
        <v>O230117</v>
      </c>
      <c r="V606" s="174" t="str">
        <f>IFERROR(VLOOKUP(N606,TD!$B$50:$F$54,3,0)," ")</f>
        <v>4599</v>
      </c>
      <c r="W606" s="174">
        <f>IFERROR(VLOOKUP(N606,TD!$B$50:$F$54,4,0)," ")</f>
        <v>20240207</v>
      </c>
      <c r="X606" s="167" t="s">
        <v>174</v>
      </c>
      <c r="Y606" s="168" t="str">
        <f>IFERROR(VLOOKUP(X606,TD!$J$51:$K$64,2,0)," ")</f>
        <v>Infraestructura física, mantenimiento y dotación (Sedes construidas, mantenidas reforzadas)</v>
      </c>
      <c r="Z606" s="175" t="str">
        <f t="shared" si="36"/>
        <v>08-Infraestructura física, mantenimiento y dotación (Sedes construidas, mantenidas reforzadas)</v>
      </c>
      <c r="AA606" s="167" t="s">
        <v>227</v>
      </c>
      <c r="AB606" s="168" t="str">
        <f>IFERROR(VLOOKUP(AA606,TD!$N$51:$O$66,2,0)," ")</f>
        <v>Sedes mantenidas</v>
      </c>
      <c r="AC606" s="175" t="str">
        <f t="shared" si="37"/>
        <v>016_Sedes mantenidas</v>
      </c>
      <c r="AD606" s="175" t="str">
        <f t="shared" si="38"/>
        <v>08-Infraestructura física, mantenimiento y dotación (Sedes construidas, mantenidas reforzadas) 016_Sedes mantenidas</v>
      </c>
      <c r="AE606" s="174" t="str">
        <f t="shared" si="39"/>
        <v>O23011745992024020708016</v>
      </c>
      <c r="AF606" s="163" t="str">
        <f>IFERROR(VLOOKUP(AD606,TD!$J$66:$K$89,2,0)," ")</f>
        <v>PM/0131/0108/45990160207</v>
      </c>
      <c r="AG606" s="118" t="s">
        <v>385</v>
      </c>
      <c r="AH606" s="162" t="s">
        <v>194</v>
      </c>
      <c r="AI606" s="183" t="str">
        <f>CONCATENATE(PAA[[#This Row],[Id Interno]],"-",PAA[[#This Row],[tipo de Contrato (TH talento humano - B/S bienes y/o servicios)]],"-",S606,"-",T606,"-",PAA[[#This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07" spans="2:35" ht="70" x14ac:dyDescent="0.35">
      <c r="B607" s="148">
        <v>20260607</v>
      </c>
      <c r="C607" s="99" t="s">
        <v>936</v>
      </c>
      <c r="D607" s="23" t="s">
        <v>105</v>
      </c>
      <c r="E607" s="23" t="s">
        <v>363</v>
      </c>
      <c r="F607" s="23" t="s">
        <v>144</v>
      </c>
      <c r="G607" s="129" t="s">
        <v>374</v>
      </c>
      <c r="H607" s="136">
        <v>5</v>
      </c>
      <c r="I607" s="136">
        <v>0</v>
      </c>
      <c r="J607" s="127">
        <v>30000000</v>
      </c>
      <c r="K607" s="88" t="s">
        <v>398</v>
      </c>
      <c r="L607" s="159" t="s">
        <v>150</v>
      </c>
      <c r="M607" s="162" t="s">
        <v>401</v>
      </c>
      <c r="N607" s="23" t="s">
        <v>197</v>
      </c>
      <c r="O607" s="167" t="s">
        <v>925</v>
      </c>
      <c r="P607" s="162" t="s">
        <v>348</v>
      </c>
      <c r="Q607" s="53">
        <v>80111600</v>
      </c>
      <c r="R607" s="162" t="s">
        <v>209</v>
      </c>
      <c r="S607" s="162" t="str">
        <f>MID(PAA[[#This Row],[Meta Proyecto de Inversión]],1,4)</f>
        <v>8126</v>
      </c>
      <c r="T607" s="162" t="str">
        <f>MID(PAA[[#This Row],[Meta Proyecto de Inversión]],6,1)</f>
        <v>1</v>
      </c>
      <c r="U607" s="163" t="str">
        <f>IFERROR(VLOOKUP(N607,TD!$B$50:$F$54,2,0)," ")</f>
        <v>O230117</v>
      </c>
      <c r="V607" s="163" t="str">
        <f>IFERROR(VLOOKUP(N607,TD!$B$50:$F$54,3,0)," ")</f>
        <v>4599</v>
      </c>
      <c r="W607" s="163">
        <f>IFERROR(VLOOKUP(N607,TD!$B$50:$F$54,4,0)," ")</f>
        <v>20240207</v>
      </c>
      <c r="X607" s="167" t="s">
        <v>182</v>
      </c>
      <c r="Y607" s="168" t="str">
        <f>IFERROR(VLOOKUP(X607,TD!$J$51:$K$64,2,0)," ")</f>
        <v>Servicios para la planeación y sistemas de gestión y comunicación estratégica</v>
      </c>
      <c r="Z607" s="175" t="str">
        <f t="shared" si="36"/>
        <v>13-Servicios para la planeación y sistemas de gestión y comunicación estratégica</v>
      </c>
      <c r="AA607" s="167" t="s">
        <v>231</v>
      </c>
      <c r="AB607" s="168" t="str">
        <f>IFERROR(VLOOKUP(AA607,TD!$N$51:$O$66,2,0)," ")</f>
        <v>Documentos de planeación</v>
      </c>
      <c r="AC607" s="164" t="str">
        <f t="shared" si="37"/>
        <v>019_Documentos de planeación</v>
      </c>
      <c r="AD607" s="164" t="str">
        <f t="shared" si="38"/>
        <v>13-Servicios para la planeación y sistemas de gestión y comunicación estratégica 019_Documentos de planeación</v>
      </c>
      <c r="AE607" s="163" t="str">
        <f t="shared" si="39"/>
        <v>O23011745992024020713019</v>
      </c>
      <c r="AF607" s="163" t="str">
        <f>IFERROR(VLOOKUP(AD607,TD!$J$66:$K$89,2,0)," ")</f>
        <v>PM/0131/0113/45990190207</v>
      </c>
      <c r="AG607" s="118" t="s">
        <v>385</v>
      </c>
      <c r="AH607" s="171" t="s">
        <v>194</v>
      </c>
      <c r="AI607" s="185" t="str">
        <f>CONCATENATE(PAA[[#This Row],[Id Interno]],"-",PAA[[#This Row],[tipo de Contrato (TH talento humano - B/S bienes y/o servicios)]],"-",S607,"-",T607,"-",PAA[[#This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08" spans="2:35" ht="70" x14ac:dyDescent="0.35">
      <c r="B608" s="142">
        <v>20260608</v>
      </c>
      <c r="C608" s="121" t="s">
        <v>937</v>
      </c>
      <c r="D608" s="130" t="s">
        <v>105</v>
      </c>
      <c r="E608" s="130" t="s">
        <v>363</v>
      </c>
      <c r="F608" s="130" t="s">
        <v>144</v>
      </c>
      <c r="G608" s="131" t="s">
        <v>374</v>
      </c>
      <c r="H608" s="137">
        <v>5</v>
      </c>
      <c r="I608" s="137">
        <v>0</v>
      </c>
      <c r="J608" s="132">
        <v>22000000</v>
      </c>
      <c r="K608" s="133" t="s">
        <v>398</v>
      </c>
      <c r="L608" s="172" t="s">
        <v>150</v>
      </c>
      <c r="M608" s="173" t="s">
        <v>401</v>
      </c>
      <c r="N608" s="130" t="s">
        <v>197</v>
      </c>
      <c r="O608" s="178" t="s">
        <v>925</v>
      </c>
      <c r="P608" s="173" t="s">
        <v>348</v>
      </c>
      <c r="Q608" s="134">
        <v>80111600</v>
      </c>
      <c r="R608" s="162" t="s">
        <v>209</v>
      </c>
      <c r="S608" s="173" t="str">
        <f>MID(PAA[[#This Row],[Meta Proyecto de Inversión]],1,4)</f>
        <v>8126</v>
      </c>
      <c r="T608" s="173" t="str">
        <f>MID(PAA[[#This Row],[Meta Proyecto de Inversión]],6,1)</f>
        <v>1</v>
      </c>
      <c r="U608" s="174" t="str">
        <f>IFERROR(VLOOKUP(N608,TD!$B$50:$F$54,2,0)," ")</f>
        <v>O230117</v>
      </c>
      <c r="V608" s="174" t="str">
        <f>IFERROR(VLOOKUP(N608,TD!$B$50:$F$54,3,0)," ")</f>
        <v>4599</v>
      </c>
      <c r="W608" s="174">
        <f>IFERROR(VLOOKUP(N608,TD!$B$50:$F$54,4,0)," ")</f>
        <v>20240207</v>
      </c>
      <c r="X608" s="167" t="s">
        <v>182</v>
      </c>
      <c r="Y608" s="168" t="str">
        <f>IFERROR(VLOOKUP(X608,TD!$J$51:$K$64,2,0)," ")</f>
        <v>Servicios para la planeación y sistemas de gestión y comunicación estratégica</v>
      </c>
      <c r="Z608" s="175" t="str">
        <f t="shared" si="36"/>
        <v>13-Servicios para la planeación y sistemas de gestión y comunicación estratégica</v>
      </c>
      <c r="AA608" s="167" t="s">
        <v>231</v>
      </c>
      <c r="AB608" s="168" t="str">
        <f>IFERROR(VLOOKUP(AA608,TD!$N$51:$O$66,2,0)," ")</f>
        <v>Documentos de planeación</v>
      </c>
      <c r="AC608" s="175" t="str">
        <f t="shared" si="37"/>
        <v>019_Documentos de planeación</v>
      </c>
      <c r="AD608" s="175" t="str">
        <f t="shared" si="38"/>
        <v>13-Servicios para la planeación y sistemas de gestión y comunicación estratégica 019_Documentos de planeación</v>
      </c>
      <c r="AE608" s="174" t="str">
        <f t="shared" si="39"/>
        <v>O23011745992024020713019</v>
      </c>
      <c r="AF608" s="163" t="str">
        <f>IFERROR(VLOOKUP(AD608,TD!$J$66:$K$89,2,0)," ")</f>
        <v>PM/0131/0113/45990190207</v>
      </c>
      <c r="AG608" s="118" t="s">
        <v>385</v>
      </c>
      <c r="AH608" s="176" t="s">
        <v>194</v>
      </c>
      <c r="AI608" s="183" t="str">
        <f>CONCATENATE(PAA[[#This Row],[Id Interno]],"-",PAA[[#This Row],[tipo de Contrato (TH talento humano - B/S bienes y/o servicios)]],"-",S608,"-",T608,"-",PAA[[#This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09" spans="2:35" ht="70" x14ac:dyDescent="0.35">
      <c r="B609" s="142">
        <v>20260609</v>
      </c>
      <c r="C609" s="121" t="s">
        <v>938</v>
      </c>
      <c r="D609" s="130" t="s">
        <v>105</v>
      </c>
      <c r="E609" s="130" t="s">
        <v>363</v>
      </c>
      <c r="F609" s="130" t="s">
        <v>144</v>
      </c>
      <c r="G609" s="131" t="s">
        <v>374</v>
      </c>
      <c r="H609" s="137">
        <v>5</v>
      </c>
      <c r="I609" s="137">
        <v>0</v>
      </c>
      <c r="J609" s="132">
        <v>22000000</v>
      </c>
      <c r="K609" s="133" t="s">
        <v>398</v>
      </c>
      <c r="L609" s="172" t="s">
        <v>150</v>
      </c>
      <c r="M609" s="173" t="s">
        <v>401</v>
      </c>
      <c r="N609" s="130" t="s">
        <v>197</v>
      </c>
      <c r="O609" s="178" t="s">
        <v>925</v>
      </c>
      <c r="P609" s="173" t="s">
        <v>348</v>
      </c>
      <c r="Q609" s="134">
        <v>80111600</v>
      </c>
      <c r="R609" s="173" t="s">
        <v>209</v>
      </c>
      <c r="S609" s="173" t="str">
        <f>MID(PAA[[#This Row],[Meta Proyecto de Inversión]],1,4)</f>
        <v>8126</v>
      </c>
      <c r="T609" s="173" t="str">
        <f>MID(PAA[[#This Row],[Meta Proyecto de Inversión]],6,1)</f>
        <v>1</v>
      </c>
      <c r="U609" s="174" t="str">
        <f>IFERROR(VLOOKUP(N609,TD!$B$50:$F$54,2,0)," ")</f>
        <v>O230117</v>
      </c>
      <c r="V609" s="174" t="str">
        <f>IFERROR(VLOOKUP(N609,TD!$B$50:$F$54,3,0)," ")</f>
        <v>4599</v>
      </c>
      <c r="W609" s="174">
        <f>IFERROR(VLOOKUP(N609,TD!$B$50:$F$54,4,0)," ")</f>
        <v>20240207</v>
      </c>
      <c r="X609" s="167" t="s">
        <v>182</v>
      </c>
      <c r="Y609" s="168" t="str">
        <f>IFERROR(VLOOKUP(X609,TD!$J$51:$K$64,2,0)," ")</f>
        <v>Servicios para la planeación y sistemas de gestión y comunicación estratégica</v>
      </c>
      <c r="Z609" s="175" t="str">
        <f t="shared" si="36"/>
        <v>13-Servicios para la planeación y sistemas de gestión y comunicación estratégica</v>
      </c>
      <c r="AA609" s="167" t="s">
        <v>231</v>
      </c>
      <c r="AB609" s="168" t="str">
        <f>IFERROR(VLOOKUP(AA609,TD!$N$51:$O$66,2,0)," ")</f>
        <v>Documentos de planeación</v>
      </c>
      <c r="AC609" s="175" t="str">
        <f t="shared" si="37"/>
        <v>019_Documentos de planeación</v>
      </c>
      <c r="AD609" s="175" t="str">
        <f t="shared" si="38"/>
        <v>13-Servicios para la planeación y sistemas de gestión y comunicación estratégica 019_Documentos de planeación</v>
      </c>
      <c r="AE609" s="174" t="str">
        <f t="shared" si="39"/>
        <v>O23011745992024020713019</v>
      </c>
      <c r="AF609" s="163" t="str">
        <f>IFERROR(VLOOKUP(AD609,TD!$J$66:$K$89,2,0)," ")</f>
        <v>PM/0131/0113/45990190207</v>
      </c>
      <c r="AG609" s="135" t="s">
        <v>385</v>
      </c>
      <c r="AH609" s="176" t="s">
        <v>194</v>
      </c>
      <c r="AI609" s="183" t="str">
        <f>CONCATENATE(PAA[[#This Row],[Id Interno]],"-",PAA[[#This Row],[tipo de Contrato (TH talento humano - B/S bienes y/o servicios)]],"-",S609,"-",T609,"-",PAA[[#This Row],[Objeto de la contratación]])</f>
        <v>20260609-TH-8126-1-Adición y prórroga al Contrato 285 de 2025 con objeto "Prestar apoyo técnico en la Dirección, en asuntos de comunicaciones y prensa, para la producción, diseño y edición de material audiovisual de la UAECOB"</v>
      </c>
    </row>
    <row r="610" spans="2:35" ht="70" x14ac:dyDescent="0.35">
      <c r="B610" s="142">
        <v>20260610</v>
      </c>
      <c r="C610" s="121" t="s">
        <v>939</v>
      </c>
      <c r="D610" s="130" t="s">
        <v>105</v>
      </c>
      <c r="E610" s="130" t="s">
        <v>363</v>
      </c>
      <c r="F610" s="130" t="s">
        <v>145</v>
      </c>
      <c r="G610" s="131" t="s">
        <v>374</v>
      </c>
      <c r="H610" s="137">
        <v>5</v>
      </c>
      <c r="I610" s="137">
        <v>0</v>
      </c>
      <c r="J610" s="132">
        <v>17500000</v>
      </c>
      <c r="K610" s="133" t="s">
        <v>398</v>
      </c>
      <c r="L610" s="172" t="s">
        <v>150</v>
      </c>
      <c r="M610" s="173" t="s">
        <v>401</v>
      </c>
      <c r="N610" s="130" t="s">
        <v>197</v>
      </c>
      <c r="O610" s="178" t="s">
        <v>925</v>
      </c>
      <c r="P610" s="173" t="s">
        <v>348</v>
      </c>
      <c r="Q610" s="134">
        <v>80111600</v>
      </c>
      <c r="R610" s="173" t="s">
        <v>209</v>
      </c>
      <c r="S610" s="173" t="str">
        <f>MID(PAA[[#This Row],[Meta Proyecto de Inversión]],1,4)</f>
        <v>8126</v>
      </c>
      <c r="T610" s="173" t="str">
        <f>MID(PAA[[#This Row],[Meta Proyecto de Inversión]],6,1)</f>
        <v>1</v>
      </c>
      <c r="U610" s="174" t="str">
        <f>IFERROR(VLOOKUP(N610,TD!$B$50:$F$54,2,0)," ")</f>
        <v>O230117</v>
      </c>
      <c r="V610" s="174" t="str">
        <f>IFERROR(VLOOKUP(N610,TD!$B$50:$F$54,3,0)," ")</f>
        <v>4599</v>
      </c>
      <c r="W610" s="174">
        <f>IFERROR(VLOOKUP(N610,TD!$B$50:$F$54,4,0)," ")</f>
        <v>20240207</v>
      </c>
      <c r="X610" s="167" t="s">
        <v>182</v>
      </c>
      <c r="Y610" s="168" t="str">
        <f>IFERROR(VLOOKUP(X610,TD!$J$51:$K$64,2,0)," ")</f>
        <v>Servicios para la planeación y sistemas de gestión y comunicación estratégica</v>
      </c>
      <c r="Z610" s="175" t="str">
        <f t="shared" si="36"/>
        <v>13-Servicios para la planeación y sistemas de gestión y comunicación estratégica</v>
      </c>
      <c r="AA610" s="167" t="s">
        <v>231</v>
      </c>
      <c r="AB610" s="168" t="str">
        <f>IFERROR(VLOOKUP(AA610,TD!$N$51:$O$66,2,0)," ")</f>
        <v>Documentos de planeación</v>
      </c>
      <c r="AC610" s="175" t="str">
        <f t="shared" si="37"/>
        <v>019_Documentos de planeación</v>
      </c>
      <c r="AD610" s="175" t="str">
        <f t="shared" si="38"/>
        <v>13-Servicios para la planeación y sistemas de gestión y comunicación estratégica 019_Documentos de planeación</v>
      </c>
      <c r="AE610" s="174" t="str">
        <f t="shared" si="39"/>
        <v>O23011745992024020713019</v>
      </c>
      <c r="AF610" s="163" t="str">
        <f>IFERROR(VLOOKUP(AD610,TD!$J$66:$K$89,2,0)," ")</f>
        <v>PM/0131/0113/45990190207</v>
      </c>
      <c r="AG610" s="135" t="s">
        <v>385</v>
      </c>
      <c r="AH610" s="176" t="s">
        <v>194</v>
      </c>
      <c r="AI610" s="183" t="str">
        <f>CONCATENATE(PAA[[#This Row],[Id Interno]],"-",PAA[[#This Row],[tipo de Contrato (TH talento humano - B/S bienes y/o servicios)]],"-",S610,"-",T610,"-",PAA[[#This Row],[Objeto de la contratación]])</f>
        <v>20260610-TH-8126-1-Adición y prórroga al Contrato 278 de 2025 con objeto "Prestación de servicios como conductor en los diferentes recorridos de carácter operativo que se requieran en la Dirección General"</v>
      </c>
    </row>
    <row r="611" spans="2:35" ht="70" x14ac:dyDescent="0.35">
      <c r="B611" s="148">
        <v>20260611</v>
      </c>
      <c r="C611" s="99" t="s">
        <v>940</v>
      </c>
      <c r="D611" s="23" t="s">
        <v>105</v>
      </c>
      <c r="E611" s="23" t="s">
        <v>363</v>
      </c>
      <c r="F611" s="23" t="s">
        <v>144</v>
      </c>
      <c r="G611" s="129" t="s">
        <v>374</v>
      </c>
      <c r="H611" s="136">
        <v>5</v>
      </c>
      <c r="I611" s="136">
        <v>0</v>
      </c>
      <c r="J611" s="127">
        <v>26000000</v>
      </c>
      <c r="K611" s="88" t="s">
        <v>398</v>
      </c>
      <c r="L611" s="159" t="s">
        <v>150</v>
      </c>
      <c r="M611" s="162" t="s">
        <v>401</v>
      </c>
      <c r="N611" s="23" t="s">
        <v>197</v>
      </c>
      <c r="O611" s="167" t="s">
        <v>925</v>
      </c>
      <c r="P611" s="162" t="s">
        <v>348</v>
      </c>
      <c r="Q611" s="53">
        <v>80111600</v>
      </c>
      <c r="R611" s="162" t="s">
        <v>209</v>
      </c>
      <c r="S611" s="162" t="str">
        <f>MID(PAA[[#This Row],[Meta Proyecto de Inversión]],1,4)</f>
        <v>8126</v>
      </c>
      <c r="T611" s="162" t="str">
        <f>MID(PAA[[#This Row],[Meta Proyecto de Inversión]],6,1)</f>
        <v>1</v>
      </c>
      <c r="U611" s="163" t="str">
        <f>IFERROR(VLOOKUP(N611,TD!$B$50:$F$54,2,0)," ")</f>
        <v>O230117</v>
      </c>
      <c r="V611" s="163" t="str">
        <f>IFERROR(VLOOKUP(N611,TD!$B$50:$F$54,3,0)," ")</f>
        <v>4599</v>
      </c>
      <c r="W611" s="163">
        <f>IFERROR(VLOOKUP(N611,TD!$B$50:$F$54,4,0)," ")</f>
        <v>20240207</v>
      </c>
      <c r="X611" s="167" t="s">
        <v>182</v>
      </c>
      <c r="Y611" s="168" t="str">
        <f>IFERROR(VLOOKUP(X611,TD!$J$51:$K$64,2,0)," ")</f>
        <v>Servicios para la planeación y sistemas de gestión y comunicación estratégica</v>
      </c>
      <c r="Z611" s="175" t="str">
        <f t="shared" si="36"/>
        <v>13-Servicios para la planeación y sistemas de gestión y comunicación estratégica</v>
      </c>
      <c r="AA611" s="167" t="s">
        <v>231</v>
      </c>
      <c r="AB611" s="168" t="str">
        <f>IFERROR(VLOOKUP(AA611,TD!$N$51:$O$66,2,0)," ")</f>
        <v>Documentos de planeación</v>
      </c>
      <c r="AC611" s="164" t="str">
        <f t="shared" si="37"/>
        <v>019_Documentos de planeación</v>
      </c>
      <c r="AD611" s="164" t="str">
        <f t="shared" si="38"/>
        <v>13-Servicios para la planeación y sistemas de gestión y comunicación estratégica 019_Documentos de planeación</v>
      </c>
      <c r="AE611" s="163" t="str">
        <f t="shared" si="39"/>
        <v>O23011745992024020713019</v>
      </c>
      <c r="AF611" s="163" t="str">
        <f>IFERROR(VLOOKUP(AD611,TD!$J$66:$K$89,2,0)," ")</f>
        <v>PM/0131/0113/45990190207</v>
      </c>
      <c r="AG611" s="118" t="s">
        <v>385</v>
      </c>
      <c r="AH611" s="171" t="s">
        <v>194</v>
      </c>
      <c r="AI611" s="185" t="str">
        <f>CONCATENATE(PAA[[#This Row],[Id Interno]],"-",PAA[[#This Row],[tipo de Contrato (TH talento humano - B/S bienes y/o servicios)]],"-",S611,"-",T611,"-",PAA[[#This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12" spans="2:35" ht="70" x14ac:dyDescent="0.35">
      <c r="B612" s="142">
        <v>20260612</v>
      </c>
      <c r="C612" s="121" t="s">
        <v>941</v>
      </c>
      <c r="D612" s="130" t="s">
        <v>105</v>
      </c>
      <c r="E612" s="130" t="s">
        <v>363</v>
      </c>
      <c r="F612" s="130" t="s">
        <v>145</v>
      </c>
      <c r="G612" s="131" t="s">
        <v>374</v>
      </c>
      <c r="H612" s="137">
        <v>11</v>
      </c>
      <c r="I612" s="137">
        <v>0</v>
      </c>
      <c r="J612" s="132">
        <f>47300000</f>
        <v>47300000</v>
      </c>
      <c r="K612" s="133" t="s">
        <v>398</v>
      </c>
      <c r="L612" s="172" t="s">
        <v>150</v>
      </c>
      <c r="M612" s="173" t="s">
        <v>401</v>
      </c>
      <c r="N612" s="130" t="s">
        <v>197</v>
      </c>
      <c r="O612" s="178" t="s">
        <v>925</v>
      </c>
      <c r="P612" s="173" t="s">
        <v>348</v>
      </c>
      <c r="Q612" s="134">
        <v>80111600</v>
      </c>
      <c r="R612" s="173" t="s">
        <v>209</v>
      </c>
      <c r="S612" s="173" t="str">
        <f>MID(PAA[[#This Row],[Meta Proyecto de Inversión]],1,4)</f>
        <v>8126</v>
      </c>
      <c r="T612" s="173" t="str">
        <f>MID(PAA[[#This Row],[Meta Proyecto de Inversión]],6,1)</f>
        <v>1</v>
      </c>
      <c r="U612" s="174" t="str">
        <f>IFERROR(VLOOKUP(N612,TD!$B$50:$F$54,2,0)," ")</f>
        <v>O230117</v>
      </c>
      <c r="V612" s="174" t="str">
        <f>IFERROR(VLOOKUP(N612,TD!$B$50:$F$54,3,0)," ")</f>
        <v>4599</v>
      </c>
      <c r="W612" s="174">
        <f>IFERROR(VLOOKUP(N612,TD!$B$50:$F$54,4,0)," ")</f>
        <v>20240207</v>
      </c>
      <c r="X612" s="167" t="s">
        <v>182</v>
      </c>
      <c r="Y612" s="168" t="str">
        <f>IFERROR(VLOOKUP(X612,TD!$J$51:$K$64,2,0)," ")</f>
        <v>Servicios para la planeación y sistemas de gestión y comunicación estratégica</v>
      </c>
      <c r="Z612" s="175" t="str">
        <f t="shared" si="36"/>
        <v>13-Servicios para la planeación y sistemas de gestión y comunicación estratégica</v>
      </c>
      <c r="AA612" s="167" t="s">
        <v>231</v>
      </c>
      <c r="AB612" s="168" t="str">
        <f>IFERROR(VLOOKUP(AA612,TD!$N$51:$O$66,2,0)," ")</f>
        <v>Documentos de planeación</v>
      </c>
      <c r="AC612" s="175" t="str">
        <f t="shared" si="37"/>
        <v>019_Documentos de planeación</v>
      </c>
      <c r="AD612" s="175" t="str">
        <f t="shared" si="38"/>
        <v>13-Servicios para la planeación y sistemas de gestión y comunicación estratégica 019_Documentos de planeación</v>
      </c>
      <c r="AE612" s="174" t="str">
        <f t="shared" si="39"/>
        <v>O23011745992024020713019</v>
      </c>
      <c r="AF612" s="163" t="str">
        <f>IFERROR(VLOOKUP(AD612,TD!$J$66:$K$89,2,0)," ")</f>
        <v>PM/0131/0113/45990190207</v>
      </c>
      <c r="AG612" s="118" t="s">
        <v>385</v>
      </c>
      <c r="AH612" s="176" t="s">
        <v>193</v>
      </c>
      <c r="AI612" s="183" t="str">
        <f>CONCATENATE(PAA[[#This Row],[Id Interno]],"-",PAA[[#This Row],[tipo de Contrato (TH talento humano - B/S bienes y/o servicios)]],"-",S612,"-",T612,"-",PAA[[#This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13" spans="2:35" ht="84" x14ac:dyDescent="0.35">
      <c r="B613" s="142">
        <v>20260613</v>
      </c>
      <c r="C613" s="121" t="s">
        <v>942</v>
      </c>
      <c r="D613" s="130" t="s">
        <v>83</v>
      </c>
      <c r="E613" s="130" t="s">
        <v>402</v>
      </c>
      <c r="F613" s="130" t="s">
        <v>124</v>
      </c>
      <c r="G613" s="131" t="s">
        <v>375</v>
      </c>
      <c r="H613" s="137">
        <v>3</v>
      </c>
      <c r="I613" s="137">
        <v>0</v>
      </c>
      <c r="J613" s="132">
        <v>182388960</v>
      </c>
      <c r="K613" s="133" t="s">
        <v>398</v>
      </c>
      <c r="L613" s="172" t="s">
        <v>156</v>
      </c>
      <c r="M613" s="173" t="s">
        <v>496</v>
      </c>
      <c r="N613" s="130" t="s">
        <v>198</v>
      </c>
      <c r="O613" s="178" t="s">
        <v>926</v>
      </c>
      <c r="P613" s="173" t="s">
        <v>348</v>
      </c>
      <c r="Q613" s="134" t="s">
        <v>521</v>
      </c>
      <c r="R613" s="173" t="s">
        <v>210</v>
      </c>
      <c r="S613" s="173" t="str">
        <f>MID(PAA[[#This Row],[Meta Proyecto de Inversión]],1,4)</f>
        <v>8173</v>
      </c>
      <c r="T613" s="173" t="str">
        <f>MID(PAA[[#This Row],[Meta Proyecto de Inversión]],6,1)</f>
        <v>1</v>
      </c>
      <c r="U613" s="174" t="str">
        <f>IFERROR(VLOOKUP(N613,TD!$B$50:$F$54,2,0)," ")</f>
        <v>O230117</v>
      </c>
      <c r="V613" s="174" t="str">
        <f>IFERROR(VLOOKUP(N613,TD!$B$50:$F$54,3,0)," ")</f>
        <v>4503</v>
      </c>
      <c r="W613" s="174">
        <f>IFERROR(VLOOKUP(N613,TD!$B$50:$F$54,4,0)," ")</f>
        <v>20240255</v>
      </c>
      <c r="X613" s="167" t="s">
        <v>166</v>
      </c>
      <c r="Y613" s="168" t="str">
        <f>IFERROR(VLOOKUP(X613,TD!$J$51:$K$64,2,0)," ")</f>
        <v>Servicio de capacitaciones en gestión del riesgo de incendios  a la ciudadania.</v>
      </c>
      <c r="Z613" s="175" t="str">
        <f t="shared" si="36"/>
        <v>05-Servicio de capacitaciones en gestión del riesgo de incendios  a la ciudadania.</v>
      </c>
      <c r="AA613" s="167" t="s">
        <v>223</v>
      </c>
      <c r="AB613" s="168" t="str">
        <f>IFERROR(VLOOKUP(AA613,TD!$N$51:$O$66,2,0)," ")</f>
        <v>Servicio prevención y control de incendios</v>
      </c>
      <c r="AC613" s="175" t="str">
        <f t="shared" si="37"/>
        <v>035_Servicio prevención y control de incendios</v>
      </c>
      <c r="AD613" s="175" t="str">
        <f t="shared" si="38"/>
        <v>05-Servicio de capacitaciones en gestión del riesgo de incendios  a la ciudadania. 035_Servicio prevención y control de incendios</v>
      </c>
      <c r="AE613" s="174" t="str">
        <f t="shared" si="39"/>
        <v>O23011745032024025505035</v>
      </c>
      <c r="AF613" s="163" t="str">
        <f>IFERROR(VLOOKUP(AD613,TD!$J$66:$K$89,2,0)," ")</f>
        <v>PM/0131/0105/45030350255</v>
      </c>
      <c r="AG613" s="118" t="s">
        <v>550</v>
      </c>
      <c r="AH613" s="176" t="s">
        <v>194</v>
      </c>
      <c r="AI613" s="183" t="str">
        <f>CONCATENATE(PAA[[#This Row],[Id Interno]],"-",PAA[[#This Row],[tipo de Contrato (TH talento humano - B/S bienes y/o servicios)]],"-",S613,"-",T613,"-",PAA[[#This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14" spans="2:35" ht="56" x14ac:dyDescent="0.35">
      <c r="B614" s="142">
        <v>20260614</v>
      </c>
      <c r="C614" s="121" t="s">
        <v>944</v>
      </c>
      <c r="D614" s="130" t="s">
        <v>105</v>
      </c>
      <c r="E614" s="130" t="s">
        <v>363</v>
      </c>
      <c r="F614" s="130" t="s">
        <v>144</v>
      </c>
      <c r="G614" s="131" t="s">
        <v>945</v>
      </c>
      <c r="H614" s="137">
        <v>10</v>
      </c>
      <c r="I614" s="137">
        <v>0</v>
      </c>
      <c r="J614" s="132">
        <v>65000000</v>
      </c>
      <c r="K614" s="133" t="s">
        <v>398</v>
      </c>
      <c r="L614" s="172" t="s">
        <v>152</v>
      </c>
      <c r="M614" s="173" t="s">
        <v>932</v>
      </c>
      <c r="N614" s="130" t="s">
        <v>197</v>
      </c>
      <c r="O614" s="178" t="s">
        <v>925</v>
      </c>
      <c r="P614" s="173" t="s">
        <v>348</v>
      </c>
      <c r="Q614" s="134">
        <v>80111600</v>
      </c>
      <c r="R614" s="173" t="s">
        <v>208</v>
      </c>
      <c r="S614" s="173" t="str">
        <f>MID(PAA[[#This Row],[Meta Proyecto de Inversión]],1,4)</f>
        <v>8126</v>
      </c>
      <c r="T614" s="173" t="str">
        <f>MID(PAA[[#This Row],[Meta Proyecto de Inversión]],6,1)</f>
        <v>9</v>
      </c>
      <c r="U614" s="174" t="str">
        <f>IFERROR(VLOOKUP(N614,TD!$B$50:$F$54,2,0)," ")</f>
        <v>O230117</v>
      </c>
      <c r="V614" s="174" t="str">
        <f>IFERROR(VLOOKUP(N614,TD!$B$50:$F$54,3,0)," ")</f>
        <v>4599</v>
      </c>
      <c r="W614" s="174">
        <f>IFERROR(VLOOKUP(N614,TD!$B$50:$F$54,4,0)," ")</f>
        <v>20240207</v>
      </c>
      <c r="X614" s="167" t="s">
        <v>174</v>
      </c>
      <c r="Y614" s="168" t="str">
        <f>IFERROR(VLOOKUP(X614,TD!$J$51:$K$64,2,0)," ")</f>
        <v>Infraestructura física, mantenimiento y dotación (Sedes construidas, mantenidas reforzadas)</v>
      </c>
      <c r="Z614" s="175" t="str">
        <f t="shared" si="36"/>
        <v>08-Infraestructura física, mantenimiento y dotación (Sedes construidas, mantenidas reforzadas)</v>
      </c>
      <c r="AA614" s="167" t="s">
        <v>227</v>
      </c>
      <c r="AB614" s="168" t="str">
        <f>IFERROR(VLOOKUP(AA614,TD!$N$51:$O$66,2,0)," ")</f>
        <v>Sedes mantenidas</v>
      </c>
      <c r="AC614" s="175" t="str">
        <f t="shared" si="37"/>
        <v>016_Sedes mantenidas</v>
      </c>
      <c r="AD614" s="175" t="str">
        <f t="shared" si="38"/>
        <v>08-Infraestructura física, mantenimiento y dotación (Sedes construidas, mantenidas reforzadas) 016_Sedes mantenidas</v>
      </c>
      <c r="AE614" s="174" t="str">
        <f t="shared" si="39"/>
        <v>O23011745992024020708016</v>
      </c>
      <c r="AF614" s="163" t="str">
        <f>IFERROR(VLOOKUP(AD614,TD!$J$66:$K$89,2,0)," ")</f>
        <v>PM/0131/0108/45990160207</v>
      </c>
      <c r="AG614" s="135" t="s">
        <v>385</v>
      </c>
      <c r="AH614" s="176" t="s">
        <v>193</v>
      </c>
      <c r="AI614" s="183" t="str">
        <f>CONCATENATE(PAA[[#This Row],[Id Interno]],"-",PAA[[#This Row],[tipo de Contrato (TH talento humano - B/S bienes y/o servicios)]],"-",S614,"-",T614,"-",PAA[[#This Row],[Objeto de la contratación]])</f>
        <v>20260614-TH-8126-9-Prestar los servicios profesionales  en la Oficina de Control Interno para el desarrollo del Plan Anual de Auditorías.</v>
      </c>
    </row>
    <row r="615" spans="2:35" ht="56" x14ac:dyDescent="0.35">
      <c r="B615" s="142">
        <v>20260615</v>
      </c>
      <c r="C615" s="121" t="s">
        <v>944</v>
      </c>
      <c r="D615" s="130" t="s">
        <v>105</v>
      </c>
      <c r="E615" s="130" t="s">
        <v>363</v>
      </c>
      <c r="F615" s="130" t="s">
        <v>144</v>
      </c>
      <c r="G615" s="131" t="s">
        <v>945</v>
      </c>
      <c r="H615" s="137">
        <v>10</v>
      </c>
      <c r="I615" s="137">
        <v>0</v>
      </c>
      <c r="J615" s="132">
        <v>77000000</v>
      </c>
      <c r="K615" s="133" t="s">
        <v>398</v>
      </c>
      <c r="L615" s="172" t="s">
        <v>152</v>
      </c>
      <c r="M615" s="173" t="s">
        <v>932</v>
      </c>
      <c r="N615" s="130" t="s">
        <v>197</v>
      </c>
      <c r="O615" s="178" t="s">
        <v>925</v>
      </c>
      <c r="P615" s="173" t="s">
        <v>348</v>
      </c>
      <c r="Q615" s="134">
        <v>80111600</v>
      </c>
      <c r="R615" s="173" t="s">
        <v>208</v>
      </c>
      <c r="S615" s="173" t="str">
        <f>MID(PAA[[#This Row],[Meta Proyecto de Inversión]],1,4)</f>
        <v>8126</v>
      </c>
      <c r="T615" s="173" t="str">
        <f>MID(PAA[[#This Row],[Meta Proyecto de Inversión]],6,1)</f>
        <v>9</v>
      </c>
      <c r="U615" s="174" t="str">
        <f>IFERROR(VLOOKUP(N615,TD!$B$50:$F$54,2,0)," ")</f>
        <v>O230117</v>
      </c>
      <c r="V615" s="174" t="str">
        <f>IFERROR(VLOOKUP(N615,TD!$B$50:$F$54,3,0)," ")</f>
        <v>4599</v>
      </c>
      <c r="W615" s="174">
        <f>IFERROR(VLOOKUP(N615,TD!$B$50:$F$54,4,0)," ")</f>
        <v>20240207</v>
      </c>
      <c r="X615" s="167" t="s">
        <v>174</v>
      </c>
      <c r="Y615" s="168" t="str">
        <f>IFERROR(VLOOKUP(X615,TD!$J$51:$K$64,2,0)," ")</f>
        <v>Infraestructura física, mantenimiento y dotación (Sedes construidas, mantenidas reforzadas)</v>
      </c>
      <c r="Z615" s="175" t="str">
        <f t="shared" si="36"/>
        <v>08-Infraestructura física, mantenimiento y dotación (Sedes construidas, mantenidas reforzadas)</v>
      </c>
      <c r="AA615" s="167" t="s">
        <v>227</v>
      </c>
      <c r="AB615" s="168" t="str">
        <f>IFERROR(VLOOKUP(AA615,TD!$N$51:$O$66,2,0)," ")</f>
        <v>Sedes mantenidas</v>
      </c>
      <c r="AC615" s="175" t="str">
        <f t="shared" si="37"/>
        <v>016_Sedes mantenidas</v>
      </c>
      <c r="AD615" s="175" t="str">
        <f t="shared" si="38"/>
        <v>08-Infraestructura física, mantenimiento y dotación (Sedes construidas, mantenidas reforzadas) 016_Sedes mantenidas</v>
      </c>
      <c r="AE615" s="174" t="str">
        <f t="shared" si="39"/>
        <v>O23011745992024020708016</v>
      </c>
      <c r="AF615" s="163" t="str">
        <f>IFERROR(VLOOKUP(AD615,TD!$J$66:$K$89,2,0)," ")</f>
        <v>PM/0131/0108/45990160207</v>
      </c>
      <c r="AG615" s="135" t="s">
        <v>385</v>
      </c>
      <c r="AH615" s="176" t="s">
        <v>193</v>
      </c>
      <c r="AI615" s="183" t="str">
        <f>CONCATENATE(PAA[[#This Row],[Id Interno]],"-",PAA[[#This Row],[tipo de Contrato (TH talento humano - B/S bienes y/o servicios)]],"-",S615,"-",T615,"-",PAA[[#This Row],[Objeto de la contratación]])</f>
        <v>20260615-TH-8126-9-Prestar los servicios profesionales  en la Oficina de Control Interno para el desarrollo del Plan Anual de Auditorías.</v>
      </c>
    </row>
    <row r="616" spans="2:35" ht="56" x14ac:dyDescent="0.35">
      <c r="B616" s="142">
        <v>20260616</v>
      </c>
      <c r="C616" s="121" t="s">
        <v>946</v>
      </c>
      <c r="D616" s="130" t="s">
        <v>105</v>
      </c>
      <c r="E616" s="130" t="s">
        <v>363</v>
      </c>
      <c r="F616" s="130" t="s">
        <v>145</v>
      </c>
      <c r="G616" s="131" t="s">
        <v>373</v>
      </c>
      <c r="H616" s="137">
        <v>8</v>
      </c>
      <c r="I616" s="137">
        <v>0</v>
      </c>
      <c r="J616" s="132">
        <v>28000000</v>
      </c>
      <c r="K616" s="133" t="s">
        <v>398</v>
      </c>
      <c r="L616" s="172" t="s">
        <v>158</v>
      </c>
      <c r="M616" s="173" t="s">
        <v>421</v>
      </c>
      <c r="N616" s="130" t="s">
        <v>198</v>
      </c>
      <c r="O616" s="178" t="s">
        <v>926</v>
      </c>
      <c r="P616" s="173" t="s">
        <v>348</v>
      </c>
      <c r="Q616" s="134">
        <v>80111600</v>
      </c>
      <c r="R616" s="173" t="s">
        <v>211</v>
      </c>
      <c r="S616" s="173" t="str">
        <f>MID(PAA[[#This Row],[Meta Proyecto de Inversión]],1,4)</f>
        <v>8173</v>
      </c>
      <c r="T616" s="173" t="str">
        <f>MID(PAA[[#This Row],[Meta Proyecto de Inversión]],6,1)</f>
        <v>2</v>
      </c>
      <c r="U616" s="174" t="str">
        <f>IFERROR(VLOOKUP(N616,TD!$B$50:$F$54,2,0)," ")</f>
        <v>O230117</v>
      </c>
      <c r="V616" s="174" t="str">
        <f>IFERROR(VLOOKUP(N616,TD!$B$50:$F$54,3,0)," ")</f>
        <v>4503</v>
      </c>
      <c r="W616" s="174">
        <f>IFERROR(VLOOKUP(N616,TD!$B$50:$F$54,4,0)," ")</f>
        <v>20240255</v>
      </c>
      <c r="X616" s="167" t="s">
        <v>164</v>
      </c>
      <c r="Y616" s="168" t="str">
        <f>IFERROR(VLOOKUP(X616,TD!$J$51:$K$64,2,0)," ")</f>
        <v>Servicio de atención a incidentes y emergencias.</v>
      </c>
      <c r="Z616" s="175" t="str">
        <f t="shared" si="36"/>
        <v>04-Servicio de atención a incidentes y emergencias.</v>
      </c>
      <c r="AA616" s="167" t="s">
        <v>221</v>
      </c>
      <c r="AB616" s="168" t="str">
        <f>IFERROR(VLOOKUP(AA616,TD!$N$51:$O$66,2,0)," ")</f>
        <v>Servicio de atención a emergencias y desastres</v>
      </c>
      <c r="AC616" s="175" t="str">
        <f t="shared" si="37"/>
        <v>004_Servicio de atención a emergencias y desastres</v>
      </c>
      <c r="AD616" s="175" t="str">
        <f t="shared" si="38"/>
        <v>04-Servicio de atención a incidentes y emergencias. 004_Servicio de atención a emergencias y desastres</v>
      </c>
      <c r="AE616" s="174" t="str">
        <f t="shared" si="39"/>
        <v>O23011745032024025504004</v>
      </c>
      <c r="AF616" s="163" t="str">
        <f>IFERROR(VLOOKUP(AD616,TD!$J$66:$K$89,2,0)," ")</f>
        <v>PM/0131/0104/45030040255</v>
      </c>
      <c r="AG616" s="135" t="s">
        <v>385</v>
      </c>
      <c r="AH616" s="176" t="s">
        <v>193</v>
      </c>
      <c r="AI616" s="183" t="str">
        <f>CONCATENATE(PAA[[#This Row],[Id Interno]],"-",PAA[[#This Row],[tipo de Contrato (TH talento humano - B/S bienes y/o servicios)]],"-",S616,"-",T616,"-",PAA[[#This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17" spans="2:35" ht="76.5" customHeight="1" x14ac:dyDescent="0.35">
      <c r="B617" s="142">
        <v>20260617</v>
      </c>
      <c r="C617" s="121" t="s">
        <v>947</v>
      </c>
      <c r="D617" s="130" t="s">
        <v>105</v>
      </c>
      <c r="E617" s="130" t="s">
        <v>363</v>
      </c>
      <c r="F617" s="130" t="s">
        <v>144</v>
      </c>
      <c r="G617" s="131" t="s">
        <v>373</v>
      </c>
      <c r="H617" s="137">
        <v>6</v>
      </c>
      <c r="I617" s="137">
        <v>0</v>
      </c>
      <c r="J617" s="132">
        <v>48000000</v>
      </c>
      <c r="K617" s="133" t="s">
        <v>398</v>
      </c>
      <c r="L617" s="172" t="s">
        <v>158</v>
      </c>
      <c r="M617" s="173" t="s">
        <v>421</v>
      </c>
      <c r="N617" s="130" t="s">
        <v>198</v>
      </c>
      <c r="O617" s="178" t="s">
        <v>926</v>
      </c>
      <c r="P617" s="173" t="s">
        <v>348</v>
      </c>
      <c r="Q617" s="134">
        <v>80111600</v>
      </c>
      <c r="R617" s="173" t="s">
        <v>211</v>
      </c>
      <c r="S617" s="173" t="str">
        <f>MID(PAA[[#This Row],[Meta Proyecto de Inversión]],1,4)</f>
        <v>8173</v>
      </c>
      <c r="T617" s="173" t="str">
        <f>MID(PAA[[#This Row],[Meta Proyecto de Inversión]],6,1)</f>
        <v>2</v>
      </c>
      <c r="U617" s="174" t="str">
        <f>IFERROR(VLOOKUP(N617,TD!$B$50:$F$54,2,0)," ")</f>
        <v>O230117</v>
      </c>
      <c r="V617" s="174" t="str">
        <f>IFERROR(VLOOKUP(N617,TD!$B$50:$F$54,3,0)," ")</f>
        <v>4503</v>
      </c>
      <c r="W617" s="174">
        <f>IFERROR(VLOOKUP(N617,TD!$B$50:$F$54,4,0)," ")</f>
        <v>20240255</v>
      </c>
      <c r="X617" s="167" t="s">
        <v>164</v>
      </c>
      <c r="Y617" s="168" t="str">
        <f>IFERROR(VLOOKUP(X617,TD!$J$51:$K$64,2,0)," ")</f>
        <v>Servicio de atención a incidentes y emergencias.</v>
      </c>
      <c r="Z617" s="175" t="str">
        <f t="shared" si="36"/>
        <v>04-Servicio de atención a incidentes y emergencias.</v>
      </c>
      <c r="AA617" s="167" t="s">
        <v>221</v>
      </c>
      <c r="AB617" s="168" t="str">
        <f>IFERROR(VLOOKUP(AA617,TD!$N$51:$O$66,2,0)," ")</f>
        <v>Servicio de atención a emergencias y desastres</v>
      </c>
      <c r="AC617" s="175" t="str">
        <f t="shared" si="37"/>
        <v>004_Servicio de atención a emergencias y desastres</v>
      </c>
      <c r="AD617" s="175" t="str">
        <f t="shared" si="38"/>
        <v>04-Servicio de atención a incidentes y emergencias. 004_Servicio de atención a emergencias y desastres</v>
      </c>
      <c r="AE617" s="174" t="str">
        <f t="shared" si="39"/>
        <v>O23011745032024025504004</v>
      </c>
      <c r="AF617" s="163" t="str">
        <f>IFERROR(VLOOKUP(AD617,TD!$J$66:$K$89,2,0)," ")</f>
        <v>PM/0131/0104/45030040255</v>
      </c>
      <c r="AG617" s="135" t="s">
        <v>385</v>
      </c>
      <c r="AH617" s="176" t="s">
        <v>193</v>
      </c>
      <c r="AI617" s="183" t="str">
        <f>CONCATENATE(PAA[[#This Row],[Id Interno]],"-",PAA[[#This Row],[tipo de Contrato (TH talento humano - B/S bienes y/o servicios)]],"-",S617,"-",T617,"-",PAA[[#This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18" spans="2:35" ht="84" x14ac:dyDescent="0.35">
      <c r="B618" s="142">
        <v>20260619</v>
      </c>
      <c r="C618" s="121" t="s">
        <v>948</v>
      </c>
      <c r="D618" s="130" t="s">
        <v>114</v>
      </c>
      <c r="E618" s="130" t="s">
        <v>402</v>
      </c>
      <c r="F618" s="130" t="s">
        <v>79</v>
      </c>
      <c r="G618" s="131" t="s">
        <v>373</v>
      </c>
      <c r="H618" s="137">
        <v>2</v>
      </c>
      <c r="I618" s="137">
        <v>0</v>
      </c>
      <c r="J618" s="132">
        <v>5093340</v>
      </c>
      <c r="K618" s="133" t="s">
        <v>398</v>
      </c>
      <c r="L618" s="172" t="s">
        <v>158</v>
      </c>
      <c r="M618" s="173" t="s">
        <v>421</v>
      </c>
      <c r="N618" s="130" t="s">
        <v>198</v>
      </c>
      <c r="O618" s="178" t="s">
        <v>926</v>
      </c>
      <c r="P618" s="173" t="s">
        <v>348</v>
      </c>
      <c r="Q618" s="134">
        <v>80111600</v>
      </c>
      <c r="R618" s="173" t="s">
        <v>211</v>
      </c>
      <c r="S618" s="173" t="str">
        <f>MID(PAA[[#This Row],[Meta Proyecto de Inversión]],1,4)</f>
        <v>8173</v>
      </c>
      <c r="T618" s="173" t="str">
        <f>MID(PAA[[#This Row],[Meta Proyecto de Inversión]],6,1)</f>
        <v>2</v>
      </c>
      <c r="U618" s="174" t="str">
        <f>IFERROR(VLOOKUP(N618,TD!$B$50:$F$54,2,0)," ")</f>
        <v>O230117</v>
      </c>
      <c r="V618" s="174" t="str">
        <f>IFERROR(VLOOKUP(N618,TD!$B$50:$F$54,3,0)," ")</f>
        <v>4503</v>
      </c>
      <c r="W618" s="174">
        <f>IFERROR(VLOOKUP(N618,TD!$B$50:$F$54,4,0)," ")</f>
        <v>20240255</v>
      </c>
      <c r="X618" s="167" t="s">
        <v>178</v>
      </c>
      <c r="Y618" s="168" t="str">
        <f>IFERROR(VLOOKUP(X618,TD!$J$51:$K$64,2,0)," ")</f>
        <v>Servicio de dotación y equipamento para el personal operativo</v>
      </c>
      <c r="Z618" s="175" t="str">
        <f t="shared" si="36"/>
        <v>10-Servicio de dotación y equipamento para el personal operativo</v>
      </c>
      <c r="AA618" s="167" t="s">
        <v>221</v>
      </c>
      <c r="AB618" s="168" t="str">
        <f>IFERROR(VLOOKUP(AA618,TD!$N$51:$O$66,2,0)," ")</f>
        <v>Servicio de atención a emergencias y desastres</v>
      </c>
      <c r="AC618" s="175" t="str">
        <f t="shared" si="37"/>
        <v>004_Servicio de atención a emergencias y desastres</v>
      </c>
      <c r="AD618" s="175" t="str">
        <f t="shared" si="38"/>
        <v>10-Servicio de dotación y equipamento para el personal operativo 004_Servicio de atención a emergencias y desastres</v>
      </c>
      <c r="AE618" s="174" t="str">
        <f t="shared" si="39"/>
        <v>O23011745032024025510004</v>
      </c>
      <c r="AF618" s="163" t="str">
        <f>IFERROR(VLOOKUP(AD618,TD!$J$66:$K$89,2,0)," ")</f>
        <v>PM/0131/0110/45030040255</v>
      </c>
      <c r="AG618" s="135" t="s">
        <v>80</v>
      </c>
      <c r="AH618" s="176" t="s">
        <v>194</v>
      </c>
      <c r="AI618" s="183" t="str">
        <f>CONCATENATE(PAA[[#This Row],[Id Interno]],"-",PAA[[#This Row],[tipo de Contrato (TH talento humano - B/S bienes y/o servicios)]],"-",S618,"-",T618,"-",PAA[[#This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19" spans="2:35" ht="70" x14ac:dyDescent="0.35">
      <c r="B619" s="142">
        <v>20260620</v>
      </c>
      <c r="C619" s="121" t="s">
        <v>949</v>
      </c>
      <c r="D619" s="130" t="s">
        <v>119</v>
      </c>
      <c r="E619" s="130" t="s">
        <v>402</v>
      </c>
      <c r="F619" s="130" t="s">
        <v>128</v>
      </c>
      <c r="G619" s="131" t="s">
        <v>380</v>
      </c>
      <c r="H619" s="137">
        <v>11</v>
      </c>
      <c r="I619" s="137">
        <v>0</v>
      </c>
      <c r="J619" s="132">
        <v>180000000</v>
      </c>
      <c r="K619" s="133" t="s">
        <v>398</v>
      </c>
      <c r="L619" s="172" t="s">
        <v>154</v>
      </c>
      <c r="M619" s="173" t="s">
        <v>448</v>
      </c>
      <c r="N619" s="130" t="s">
        <v>330</v>
      </c>
      <c r="O619" s="173" t="s">
        <v>925</v>
      </c>
      <c r="P619" s="173" t="s">
        <v>161</v>
      </c>
      <c r="Q619" s="134" t="s">
        <v>333</v>
      </c>
      <c r="R619" s="173" t="s">
        <v>331</v>
      </c>
      <c r="S619" s="173" t="str">
        <f>MID(PAA[[#This Row],[Meta Proyecto de Inversión]],1,4)</f>
        <v>No a</v>
      </c>
      <c r="T619" s="173" t="str">
        <f>MID(PAA[[#This Row],[Meta Proyecto de Inversión]],6,1)</f>
        <v>l</v>
      </c>
      <c r="U619" s="174" t="str">
        <f>IFERROR(VLOOKUP(N619,TD!$B$50:$F$54,2,0)," ")</f>
        <v>NA</v>
      </c>
      <c r="V619" s="174" t="str">
        <f>IFERROR(VLOOKUP(N619,TD!$B$50:$F$54,3,0)," ")</f>
        <v>NA</v>
      </c>
      <c r="W619" s="174" t="str">
        <f>IFERROR(VLOOKUP(N619,TD!$B$50:$F$54,4,0)," ")</f>
        <v>NA</v>
      </c>
      <c r="X619" s="167" t="s">
        <v>335</v>
      </c>
      <c r="Y619" s="168" t="str">
        <f>IFERROR(VLOOKUP(X619,TD!$J$51:$K$64,2,0)," ")</f>
        <v>N/A</v>
      </c>
      <c r="Z619" s="175" t="str">
        <f t="shared" si="36"/>
        <v>N/A-N/A</v>
      </c>
      <c r="AA619" s="167" t="s">
        <v>335</v>
      </c>
      <c r="AB619" s="168" t="str">
        <f>IFERROR(VLOOKUP(AA619,TD!$N$51:$O$66,2,0)," ")</f>
        <v>N/A</v>
      </c>
      <c r="AC619" s="175" t="str">
        <f t="shared" si="37"/>
        <v>N/A_N/A</v>
      </c>
      <c r="AD619" s="175" t="str">
        <f t="shared" si="38"/>
        <v>N/A-N/A N/A_N/A</v>
      </c>
      <c r="AE619" s="174" t="str">
        <f t="shared" si="39"/>
        <v>NANANAN/AN/A</v>
      </c>
      <c r="AF619" s="163" t="str">
        <f>IFERROR(VLOOKUP(AD619,TD!$J$66:$K$89,2,0)," ")</f>
        <v>N/A</v>
      </c>
      <c r="AG619" s="135" t="s">
        <v>332</v>
      </c>
      <c r="AH619" s="176" t="s">
        <v>193</v>
      </c>
      <c r="AI619" s="186" t="str">
        <f>CONCATENATE(PAA[[#This Row],[Id Interno]],"-",PAA[[#This Row],[tipo de Contrato (TH talento humano - B/S bienes y/o servicios)]],"-",S619,"-",T619,"-",PAA[[#This Row],[Objeto de la contratación]])</f>
        <v>20260620-BS-No a-l-SGH - INCENTIVOS</v>
      </c>
    </row>
    <row r="620" spans="2:35" ht="98" x14ac:dyDescent="0.35">
      <c r="B620" s="142">
        <v>20260621</v>
      </c>
      <c r="C620" s="121" t="s">
        <v>950</v>
      </c>
      <c r="D620" s="130" t="s">
        <v>105</v>
      </c>
      <c r="E620" s="130" t="s">
        <v>363</v>
      </c>
      <c r="F620" s="130" t="s">
        <v>144</v>
      </c>
      <c r="G620" s="131" t="s">
        <v>373</v>
      </c>
      <c r="H620" s="137">
        <v>3</v>
      </c>
      <c r="I620" s="137">
        <v>0</v>
      </c>
      <c r="J620" s="132">
        <v>29400000</v>
      </c>
      <c r="K620" s="133" t="s">
        <v>398</v>
      </c>
      <c r="L620" s="172" t="s">
        <v>154</v>
      </c>
      <c r="M620" s="173" t="s">
        <v>448</v>
      </c>
      <c r="N620" s="130" t="s">
        <v>197</v>
      </c>
      <c r="O620" s="173" t="s">
        <v>925</v>
      </c>
      <c r="P620" s="173" t="s">
        <v>348</v>
      </c>
      <c r="Q620" s="134">
        <v>80111600</v>
      </c>
      <c r="R620" s="173" t="s">
        <v>208</v>
      </c>
      <c r="S620" s="173" t="str">
        <f>MID(PAA[[#This Row],[Meta Proyecto de Inversión]],1,4)</f>
        <v>8126</v>
      </c>
      <c r="T620" s="173" t="str">
        <f>MID(PAA[[#This Row],[Meta Proyecto de Inversión]],6,1)</f>
        <v>9</v>
      </c>
      <c r="U620" s="174" t="str">
        <f>IFERROR(VLOOKUP(N620,TD!$B$50:$F$54,2,0)," ")</f>
        <v>O230117</v>
      </c>
      <c r="V620" s="174" t="str">
        <f>IFERROR(VLOOKUP(N620,TD!$B$50:$F$54,3,0)," ")</f>
        <v>4599</v>
      </c>
      <c r="W620" s="174">
        <f>IFERROR(VLOOKUP(N620,TD!$B$50:$F$54,4,0)," ")</f>
        <v>20240207</v>
      </c>
      <c r="X620" s="167" t="s">
        <v>174</v>
      </c>
      <c r="Y620" s="168" t="str">
        <f>IFERROR(VLOOKUP(X620,TD!$J$51:$K$64,2,0)," ")</f>
        <v>Infraestructura física, mantenimiento y dotación (Sedes construidas, mantenidas reforzadas)</v>
      </c>
      <c r="Z620" s="175" t="str">
        <f t="shared" si="36"/>
        <v>08-Infraestructura física, mantenimiento y dotación (Sedes construidas, mantenidas reforzadas)</v>
      </c>
      <c r="AA620" s="167" t="s">
        <v>227</v>
      </c>
      <c r="AB620" s="168" t="str">
        <f>IFERROR(VLOOKUP(AA620,TD!$N$51:$O$66,2,0)," ")</f>
        <v>Sedes mantenidas</v>
      </c>
      <c r="AC620" s="175" t="str">
        <f t="shared" si="37"/>
        <v>016_Sedes mantenidas</v>
      </c>
      <c r="AD620" s="175" t="str">
        <f t="shared" si="38"/>
        <v>08-Infraestructura física, mantenimiento y dotación (Sedes construidas, mantenidas reforzadas) 016_Sedes mantenidas</v>
      </c>
      <c r="AE620" s="174" t="str">
        <f t="shared" si="39"/>
        <v>O23011745992024020708016</v>
      </c>
      <c r="AF620" s="163" t="str">
        <f>IFERROR(VLOOKUP(AD620,TD!$J$66:$K$89,2,0)," ")</f>
        <v>PM/0131/0108/45990160207</v>
      </c>
      <c r="AG620" s="135" t="s">
        <v>385</v>
      </c>
      <c r="AH620" s="176" t="s">
        <v>193</v>
      </c>
      <c r="AI620" s="183" t="str">
        <f>CONCATENATE(PAA[[#This Row],[Id Interno]],"-",PAA[[#This Row],[tipo de Contrato (TH talento humano - B/S bienes y/o servicios)]],"-",S620,"-",T620,"-",PAA[[#This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21" spans="2:35" ht="56" x14ac:dyDescent="0.35">
      <c r="B621" s="142">
        <v>20260622</v>
      </c>
      <c r="C621" s="121" t="s">
        <v>972</v>
      </c>
      <c r="D621" s="130" t="s">
        <v>114</v>
      </c>
      <c r="E621" s="130" t="s">
        <v>402</v>
      </c>
      <c r="F621" s="130" t="s">
        <v>111</v>
      </c>
      <c r="G621" s="131" t="s">
        <v>375</v>
      </c>
      <c r="H621" s="137">
        <v>10</v>
      </c>
      <c r="I621" s="137">
        <v>0</v>
      </c>
      <c r="J621" s="132">
        <v>800000000</v>
      </c>
      <c r="K621" s="133" t="s">
        <v>398</v>
      </c>
      <c r="L621" s="172" t="s">
        <v>157</v>
      </c>
      <c r="M621" s="173" t="s">
        <v>495</v>
      </c>
      <c r="N621" s="130" t="s">
        <v>198</v>
      </c>
      <c r="O621" s="173" t="s">
        <v>926</v>
      </c>
      <c r="P621" s="173" t="s">
        <v>348</v>
      </c>
      <c r="Q621" s="134">
        <v>15101500</v>
      </c>
      <c r="R621" s="173" t="s">
        <v>213</v>
      </c>
      <c r="S621" s="173" t="str">
        <f>MID(PAA[[#This Row],[Meta Proyecto de Inversión]],1,4)</f>
        <v>8173</v>
      </c>
      <c r="T621" s="173" t="str">
        <f>MID(PAA[[#This Row],[Meta Proyecto de Inversión]],6,1)</f>
        <v>4</v>
      </c>
      <c r="U621" s="174" t="str">
        <f>IFERROR(VLOOKUP(N621,TD!$B$50:$F$54,2,0)," ")</f>
        <v>O230117</v>
      </c>
      <c r="V621" s="174" t="str">
        <f>IFERROR(VLOOKUP(N621,TD!$B$50:$F$54,3,0)," ")</f>
        <v>4503</v>
      </c>
      <c r="W621" s="174">
        <f>IFERROR(VLOOKUP(N621,TD!$B$50:$F$54,4,0)," ")</f>
        <v>20240255</v>
      </c>
      <c r="X621" s="162" t="s">
        <v>180</v>
      </c>
      <c r="Y621" s="163" t="str">
        <f>IFERROR(VLOOKUP(X621,TD!$J$51:$K$64,2,0)," ")</f>
        <v>Servicio de apoyo   logístico  en eventos operativos y/o emergencias.</v>
      </c>
      <c r="Z621" s="175" t="str">
        <f t="shared" si="36"/>
        <v>12-Servicio de apoyo   logístico  en eventos operativos y/o emergencias.</v>
      </c>
      <c r="AA621" s="162" t="s">
        <v>221</v>
      </c>
      <c r="AB621" s="163" t="str">
        <f>IFERROR(VLOOKUP(AA621,TD!$N$51:$O$66,2,0)," ")</f>
        <v>Servicio de atención a emergencias y desastres</v>
      </c>
      <c r="AC621" s="175" t="str">
        <f t="shared" si="37"/>
        <v>004_Servicio de atención a emergencias y desastres</v>
      </c>
      <c r="AD621" s="175" t="str">
        <f t="shared" si="38"/>
        <v>12-Servicio de apoyo   logístico  en eventos operativos y/o emergencias. 004_Servicio de atención a emergencias y desastres</v>
      </c>
      <c r="AE621" s="174" t="str">
        <f t="shared" si="39"/>
        <v>O23011745032024025512004</v>
      </c>
      <c r="AF621" s="163" t="str">
        <f>IFERROR(VLOOKUP(AD621,TD!$J$66:$K$89,2,0)," ")</f>
        <v>PM/0131/0112/45030040255</v>
      </c>
      <c r="AG621" s="135" t="s">
        <v>85</v>
      </c>
      <c r="AH621" s="176" t="s">
        <v>193</v>
      </c>
      <c r="AI621" s="183" t="str">
        <f>CONCATENATE(PAA[[#This Row],[Id Interno]],"-",PAA[[#This Row],[tipo de Contrato (TH talento humano - B/S bienes y/o servicios)]],"-",S621,"-",T621,"-",PAA[[#This Row],[Objeto de la contratación]])</f>
        <v>20260622-BS-8173-4-Suministrar combustible para el parque automotor y los equipos especializados de la U.A.E. Cuerpo Oficial de Bomberos Bogotá, dentro y fuera del perímetro del Distrito Capital – SBLG.</v>
      </c>
    </row>
    <row r="622" spans="2:35" ht="56" x14ac:dyDescent="0.35">
      <c r="B622" s="142">
        <v>20260623</v>
      </c>
      <c r="C622" s="121" t="s">
        <v>677</v>
      </c>
      <c r="D622" s="130" t="s">
        <v>105</v>
      </c>
      <c r="E622" s="130" t="s">
        <v>363</v>
      </c>
      <c r="F622" s="130" t="s">
        <v>145</v>
      </c>
      <c r="G622" s="131" t="s">
        <v>373</v>
      </c>
      <c r="H622" s="137">
        <v>6</v>
      </c>
      <c r="I622" s="137">
        <v>0</v>
      </c>
      <c r="J622" s="132">
        <v>16890834</v>
      </c>
      <c r="K622" s="133" t="s">
        <v>398</v>
      </c>
      <c r="L622" s="172" t="s">
        <v>155</v>
      </c>
      <c r="M622" s="173" t="s">
        <v>422</v>
      </c>
      <c r="N622" s="130" t="s">
        <v>197</v>
      </c>
      <c r="O622" s="173" t="s">
        <v>925</v>
      </c>
      <c r="P622" s="173" t="s">
        <v>348</v>
      </c>
      <c r="Q622" s="134" t="s">
        <v>753</v>
      </c>
      <c r="R622" s="173" t="s">
        <v>208</v>
      </c>
      <c r="S622" s="173" t="str">
        <f>MID(PAA[[#This Row],[Meta Proyecto de Inversión]],1,4)</f>
        <v>8126</v>
      </c>
      <c r="T622" s="173" t="str">
        <f>MID(PAA[[#This Row],[Meta Proyecto de Inversión]],6,1)</f>
        <v>9</v>
      </c>
      <c r="U622" s="174" t="str">
        <f>IFERROR(VLOOKUP(N622,TD!$B$50:$F$54,2,0)," ")</f>
        <v>O230117</v>
      </c>
      <c r="V622" s="174" t="str">
        <f>IFERROR(VLOOKUP(N622,TD!$B$50:$F$54,3,0)," ")</f>
        <v>4599</v>
      </c>
      <c r="W622" s="174">
        <f>IFERROR(VLOOKUP(N622,TD!$B$50:$F$54,4,0)," ")</f>
        <v>20240207</v>
      </c>
      <c r="X622" s="173" t="s">
        <v>174</v>
      </c>
      <c r="Y622" s="163" t="str">
        <f>IFERROR(VLOOKUP(X622,TD!$J$51:$K$64,2,0)," ")</f>
        <v>Infraestructura física, mantenimiento y dotación (Sedes construidas, mantenidas reforzadas)</v>
      </c>
      <c r="Z622" s="175" t="str">
        <f t="shared" si="36"/>
        <v>08-Infraestructura física, mantenimiento y dotación (Sedes construidas, mantenidas reforzadas)</v>
      </c>
      <c r="AA622" s="173" t="s">
        <v>227</v>
      </c>
      <c r="AB622" s="163" t="str">
        <f>IFERROR(VLOOKUP(AA622,TD!$N$51:$O$66,2,0)," ")</f>
        <v>Sedes mantenidas</v>
      </c>
      <c r="AC622" s="175" t="str">
        <f t="shared" si="37"/>
        <v>016_Sedes mantenidas</v>
      </c>
      <c r="AD622" s="175" t="str">
        <f t="shared" si="38"/>
        <v>08-Infraestructura física, mantenimiento y dotación (Sedes construidas, mantenidas reforzadas) 016_Sedes mantenidas</v>
      </c>
      <c r="AE622" s="174" t="str">
        <f t="shared" si="39"/>
        <v>O23011745992024020708016</v>
      </c>
      <c r="AF622" s="163" t="str">
        <f>IFERROR(VLOOKUP(AD622,TD!$J$66:$K$89,2,0)," ")</f>
        <v>PM/0131/0108/45990160207</v>
      </c>
      <c r="AG622" s="135" t="s">
        <v>385</v>
      </c>
      <c r="AH622" s="176" t="s">
        <v>193</v>
      </c>
      <c r="AI622" s="183" t="str">
        <f>CONCATENATE(PAA[[#This Row],[Id Interno]],"-",PAA[[#This Row],[tipo de Contrato (TH talento humano - B/S bienes y/o servicios)]],"-",S622,"-",T622,"-",PAA[[#This Row],[Objeto de la contratación]])</f>
        <v>20260623-TH-8126-9-Prestación de servicios de apoyo a la gestión documental de la Subdirección de Gestión Corporativa de la Unidad.-SGC</v>
      </c>
    </row>
    <row r="623" spans="2:35" ht="56" x14ac:dyDescent="0.35">
      <c r="B623" s="142">
        <v>20260624</v>
      </c>
      <c r="C623" s="121" t="s">
        <v>951</v>
      </c>
      <c r="D623" s="130" t="s">
        <v>105</v>
      </c>
      <c r="E623" s="130" t="s">
        <v>363</v>
      </c>
      <c r="F623" s="130" t="s">
        <v>145</v>
      </c>
      <c r="G623" s="131" t="s">
        <v>373</v>
      </c>
      <c r="H623" s="137">
        <v>6</v>
      </c>
      <c r="I623" s="137">
        <v>0</v>
      </c>
      <c r="J623" s="132">
        <v>22118946</v>
      </c>
      <c r="K623" s="133" t="s">
        <v>398</v>
      </c>
      <c r="L623" s="172" t="s">
        <v>155</v>
      </c>
      <c r="M623" s="173" t="s">
        <v>422</v>
      </c>
      <c r="N623" s="130" t="s">
        <v>197</v>
      </c>
      <c r="O623" s="173" t="s">
        <v>925</v>
      </c>
      <c r="P623" s="173" t="s">
        <v>348</v>
      </c>
      <c r="Q623" s="134" t="s">
        <v>753</v>
      </c>
      <c r="R623" s="173" t="s">
        <v>208</v>
      </c>
      <c r="S623" s="173" t="str">
        <f>MID(PAA[[#This Row],[Meta Proyecto de Inversión]],1,4)</f>
        <v>8126</v>
      </c>
      <c r="T623" s="173" t="str">
        <f>MID(PAA[[#This Row],[Meta Proyecto de Inversión]],6,1)</f>
        <v>9</v>
      </c>
      <c r="U623" s="174" t="str">
        <f>IFERROR(VLOOKUP(N623,TD!$B$50:$F$54,2,0)," ")</f>
        <v>O230117</v>
      </c>
      <c r="V623" s="174" t="str">
        <f>IFERROR(VLOOKUP(N623,TD!$B$50:$F$54,3,0)," ")</f>
        <v>4599</v>
      </c>
      <c r="W623" s="174">
        <f>IFERROR(VLOOKUP(N623,TD!$B$50:$F$54,4,0)," ")</f>
        <v>20240207</v>
      </c>
      <c r="X623" s="173" t="s">
        <v>174</v>
      </c>
      <c r="Y623" s="163" t="str">
        <f>IFERROR(VLOOKUP(X623,TD!$J$51:$K$64,2,0)," ")</f>
        <v>Infraestructura física, mantenimiento y dotación (Sedes construidas, mantenidas reforzadas)</v>
      </c>
      <c r="Z623" s="175" t="str">
        <f t="shared" si="36"/>
        <v>08-Infraestructura física, mantenimiento y dotación (Sedes construidas, mantenidas reforzadas)</v>
      </c>
      <c r="AA623" s="173" t="s">
        <v>227</v>
      </c>
      <c r="AB623" s="163" t="str">
        <f>IFERROR(VLOOKUP(AA623,TD!$N$51:$O$66,2,0)," ")</f>
        <v>Sedes mantenidas</v>
      </c>
      <c r="AC623" s="175" t="str">
        <f t="shared" si="37"/>
        <v>016_Sedes mantenidas</v>
      </c>
      <c r="AD623" s="175" t="str">
        <f t="shared" si="38"/>
        <v>08-Infraestructura física, mantenimiento y dotación (Sedes construidas, mantenidas reforzadas) 016_Sedes mantenidas</v>
      </c>
      <c r="AE623" s="174" t="str">
        <f t="shared" si="39"/>
        <v>O23011745992024020708016</v>
      </c>
      <c r="AF623" s="163" t="str">
        <f>IFERROR(VLOOKUP(AD623,TD!$J$66:$K$89,2,0)," ")</f>
        <v>PM/0131/0108/45990160207</v>
      </c>
      <c r="AG623" s="135" t="s">
        <v>385</v>
      </c>
      <c r="AH623" s="176" t="s">
        <v>193</v>
      </c>
      <c r="AI623" s="183" t="str">
        <f>CONCATENATE(PAA[[#This Row],[Id Interno]],"-",PAA[[#This Row],[tipo de Contrato (TH talento humano - B/S bienes y/o servicios)]],"-",S623,"-",T623,"-",PAA[[#This Row],[Objeto de la contratación]])</f>
        <v>20260624-TH-8126-9- Prestación de servicios de apoyo a la gestión en la Subdirección de Gestión Corporativa, en las actividades asociadas a los procesos y procedimientos del almacén de la Entidad.- SGC</v>
      </c>
    </row>
    <row r="624" spans="2:35" ht="84" x14ac:dyDescent="0.35">
      <c r="B624" s="142">
        <v>20260625</v>
      </c>
      <c r="C624" s="121" t="s">
        <v>952</v>
      </c>
      <c r="D624" s="130" t="s">
        <v>105</v>
      </c>
      <c r="E624" s="130" t="s">
        <v>363</v>
      </c>
      <c r="F624" s="130" t="s">
        <v>144</v>
      </c>
      <c r="G624" s="131" t="s">
        <v>373</v>
      </c>
      <c r="H624" s="137">
        <v>7</v>
      </c>
      <c r="I624" s="137">
        <v>0</v>
      </c>
      <c r="J624" s="132">
        <v>54600000</v>
      </c>
      <c r="K624" s="133" t="s">
        <v>398</v>
      </c>
      <c r="L624" s="172" t="s">
        <v>154</v>
      </c>
      <c r="M624" s="173" t="s">
        <v>448</v>
      </c>
      <c r="N624" s="130" t="s">
        <v>198</v>
      </c>
      <c r="O624" s="173" t="s">
        <v>926</v>
      </c>
      <c r="P624" s="173" t="s">
        <v>348</v>
      </c>
      <c r="Q624" s="134">
        <v>80111600</v>
      </c>
      <c r="R624" s="173" t="s">
        <v>218</v>
      </c>
      <c r="S624" s="173" t="str">
        <f>MID(PAA[[#This Row],[Meta Proyecto de Inversión]],1,4)</f>
        <v>8173</v>
      </c>
      <c r="T624" s="173" t="str">
        <f>MID(PAA[[#This Row],[Meta Proyecto de Inversión]],6,1)</f>
        <v>9</v>
      </c>
      <c r="U624" s="174" t="str">
        <f>IFERROR(VLOOKUP(N624,TD!$B$50:$F$54,2,0)," ")</f>
        <v>O230117</v>
      </c>
      <c r="V624" s="174" t="str">
        <f>IFERROR(VLOOKUP(N624,TD!$B$50:$F$54,3,0)," ")</f>
        <v>4503</v>
      </c>
      <c r="W624" s="174">
        <f>IFERROR(VLOOKUP(N624,TD!$B$50:$F$54,4,0)," ")</f>
        <v>20240255</v>
      </c>
      <c r="X624" s="173" t="s">
        <v>172</v>
      </c>
      <c r="Y624" s="163" t="str">
        <f>IFERROR(VLOOKUP(X624,TD!$J$51:$K$64,2,0)," ")</f>
        <v>Servicio de formación en gestión del riesgo de incendios para el personal UAECOB</v>
      </c>
      <c r="Z624" s="175" t="str">
        <f t="shared" si="36"/>
        <v>07-Servicio de formación en gestión del riesgo de incendios para el personal UAECOB</v>
      </c>
      <c r="AA624" s="173" t="s">
        <v>222</v>
      </c>
      <c r="AB624" s="163" t="str">
        <f>IFERROR(VLOOKUP(AA624,TD!$N$51:$O$66,2,0)," ")</f>
        <v>Servicio de educación informal</v>
      </c>
      <c r="AC624" s="175" t="str">
        <f t="shared" si="37"/>
        <v>002_Servicio de educación informal</v>
      </c>
      <c r="AD624" s="175" t="str">
        <f t="shared" si="38"/>
        <v>07-Servicio de formación en gestión del riesgo de incendios para el personal UAECOB 002_Servicio de educación informal</v>
      </c>
      <c r="AE624" s="174" t="str">
        <f t="shared" si="39"/>
        <v>O23011745032024025507002</v>
      </c>
      <c r="AF624" s="163" t="str">
        <f>IFERROR(VLOOKUP(AD624,TD!$J$66:$K$89,2,0)," ")</f>
        <v>PM/0131/0107/45030020255</v>
      </c>
      <c r="AG624" s="135" t="s">
        <v>385</v>
      </c>
      <c r="AH624" s="176" t="s">
        <v>193</v>
      </c>
      <c r="AI624" s="183" t="str">
        <f>CONCATENATE(PAA[[#This Row],[Id Interno]],"-",PAA[[#This Row],[tipo de Contrato (TH talento humano - B/S bienes y/o servicios)]],"-",S624,"-",T624,"-",PAA[[#This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25" spans="2:35" ht="112" x14ac:dyDescent="0.35">
      <c r="B625" s="142">
        <v>20260626</v>
      </c>
      <c r="C625" s="121" t="s">
        <v>953</v>
      </c>
      <c r="D625" s="130" t="s">
        <v>105</v>
      </c>
      <c r="E625" s="130" t="s">
        <v>363</v>
      </c>
      <c r="F625" s="130" t="s">
        <v>145</v>
      </c>
      <c r="G625" s="131" t="s">
        <v>373</v>
      </c>
      <c r="H625" s="137">
        <v>7</v>
      </c>
      <c r="I625" s="137">
        <v>0</v>
      </c>
      <c r="J625" s="132">
        <v>25830000</v>
      </c>
      <c r="K625" s="133" t="s">
        <v>398</v>
      </c>
      <c r="L625" s="172" t="s">
        <v>154</v>
      </c>
      <c r="M625" s="173" t="s">
        <v>448</v>
      </c>
      <c r="N625" s="130" t="s">
        <v>198</v>
      </c>
      <c r="O625" s="173" t="s">
        <v>926</v>
      </c>
      <c r="P625" s="173" t="s">
        <v>348</v>
      </c>
      <c r="Q625" s="134">
        <v>80111600</v>
      </c>
      <c r="R625" s="173" t="s">
        <v>218</v>
      </c>
      <c r="S625" s="173" t="str">
        <f>MID(PAA[[#This Row],[Meta Proyecto de Inversión]],1,4)</f>
        <v>8173</v>
      </c>
      <c r="T625" s="173" t="str">
        <f>MID(PAA[[#This Row],[Meta Proyecto de Inversión]],6,1)</f>
        <v>9</v>
      </c>
      <c r="U625" s="174" t="str">
        <f>IFERROR(VLOOKUP(N625,TD!$B$50:$F$54,2,0)," ")</f>
        <v>O230117</v>
      </c>
      <c r="V625" s="174" t="str">
        <f>IFERROR(VLOOKUP(N625,TD!$B$50:$F$54,3,0)," ")</f>
        <v>4503</v>
      </c>
      <c r="W625" s="174">
        <f>IFERROR(VLOOKUP(N625,TD!$B$50:$F$54,4,0)," ")</f>
        <v>20240255</v>
      </c>
      <c r="X625" s="173" t="s">
        <v>172</v>
      </c>
      <c r="Y625" s="163" t="str">
        <f>IFERROR(VLOOKUP(X625,TD!$J$51:$K$64,2,0)," ")</f>
        <v>Servicio de formación en gestión del riesgo de incendios para el personal UAECOB</v>
      </c>
      <c r="Z625" s="175" t="str">
        <f t="shared" si="36"/>
        <v>07-Servicio de formación en gestión del riesgo de incendios para el personal UAECOB</v>
      </c>
      <c r="AA625" s="173" t="s">
        <v>222</v>
      </c>
      <c r="AB625" s="163" t="str">
        <f>IFERROR(VLOOKUP(AA625,TD!$N$51:$O$66,2,0)," ")</f>
        <v>Servicio de educación informal</v>
      </c>
      <c r="AC625" s="175" t="str">
        <f t="shared" si="37"/>
        <v>002_Servicio de educación informal</v>
      </c>
      <c r="AD625" s="175" t="str">
        <f t="shared" si="38"/>
        <v>07-Servicio de formación en gestión del riesgo de incendios para el personal UAECOB 002_Servicio de educación informal</v>
      </c>
      <c r="AE625" s="174" t="str">
        <f t="shared" si="39"/>
        <v>O23011745032024025507002</v>
      </c>
      <c r="AF625" s="163" t="str">
        <f>IFERROR(VLOOKUP(AD625,TD!$J$66:$K$89,2,0)," ")</f>
        <v>PM/0131/0107/45030020255</v>
      </c>
      <c r="AG625" s="135" t="s">
        <v>385</v>
      </c>
      <c r="AH625" s="176" t="s">
        <v>193</v>
      </c>
      <c r="AI625" s="183" t="str">
        <f>CONCATENATE(PAA[[#This Row],[Id Interno]],"-",PAA[[#This Row],[tipo de Contrato (TH talento humano - B/S bienes y/o servicios)]],"-",S625,"-",T625,"-",PAA[[#This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26" spans="2:35" ht="56" x14ac:dyDescent="0.35">
      <c r="B626" s="142">
        <v>20260627</v>
      </c>
      <c r="C626" s="121" t="s">
        <v>956</v>
      </c>
      <c r="D626" s="130" t="s">
        <v>105</v>
      </c>
      <c r="E626" s="130" t="s">
        <v>363</v>
      </c>
      <c r="F626" s="130" t="s">
        <v>145</v>
      </c>
      <c r="G626" s="131" t="s">
        <v>373</v>
      </c>
      <c r="H626" s="137">
        <v>7</v>
      </c>
      <c r="I626" s="137">
        <v>0</v>
      </c>
      <c r="J626" s="132">
        <v>25802000</v>
      </c>
      <c r="K626" s="133" t="s">
        <v>398</v>
      </c>
      <c r="L626" s="172" t="s">
        <v>158</v>
      </c>
      <c r="M626" s="173" t="s">
        <v>421</v>
      </c>
      <c r="N626" s="130" t="s">
        <v>198</v>
      </c>
      <c r="O626" s="173" t="s">
        <v>926</v>
      </c>
      <c r="P626" s="173" t="s">
        <v>348</v>
      </c>
      <c r="Q626" s="134">
        <v>80111600</v>
      </c>
      <c r="R626" s="173" t="s">
        <v>211</v>
      </c>
      <c r="S626" s="173" t="str">
        <f>MID(PAA[[#This Row],[Meta Proyecto de Inversión]],1,4)</f>
        <v>8173</v>
      </c>
      <c r="T626" s="173" t="str">
        <f>MID(PAA[[#This Row],[Meta Proyecto de Inversión]],6,1)</f>
        <v>2</v>
      </c>
      <c r="U626" s="174" t="str">
        <f>IFERROR(VLOOKUP(N626,TD!$B$50:$F$54,2,0)," ")</f>
        <v>O230117</v>
      </c>
      <c r="V626" s="174" t="str">
        <f>IFERROR(VLOOKUP(N626,TD!$B$50:$F$54,3,0)," ")</f>
        <v>4503</v>
      </c>
      <c r="W626" s="174">
        <f>IFERROR(VLOOKUP(N626,TD!$B$50:$F$54,4,0)," ")</f>
        <v>20240255</v>
      </c>
      <c r="X626" s="173" t="s">
        <v>164</v>
      </c>
      <c r="Y626" s="163" t="str">
        <f>IFERROR(VLOOKUP(X626,TD!$J$51:$K$64,2,0)," ")</f>
        <v>Servicio de atención a incidentes y emergencias.</v>
      </c>
      <c r="Z626" s="175" t="str">
        <f t="shared" si="36"/>
        <v>04-Servicio de atención a incidentes y emergencias.</v>
      </c>
      <c r="AA626" s="173" t="s">
        <v>221</v>
      </c>
      <c r="AB626" s="163" t="str">
        <f>IFERROR(VLOOKUP(AA626,TD!$N$51:$O$66,2,0)," ")</f>
        <v>Servicio de atención a emergencias y desastres</v>
      </c>
      <c r="AC626" s="175" t="str">
        <f t="shared" si="37"/>
        <v>004_Servicio de atención a emergencias y desastres</v>
      </c>
      <c r="AD626" s="175" t="str">
        <f t="shared" si="38"/>
        <v>04-Servicio de atención a incidentes y emergencias. 004_Servicio de atención a emergencias y desastres</v>
      </c>
      <c r="AE626" s="174" t="str">
        <f t="shared" si="39"/>
        <v>O23011745032024025504004</v>
      </c>
      <c r="AF626" s="163" t="str">
        <f>IFERROR(VLOOKUP(AD626,TD!$J$66:$K$89,2,0)," ")</f>
        <v>PM/0131/0104/45030040255</v>
      </c>
      <c r="AG626" s="135" t="s">
        <v>385</v>
      </c>
      <c r="AH626" s="176" t="s">
        <v>193</v>
      </c>
      <c r="AI626" s="183" t="str">
        <f>CONCATENATE(PAA[[#This Row],[Id Interno]],"-",PAA[[#This Row],[tipo de Contrato (TH talento humano - B/S bienes y/o servicios)]],"-",S626,"-",T626,"-",PAA[[#This Row],[Objeto de la contratación]])</f>
        <v>20260627-TH-8173-2-Prestación de servicios de apoyo para el desarrollo de las actividades y trámites administrativos y operativos relacionados con los procesos que se encuentran a cargo de la Subdirección Operativa-SO.</v>
      </c>
    </row>
    <row r="627" spans="2:35" ht="70" x14ac:dyDescent="0.35">
      <c r="B627" s="142">
        <v>20260628</v>
      </c>
      <c r="C627" s="121" t="s">
        <v>957</v>
      </c>
      <c r="D627" s="130" t="s">
        <v>105</v>
      </c>
      <c r="E627" s="130" t="s">
        <v>363</v>
      </c>
      <c r="F627" s="130" t="s">
        <v>145</v>
      </c>
      <c r="G627" s="131" t="s">
        <v>374</v>
      </c>
      <c r="H627" s="137">
        <v>4</v>
      </c>
      <c r="I627" s="137">
        <v>0</v>
      </c>
      <c r="J627" s="132">
        <v>13136000</v>
      </c>
      <c r="K627" s="133" t="s">
        <v>398</v>
      </c>
      <c r="L627" s="172" t="s">
        <v>158</v>
      </c>
      <c r="M627" s="173" t="s">
        <v>421</v>
      </c>
      <c r="N627" s="130" t="s">
        <v>198</v>
      </c>
      <c r="O627" s="173" t="s">
        <v>926</v>
      </c>
      <c r="P627" s="173" t="s">
        <v>348</v>
      </c>
      <c r="Q627" s="134">
        <v>80111600</v>
      </c>
      <c r="R627" s="173" t="s">
        <v>211</v>
      </c>
      <c r="S627" s="173" t="str">
        <f>MID(PAA[[#This Row],[Meta Proyecto de Inversión]],1,4)</f>
        <v>8173</v>
      </c>
      <c r="T627" s="173" t="str">
        <f>MID(PAA[[#This Row],[Meta Proyecto de Inversión]],6,1)</f>
        <v>2</v>
      </c>
      <c r="U627" s="174" t="str">
        <f>IFERROR(VLOOKUP(N627,TD!$B$50:$F$54,2,0)," ")</f>
        <v>O230117</v>
      </c>
      <c r="V627" s="174" t="str">
        <f>IFERROR(VLOOKUP(N627,TD!$B$50:$F$54,3,0)," ")</f>
        <v>4503</v>
      </c>
      <c r="W627" s="174">
        <f>IFERROR(VLOOKUP(N627,TD!$B$50:$F$54,4,0)," ")</f>
        <v>20240255</v>
      </c>
      <c r="X627" s="173" t="s">
        <v>164</v>
      </c>
      <c r="Y627" s="163" t="str">
        <f>IFERROR(VLOOKUP(X627,TD!$J$51:$K$64,2,0)," ")</f>
        <v>Servicio de atención a incidentes y emergencias.</v>
      </c>
      <c r="Z627" s="175" t="str">
        <f t="shared" si="36"/>
        <v>04-Servicio de atención a incidentes y emergencias.</v>
      </c>
      <c r="AA627" s="173" t="s">
        <v>221</v>
      </c>
      <c r="AB627" s="163" t="str">
        <f>IFERROR(VLOOKUP(AA627,TD!$N$51:$O$66,2,0)," ")</f>
        <v>Servicio de atención a emergencias y desastres</v>
      </c>
      <c r="AC627" s="175" t="str">
        <f t="shared" si="37"/>
        <v>004_Servicio de atención a emergencias y desastres</v>
      </c>
      <c r="AD627" s="175" t="str">
        <f t="shared" si="38"/>
        <v>04-Servicio de atención a incidentes y emergencias. 004_Servicio de atención a emergencias y desastres</v>
      </c>
      <c r="AE627" s="174" t="str">
        <f t="shared" si="39"/>
        <v>O23011745032024025504004</v>
      </c>
      <c r="AF627" s="163" t="str">
        <f>IFERROR(VLOOKUP(AD627,TD!$J$66:$K$89,2,0)," ")</f>
        <v>PM/0131/0104/45030040255</v>
      </c>
      <c r="AG627" s="135" t="s">
        <v>385</v>
      </c>
      <c r="AH627" s="176" t="s">
        <v>194</v>
      </c>
      <c r="AI627" s="183" t="str">
        <f>CONCATENATE(PAA[[#This Row],[Id Interno]],"-",PAA[[#This Row],[tipo de Contrato (TH talento humano - B/S bienes y/o servicios)]],"-",S627,"-",T627,"-",PAA[[#This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28" spans="2:35" ht="70" x14ac:dyDescent="0.35">
      <c r="B628" s="142">
        <v>20260629</v>
      </c>
      <c r="C628" s="121" t="s">
        <v>958</v>
      </c>
      <c r="D628" s="130" t="s">
        <v>105</v>
      </c>
      <c r="E628" s="130" t="s">
        <v>363</v>
      </c>
      <c r="F628" s="130" t="s">
        <v>144</v>
      </c>
      <c r="G628" s="131" t="s">
        <v>373</v>
      </c>
      <c r="H628" s="137">
        <v>7</v>
      </c>
      <c r="I628" s="137">
        <v>0</v>
      </c>
      <c r="J628" s="132">
        <v>49000000</v>
      </c>
      <c r="K628" s="133" t="s">
        <v>398</v>
      </c>
      <c r="L628" s="172" t="s">
        <v>158</v>
      </c>
      <c r="M628" s="173" t="s">
        <v>421</v>
      </c>
      <c r="N628" s="130" t="s">
        <v>198</v>
      </c>
      <c r="O628" s="173" t="s">
        <v>926</v>
      </c>
      <c r="P628" s="173" t="s">
        <v>348</v>
      </c>
      <c r="Q628" s="134">
        <v>80111600</v>
      </c>
      <c r="R628" s="173" t="s">
        <v>211</v>
      </c>
      <c r="S628" s="173" t="str">
        <f>MID(PAA[[#This Row],[Meta Proyecto de Inversión]],1,4)</f>
        <v>8173</v>
      </c>
      <c r="T628" s="173" t="str">
        <f>MID(PAA[[#This Row],[Meta Proyecto de Inversión]],6,1)</f>
        <v>2</v>
      </c>
      <c r="U628" s="174" t="str">
        <f>IFERROR(VLOOKUP(N628,TD!$B$50:$F$54,2,0)," ")</f>
        <v>O230117</v>
      </c>
      <c r="V628" s="174" t="str">
        <f>IFERROR(VLOOKUP(N628,TD!$B$50:$F$54,3,0)," ")</f>
        <v>4503</v>
      </c>
      <c r="W628" s="174">
        <f>IFERROR(VLOOKUP(N628,TD!$B$50:$F$54,4,0)," ")</f>
        <v>20240255</v>
      </c>
      <c r="X628" s="173" t="s">
        <v>164</v>
      </c>
      <c r="Y628" s="163" t="str">
        <f>IFERROR(VLOOKUP(X628,TD!$J$51:$K$64,2,0)," ")</f>
        <v>Servicio de atención a incidentes y emergencias.</v>
      </c>
      <c r="Z628" s="175" t="str">
        <f t="shared" si="36"/>
        <v>04-Servicio de atención a incidentes y emergencias.</v>
      </c>
      <c r="AA628" s="173" t="s">
        <v>221</v>
      </c>
      <c r="AB628" s="163" t="str">
        <f>IFERROR(VLOOKUP(AA628,TD!$N$51:$O$66,2,0)," ")</f>
        <v>Servicio de atención a emergencias y desastres</v>
      </c>
      <c r="AC628" s="175" t="str">
        <f t="shared" si="37"/>
        <v>004_Servicio de atención a emergencias y desastres</v>
      </c>
      <c r="AD628" s="175" t="str">
        <f t="shared" si="38"/>
        <v>04-Servicio de atención a incidentes y emergencias. 004_Servicio de atención a emergencias y desastres</v>
      </c>
      <c r="AE628" s="174" t="str">
        <f t="shared" si="39"/>
        <v>O23011745032024025504004</v>
      </c>
      <c r="AF628" s="163" t="str">
        <f>IFERROR(VLOOKUP(AD628,TD!$J$66:$K$89,2,0)," ")</f>
        <v>PM/0131/0104/45030040255</v>
      </c>
      <c r="AG628" s="135" t="s">
        <v>385</v>
      </c>
      <c r="AH628" s="176" t="s">
        <v>193</v>
      </c>
      <c r="AI628" s="183" t="str">
        <f>CONCATENATE(PAA[[#This Row],[Id Interno]],"-",PAA[[#This Row],[tipo de Contrato (TH talento humano - B/S bienes y/o servicios)]],"-",S628,"-",T628,"-",PAA[[#This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29" spans="2:35" ht="56" x14ac:dyDescent="0.35">
      <c r="B629" s="142">
        <v>20260630</v>
      </c>
      <c r="C629" s="121" t="s">
        <v>923</v>
      </c>
      <c r="D629" s="130" t="s">
        <v>105</v>
      </c>
      <c r="E629" s="130" t="s">
        <v>363</v>
      </c>
      <c r="F629" s="130" t="s">
        <v>145</v>
      </c>
      <c r="G629" s="131" t="s">
        <v>373</v>
      </c>
      <c r="H629" s="137">
        <v>7</v>
      </c>
      <c r="I629" s="137">
        <v>0</v>
      </c>
      <c r="J629" s="132">
        <v>26250000</v>
      </c>
      <c r="K629" s="133" t="s">
        <v>398</v>
      </c>
      <c r="L629" s="172" t="s">
        <v>156</v>
      </c>
      <c r="M629" s="173" t="s">
        <v>496</v>
      </c>
      <c r="N629" s="130" t="s">
        <v>198</v>
      </c>
      <c r="O629" s="173" t="s">
        <v>926</v>
      </c>
      <c r="P629" s="173" t="s">
        <v>348</v>
      </c>
      <c r="Q629" s="134">
        <v>80111600</v>
      </c>
      <c r="R629" s="173" t="s">
        <v>210</v>
      </c>
      <c r="S629" s="173" t="str">
        <f>MID(PAA[[#This Row],[Meta Proyecto de Inversión]],1,4)</f>
        <v>8173</v>
      </c>
      <c r="T629" s="173" t="str">
        <f>MID(PAA[[#This Row],[Meta Proyecto de Inversión]],6,1)</f>
        <v>1</v>
      </c>
      <c r="U629" s="174" t="str">
        <f>IFERROR(VLOOKUP(N629,TD!$B$50:$F$54,2,0)," ")</f>
        <v>O230117</v>
      </c>
      <c r="V629" s="174" t="str">
        <f>IFERROR(VLOOKUP(N629,TD!$B$50:$F$54,3,0)," ")</f>
        <v>4503</v>
      </c>
      <c r="W629" s="174">
        <f>IFERROR(VLOOKUP(N629,TD!$B$50:$F$54,4,0)," ")</f>
        <v>20240255</v>
      </c>
      <c r="X629" s="173" t="s">
        <v>166</v>
      </c>
      <c r="Y629" s="163" t="str">
        <f>IFERROR(VLOOKUP(X629,TD!$J$51:$K$64,2,0)," ")</f>
        <v>Servicio de capacitaciones en gestión del riesgo de incendios  a la ciudadania.</v>
      </c>
      <c r="Z629" s="175" t="str">
        <f t="shared" si="36"/>
        <v>05-Servicio de capacitaciones en gestión del riesgo de incendios  a la ciudadania.</v>
      </c>
      <c r="AA629" s="173" t="s">
        <v>223</v>
      </c>
      <c r="AB629" s="163" t="str">
        <f>IFERROR(VLOOKUP(AA629,TD!$N$51:$O$66,2,0)," ")</f>
        <v>Servicio prevención y control de incendios</v>
      </c>
      <c r="AC629" s="175" t="str">
        <f t="shared" si="37"/>
        <v>035_Servicio prevención y control de incendios</v>
      </c>
      <c r="AD629" s="175" t="str">
        <f t="shared" si="38"/>
        <v>05-Servicio de capacitaciones en gestión del riesgo de incendios  a la ciudadania. 035_Servicio prevención y control de incendios</v>
      </c>
      <c r="AE629" s="174" t="str">
        <f t="shared" si="39"/>
        <v>O23011745032024025505035</v>
      </c>
      <c r="AF629" s="163" t="str">
        <f>IFERROR(VLOOKUP(AD629,TD!$J$66:$K$89,2,0)," ")</f>
        <v>PM/0131/0105/45030350255</v>
      </c>
      <c r="AG629" s="135" t="s">
        <v>385</v>
      </c>
      <c r="AH629" s="176" t="s">
        <v>193</v>
      </c>
      <c r="AI629" s="183" t="str">
        <f>CONCATENATE(PAA[[#This Row],[Id Interno]],"-",PAA[[#This Row],[tipo de Contrato (TH talento humano - B/S bienes y/o servicios)]],"-",S629,"-",T629,"-",PAA[[#This Row],[Objeto de la contratación]])</f>
        <v>20260630-TH-8173-1-Prestar servicios de apoyo como conductor a las acciones misionales de la Subdirección de Gestión del Riesgo.</v>
      </c>
    </row>
    <row r="630" spans="2:35" ht="56" x14ac:dyDescent="0.35">
      <c r="B630" s="142">
        <v>20260631</v>
      </c>
      <c r="C630" s="121" t="s">
        <v>538</v>
      </c>
      <c r="D630" s="130" t="s">
        <v>105</v>
      </c>
      <c r="E630" s="130" t="s">
        <v>363</v>
      </c>
      <c r="F630" s="130" t="s">
        <v>144</v>
      </c>
      <c r="G630" s="131" t="s">
        <v>373</v>
      </c>
      <c r="H630" s="137">
        <v>6</v>
      </c>
      <c r="I630" s="137">
        <v>0</v>
      </c>
      <c r="J630" s="132">
        <v>21750000</v>
      </c>
      <c r="K630" s="133" t="s">
        <v>398</v>
      </c>
      <c r="L630" s="172" t="s">
        <v>156</v>
      </c>
      <c r="M630" s="173" t="s">
        <v>496</v>
      </c>
      <c r="N630" s="130" t="s">
        <v>198</v>
      </c>
      <c r="O630" s="173" t="s">
        <v>926</v>
      </c>
      <c r="P630" s="173" t="s">
        <v>348</v>
      </c>
      <c r="Q630" s="134">
        <v>80111600</v>
      </c>
      <c r="R630" s="173" t="s">
        <v>210</v>
      </c>
      <c r="S630" s="173" t="str">
        <f>MID(PAA[[#This Row],[Meta Proyecto de Inversión]],1,4)</f>
        <v>8173</v>
      </c>
      <c r="T630" s="173" t="str">
        <f>MID(PAA[[#This Row],[Meta Proyecto de Inversión]],6,1)</f>
        <v>1</v>
      </c>
      <c r="U630" s="174" t="str">
        <f>IFERROR(VLOOKUP(N630,TD!$B$50:$F$54,2,0)," ")</f>
        <v>O230117</v>
      </c>
      <c r="V630" s="174" t="str">
        <f>IFERROR(VLOOKUP(N630,TD!$B$50:$F$54,3,0)," ")</f>
        <v>4503</v>
      </c>
      <c r="W630" s="174">
        <f>IFERROR(VLOOKUP(N630,TD!$B$50:$F$54,4,0)," ")</f>
        <v>20240255</v>
      </c>
      <c r="X630" s="173" t="s">
        <v>166</v>
      </c>
      <c r="Y630" s="163" t="str">
        <f>IFERROR(VLOOKUP(X630,TD!$J$51:$K$64,2,0)," ")</f>
        <v>Servicio de capacitaciones en gestión del riesgo de incendios  a la ciudadania.</v>
      </c>
      <c r="Z630" s="175" t="str">
        <f t="shared" si="36"/>
        <v>05-Servicio de capacitaciones en gestión del riesgo de incendios  a la ciudadania.</v>
      </c>
      <c r="AA630" s="173" t="s">
        <v>223</v>
      </c>
      <c r="AB630" s="163" t="str">
        <f>IFERROR(VLOOKUP(AA630,TD!$N$51:$O$66,2,0)," ")</f>
        <v>Servicio prevención y control de incendios</v>
      </c>
      <c r="AC630" s="175" t="str">
        <f t="shared" si="37"/>
        <v>035_Servicio prevención y control de incendios</v>
      </c>
      <c r="AD630" s="175" t="str">
        <f t="shared" si="38"/>
        <v>05-Servicio de capacitaciones en gestión del riesgo de incendios  a la ciudadania. 035_Servicio prevención y control de incendios</v>
      </c>
      <c r="AE630" s="174" t="str">
        <f t="shared" si="39"/>
        <v>O23011745032024025505035</v>
      </c>
      <c r="AF630" s="163" t="str">
        <f>IFERROR(VLOOKUP(AD630,TD!$J$66:$K$89,2,0)," ")</f>
        <v>PM/0131/0105/45030350255</v>
      </c>
      <c r="AG630" s="135" t="s">
        <v>385</v>
      </c>
      <c r="AH630" s="176" t="s">
        <v>193</v>
      </c>
      <c r="AI630" s="183" t="str">
        <f>CONCATENATE(PAA[[#This Row],[Id Interno]],"-",PAA[[#This Row],[tipo de Contrato (TH talento humano - B/S bienes y/o servicios)]],"-",S630,"-",T630,"-",PAA[[#This Row],[Objeto de la contratación]])</f>
        <v>20260631-TH-8173-1-Prestar servicios de apoyo en las actividades de Programas y Campañas de Prevención para la Subdirección de Gestión del Riesgo. _SGR</v>
      </c>
    </row>
    <row r="631" spans="2:35" ht="56" x14ac:dyDescent="0.35">
      <c r="B631" s="142">
        <v>20260632</v>
      </c>
      <c r="C631" s="121" t="s">
        <v>960</v>
      </c>
      <c r="D631" s="130" t="s">
        <v>92</v>
      </c>
      <c r="E631" s="130" t="s">
        <v>402</v>
      </c>
      <c r="F631" s="130" t="s">
        <v>142</v>
      </c>
      <c r="G631" s="131" t="s">
        <v>374</v>
      </c>
      <c r="H631" s="137">
        <v>2</v>
      </c>
      <c r="I631" s="137">
        <v>0</v>
      </c>
      <c r="J631" s="132">
        <v>6664000</v>
      </c>
      <c r="K631" s="133" t="s">
        <v>398</v>
      </c>
      <c r="L631" s="172" t="s">
        <v>151</v>
      </c>
      <c r="M631" s="173" t="s">
        <v>401</v>
      </c>
      <c r="N631" s="130" t="s">
        <v>197</v>
      </c>
      <c r="O631" s="173" t="s">
        <v>925</v>
      </c>
      <c r="P631" s="173" t="s">
        <v>348</v>
      </c>
      <c r="Q631" s="134">
        <v>81112401</v>
      </c>
      <c r="R631" s="173" t="s">
        <v>204</v>
      </c>
      <c r="S631" s="173" t="str">
        <f>MID(PAA[[#This Row],[Meta Proyecto de Inversión]],1,4)</f>
        <v>8126</v>
      </c>
      <c r="T631" s="173" t="str">
        <f>MID(PAA[[#This Row],[Meta Proyecto de Inversión]],6,1)</f>
        <v>5</v>
      </c>
      <c r="U631" s="174" t="str">
        <f>IFERROR(VLOOKUP(N631,TD!$B$50:$F$54,2,0)," ")</f>
        <v>O230117</v>
      </c>
      <c r="V631" s="174" t="str">
        <f>IFERROR(VLOOKUP(N631,TD!$B$50:$F$54,3,0)," ")</f>
        <v>4599</v>
      </c>
      <c r="W631" s="174">
        <f>IFERROR(VLOOKUP(N631,TD!$B$50:$F$54,4,0)," ")</f>
        <v>20240207</v>
      </c>
      <c r="X631" s="173" t="s">
        <v>168</v>
      </c>
      <c r="Y631" s="163" t="str">
        <f>IFERROR(VLOOKUP(X631,TD!$J$51:$K$64,2,0)," ")</f>
        <v>Infraestructura Tecnológica   (Sistemas de Información y Tecnologia)</v>
      </c>
      <c r="Z631" s="175" t="str">
        <f t="shared" si="36"/>
        <v>11-Infraestructura Tecnológica   (Sistemas de Información y Tecnologia)</v>
      </c>
      <c r="AA631" s="173" t="s">
        <v>228</v>
      </c>
      <c r="AB631" s="163" t="str">
        <f>IFERROR(VLOOKUP(AA631,TD!$N$51:$O$66,2,0)," ")</f>
        <v>Servicios tecnológicos</v>
      </c>
      <c r="AC631" s="175" t="str">
        <f t="shared" si="37"/>
        <v>007_Servicios tecnológicos</v>
      </c>
      <c r="AD631" s="175" t="str">
        <f t="shared" si="38"/>
        <v>11-Infraestructura Tecnológica   (Sistemas de Información y Tecnologia) 007_Servicios tecnológicos</v>
      </c>
      <c r="AE631" s="174" t="str">
        <f t="shared" si="39"/>
        <v>O23011745992024020711007</v>
      </c>
      <c r="AF631" s="163" t="str">
        <f>IFERROR(VLOOKUP(AD631,TD!$J$66:$K$89,2,0)," ")</f>
        <v>PM/0131/0111/45990070207</v>
      </c>
      <c r="AG631" s="135" t="s">
        <v>121</v>
      </c>
      <c r="AH631" s="176" t="s">
        <v>194</v>
      </c>
      <c r="AI631" s="183" t="str">
        <f>CONCATENATE(PAA[[#This Row],[Id Interno]],"-",PAA[[#This Row],[tipo de Contrato (TH talento humano - B/S bienes y/o servicios)]],"-",S631,"-",T631,"-",PAA[[#This Row],[Objeto de la contratación]])</f>
        <v>20260632-BS-8126-5-Adición y prórroga al contrato No. 490 de 2025 cuyo objeto es: "contratar el alquiler de equipos tecnológicos, periféricos y servicios complementarios para la U.A.E Cuerpo Oficial de bomberos de Bogota- TIC"</v>
      </c>
    </row>
    <row r="632" spans="2:35" ht="56" x14ac:dyDescent="0.35">
      <c r="B632" s="142">
        <v>20260633</v>
      </c>
      <c r="C632" s="121" t="s">
        <v>959</v>
      </c>
      <c r="D632" s="130" t="s">
        <v>114</v>
      </c>
      <c r="E632" s="130" t="s">
        <v>402</v>
      </c>
      <c r="F632" s="130" t="s">
        <v>89</v>
      </c>
      <c r="G632" s="131" t="s">
        <v>374</v>
      </c>
      <c r="H632" s="137">
        <v>2</v>
      </c>
      <c r="I632" s="137">
        <v>0</v>
      </c>
      <c r="J632" s="132">
        <v>20246686</v>
      </c>
      <c r="K632" s="133" t="s">
        <v>398</v>
      </c>
      <c r="L632" s="172" t="s">
        <v>151</v>
      </c>
      <c r="M632" s="173" t="s">
        <v>401</v>
      </c>
      <c r="N632" s="130" t="s">
        <v>197</v>
      </c>
      <c r="O632" s="173" t="s">
        <v>925</v>
      </c>
      <c r="P632" s="173" t="s">
        <v>348</v>
      </c>
      <c r="Q632" s="134" t="s">
        <v>439</v>
      </c>
      <c r="R632" s="173" t="s">
        <v>203</v>
      </c>
      <c r="S632" s="173" t="str">
        <f>MID(PAA[[#This Row],[Meta Proyecto de Inversión]],1,4)</f>
        <v>8126</v>
      </c>
      <c r="T632" s="173" t="str">
        <f>MID(PAA[[#This Row],[Meta Proyecto de Inversión]],6,1)</f>
        <v>4</v>
      </c>
      <c r="U632" s="174" t="str">
        <f>IFERROR(VLOOKUP(N632,TD!$B$50:$F$54,2,0)," ")</f>
        <v>O230117</v>
      </c>
      <c r="V632" s="174" t="str">
        <f>IFERROR(VLOOKUP(N632,TD!$B$50:$F$54,3,0)," ")</f>
        <v>4599</v>
      </c>
      <c r="W632" s="174">
        <f>IFERROR(VLOOKUP(N632,TD!$B$50:$F$54,4,0)," ")</f>
        <v>20240207</v>
      </c>
      <c r="X632" s="173" t="s">
        <v>168</v>
      </c>
      <c r="Y632" s="163" t="str">
        <f>IFERROR(VLOOKUP(X632,TD!$J$51:$K$64,2,0)," ")</f>
        <v>Infraestructura Tecnológica   (Sistemas de Información y Tecnologia)</v>
      </c>
      <c r="Z632" s="175" t="str">
        <f t="shared" si="36"/>
        <v>11-Infraestructura Tecnológica   (Sistemas de Información y Tecnologia)</v>
      </c>
      <c r="AA632" s="173" t="s">
        <v>228</v>
      </c>
      <c r="AB632" s="163" t="str">
        <f>IFERROR(VLOOKUP(AA632,TD!$N$51:$O$66,2,0)," ")</f>
        <v>Servicios tecnológicos</v>
      </c>
      <c r="AC632" s="175" t="str">
        <f t="shared" si="37"/>
        <v>007_Servicios tecnológicos</v>
      </c>
      <c r="AD632" s="175" t="str">
        <f t="shared" si="38"/>
        <v>11-Infraestructura Tecnológica   (Sistemas de Información y Tecnologia) 007_Servicios tecnológicos</v>
      </c>
      <c r="AE632" s="174" t="str">
        <f t="shared" si="39"/>
        <v>O23011745992024020711007</v>
      </c>
      <c r="AF632" s="163" t="str">
        <f>IFERROR(VLOOKUP(AD632,TD!$J$66:$K$89,2,0)," ")</f>
        <v>PM/0131/0111/45990070207</v>
      </c>
      <c r="AG632" s="135" t="s">
        <v>116</v>
      </c>
      <c r="AH632" s="176" t="s">
        <v>194</v>
      </c>
      <c r="AI632" s="183" t="str">
        <f>CONCATENATE(PAA[[#This Row],[Id Interno]],"-",PAA[[#This Row],[tipo de Contrato (TH talento humano - B/S bienes y/o servicios)]],"-",S632,"-",T632,"-",PAA[[#This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33" spans="2:35" ht="84" x14ac:dyDescent="0.35">
      <c r="B633" s="142">
        <v>20260634</v>
      </c>
      <c r="C633" s="121" t="s">
        <v>963</v>
      </c>
      <c r="D633" s="130" t="s">
        <v>105</v>
      </c>
      <c r="E633" s="130" t="s">
        <v>363</v>
      </c>
      <c r="F633" s="130" t="s">
        <v>145</v>
      </c>
      <c r="G633" s="131" t="s">
        <v>373</v>
      </c>
      <c r="H633" s="137">
        <v>5</v>
      </c>
      <c r="I633" s="137">
        <v>0</v>
      </c>
      <c r="J633" s="132">
        <v>16400000</v>
      </c>
      <c r="K633" s="133" t="s">
        <v>398</v>
      </c>
      <c r="L633" s="172" t="s">
        <v>157</v>
      </c>
      <c r="M633" s="173" t="s">
        <v>495</v>
      </c>
      <c r="N633" s="130" t="s">
        <v>198</v>
      </c>
      <c r="O633" s="173" t="s">
        <v>926</v>
      </c>
      <c r="P633" s="173" t="s">
        <v>348</v>
      </c>
      <c r="Q633" s="134">
        <v>80111600</v>
      </c>
      <c r="R633" s="173" t="s">
        <v>213</v>
      </c>
      <c r="S633" s="173" t="str">
        <f>MID(PAA[[#This Row],[Meta Proyecto de Inversión]],1,4)</f>
        <v>8173</v>
      </c>
      <c r="T633" s="173" t="str">
        <f>MID(PAA[[#This Row],[Meta Proyecto de Inversión]],6,1)</f>
        <v>4</v>
      </c>
      <c r="U633" s="174" t="str">
        <f>IFERROR(VLOOKUP(N633,TD!$B$50:$F$54,2,0)," ")</f>
        <v>O230117</v>
      </c>
      <c r="V633" s="174" t="str">
        <f>IFERROR(VLOOKUP(N633,TD!$B$50:$F$54,3,0)," ")</f>
        <v>4503</v>
      </c>
      <c r="W633" s="174">
        <f>IFERROR(VLOOKUP(N633,TD!$B$50:$F$54,4,0)," ")</f>
        <v>20240255</v>
      </c>
      <c r="X633" s="173" t="s">
        <v>176</v>
      </c>
      <c r="Y633" s="163" t="str">
        <f>IFERROR(VLOOKUP(X633,TD!$J$51:$K$64,2,0)," ")</f>
        <v>Servicio de mantenimiento, dotación (HEA´s y equipo menor) y adquisición de vehiculos   especializados para la atención de emergencias.</v>
      </c>
      <c r="Z633" s="175" t="str">
        <f t="shared" si="36"/>
        <v>09-Servicio de mantenimiento, dotación (HEA´s y equipo menor) y adquisición de vehiculos   especializados para la atención de emergencias.</v>
      </c>
      <c r="AA633" s="173" t="s">
        <v>221</v>
      </c>
      <c r="AB633" s="163" t="str">
        <f>IFERROR(VLOOKUP(AA633,TD!$N$51:$O$66,2,0)," ")</f>
        <v>Servicio de atención a emergencias y desastres</v>
      </c>
      <c r="AC633" s="175" t="str">
        <f t="shared" si="37"/>
        <v>004_Servicio de atención a emergencias y desastres</v>
      </c>
      <c r="AD633" s="175" t="str">
        <f t="shared" si="38"/>
        <v>09-Servicio de mantenimiento, dotación (HEA´s y equipo menor) y adquisición de vehiculos   especializados para la atención de emergencias. 004_Servicio de atención a emergencias y desastres</v>
      </c>
      <c r="AE633" s="174" t="str">
        <f t="shared" si="39"/>
        <v>O23011745032024025509004</v>
      </c>
      <c r="AF633" s="163" t="str">
        <f>IFERROR(VLOOKUP(AD633,TD!$J$66:$K$89,2,0)," ")</f>
        <v>PM/0131/0109/45030040255</v>
      </c>
      <c r="AG633" s="135" t="s">
        <v>385</v>
      </c>
      <c r="AH633" s="176" t="s">
        <v>193</v>
      </c>
      <c r="AI633" s="183" t="str">
        <f>CONCATENATE(PAA[[#This Row],[Id Interno]],"-",PAA[[#This Row],[tipo de Contrato (TH talento humano - B/S bienes y/o servicios)]],"-",S633,"-",T633,"-",PAA[[#This Row],[Objeto de la contratación]])</f>
        <v>20260634-TH-8173-4-Prestar servicio de apoyo a la gestión administrativa y operativa de los mantenimientos requeridos a los equipos menores y/o parque automotor de la Subdirección Logística - SBLG</v>
      </c>
    </row>
    <row r="634" spans="2:35" ht="70" x14ac:dyDescent="0.35">
      <c r="B634" s="142">
        <v>20260635</v>
      </c>
      <c r="C634" s="121" t="s">
        <v>966</v>
      </c>
      <c r="D634" s="130" t="s">
        <v>78</v>
      </c>
      <c r="E634" s="130" t="s">
        <v>402</v>
      </c>
      <c r="F634" s="130" t="s">
        <v>89</v>
      </c>
      <c r="G634" s="131" t="s">
        <v>377</v>
      </c>
      <c r="H634" s="137">
        <v>0</v>
      </c>
      <c r="I634" s="137">
        <v>0</v>
      </c>
      <c r="J634" s="132">
        <f>497000000-5100000</f>
        <v>491900000</v>
      </c>
      <c r="K634" s="133" t="s">
        <v>398</v>
      </c>
      <c r="L634" s="172" t="s">
        <v>155</v>
      </c>
      <c r="M634" s="173" t="s">
        <v>422</v>
      </c>
      <c r="N634" s="130" t="s">
        <v>197</v>
      </c>
      <c r="O634" s="173" t="s">
        <v>925</v>
      </c>
      <c r="P634" s="173" t="s">
        <v>348</v>
      </c>
      <c r="Q634" s="134" t="s">
        <v>750</v>
      </c>
      <c r="R634" s="173" t="s">
        <v>207</v>
      </c>
      <c r="S634" s="173" t="str">
        <f>MID(PAA[[#This Row],[Meta Proyecto de Inversión]],1,4)</f>
        <v>8126</v>
      </c>
      <c r="T634" s="173" t="str">
        <f>MID(PAA[[#This Row],[Meta Proyecto de Inversión]],6,1)</f>
        <v>8</v>
      </c>
      <c r="U634" s="174" t="str">
        <f>IFERROR(VLOOKUP(N634,TD!$B$50:$F$54,2,0)," ")</f>
        <v>O230117</v>
      </c>
      <c r="V634" s="174" t="str">
        <f>IFERROR(VLOOKUP(N634,TD!$B$50:$F$54,3,0)," ")</f>
        <v>4599</v>
      </c>
      <c r="W634" s="174">
        <f>IFERROR(VLOOKUP(N634,TD!$B$50:$F$54,4,0)," ")</f>
        <v>20240207</v>
      </c>
      <c r="X634" s="173" t="s">
        <v>174</v>
      </c>
      <c r="Y634" s="163" t="str">
        <f>IFERROR(VLOOKUP(X634,TD!$J$51:$K$64,2,0)," ")</f>
        <v>Infraestructura física, mantenimiento y dotación (Sedes construidas, mantenidas reforzadas)</v>
      </c>
      <c r="Z634" s="175" t="str">
        <f t="shared" si="36"/>
        <v>08-Infraestructura física, mantenimiento y dotación (Sedes construidas, mantenidas reforzadas)</v>
      </c>
      <c r="AA634" s="173" t="s">
        <v>227</v>
      </c>
      <c r="AB634" s="163" t="str">
        <f>IFERROR(VLOOKUP(AA634,TD!$N$51:$O$66,2,0)," ")</f>
        <v>Sedes mantenidas</v>
      </c>
      <c r="AC634" s="175" t="str">
        <f t="shared" si="37"/>
        <v>016_Sedes mantenidas</v>
      </c>
      <c r="AD634" s="175" t="str">
        <f t="shared" si="38"/>
        <v>08-Infraestructura física, mantenimiento y dotación (Sedes construidas, mantenidas reforzadas) 016_Sedes mantenidas</v>
      </c>
      <c r="AE634" s="174" t="str">
        <f t="shared" si="39"/>
        <v>O23011745992024020708016</v>
      </c>
      <c r="AF634" s="163" t="str">
        <f>IFERROR(VLOOKUP(AD634,TD!$J$66:$K$89,2,0)," ")</f>
        <v>PM/0131/0108/45990160207</v>
      </c>
      <c r="AG634" s="135" t="s">
        <v>132</v>
      </c>
      <c r="AH634" s="176" t="s">
        <v>194</v>
      </c>
      <c r="AI634" s="183" t="str">
        <f>CONCATENATE(PAA[[#This Row],[Id Interno]],"-",PAA[[#This Row],[tipo de Contrato (TH talento humano - B/S bienes y/o servicios)]],"-",S634,"-",T634,"-",PAA[[#This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635" spans="2:35" ht="56" x14ac:dyDescent="0.35">
      <c r="B635" s="142">
        <v>20260636</v>
      </c>
      <c r="C635" s="121" t="s">
        <v>961</v>
      </c>
      <c r="D635" s="130" t="s">
        <v>105</v>
      </c>
      <c r="E635" s="130" t="s">
        <v>363</v>
      </c>
      <c r="F635" s="130" t="s">
        <v>144</v>
      </c>
      <c r="G635" s="131" t="s">
        <v>965</v>
      </c>
      <c r="H635" s="137">
        <v>0</v>
      </c>
      <c r="I635" s="137">
        <v>0</v>
      </c>
      <c r="J635" s="132">
        <v>95000000</v>
      </c>
      <c r="K635" s="133" t="s">
        <v>398</v>
      </c>
      <c r="L635" s="172" t="s">
        <v>151</v>
      </c>
      <c r="M635" s="173" t="s">
        <v>401</v>
      </c>
      <c r="N635" s="130" t="s">
        <v>197</v>
      </c>
      <c r="O635" s="173" t="s">
        <v>925</v>
      </c>
      <c r="P635" s="173" t="s">
        <v>348</v>
      </c>
      <c r="Q635" s="134">
        <v>80111600</v>
      </c>
      <c r="R635" s="173" t="s">
        <v>204</v>
      </c>
      <c r="S635" s="173" t="str">
        <f>MID(PAA[[#This Row],[Meta Proyecto de Inversión]],1,4)</f>
        <v>8126</v>
      </c>
      <c r="T635" s="173" t="str">
        <f>MID(PAA[[#This Row],[Meta Proyecto de Inversión]],6,1)</f>
        <v>5</v>
      </c>
      <c r="U635" s="174" t="str">
        <f>IFERROR(VLOOKUP(N635,TD!$B$50:$F$54,2,0)," ")</f>
        <v>O230117</v>
      </c>
      <c r="V635" s="174" t="str">
        <f>IFERROR(VLOOKUP(N635,TD!$B$50:$F$54,3,0)," ")</f>
        <v>4599</v>
      </c>
      <c r="W635" s="174">
        <f>IFERROR(VLOOKUP(N635,TD!$B$50:$F$54,4,0)," ")</f>
        <v>20240207</v>
      </c>
      <c r="X635" s="173" t="s">
        <v>168</v>
      </c>
      <c r="Y635" s="163" t="str">
        <f>IFERROR(VLOOKUP(X635,TD!$J$51:$K$64,2,0)," ")</f>
        <v>Infraestructura Tecnológica   (Sistemas de Información y Tecnologia)</v>
      </c>
      <c r="Z635" s="175" t="str">
        <f t="shared" si="36"/>
        <v>11-Infraestructura Tecnológica   (Sistemas de Información y Tecnologia)</v>
      </c>
      <c r="AA635" s="173" t="s">
        <v>228</v>
      </c>
      <c r="AB635" s="163" t="str">
        <f>IFERROR(VLOOKUP(AA635,TD!$N$51:$O$66,2,0)," ")</f>
        <v>Servicios tecnológicos</v>
      </c>
      <c r="AC635" s="175" t="str">
        <f t="shared" si="37"/>
        <v>007_Servicios tecnológicos</v>
      </c>
      <c r="AD635" s="175" t="str">
        <f t="shared" si="38"/>
        <v>11-Infraestructura Tecnológica   (Sistemas de Información y Tecnologia) 007_Servicios tecnológicos</v>
      </c>
      <c r="AE635" s="174" t="str">
        <f t="shared" si="39"/>
        <v>O23011745992024020711007</v>
      </c>
      <c r="AF635" s="163" t="str">
        <f>IFERROR(VLOOKUP(AD635,TD!$J$66:$K$89,2,0)," ")</f>
        <v>PM/0131/0111/45990070207</v>
      </c>
      <c r="AG635" s="135" t="s">
        <v>385</v>
      </c>
      <c r="AH635" s="176" t="s">
        <v>194</v>
      </c>
      <c r="AI635" s="186" t="str">
        <f>CONCATENATE(PAA[[#This Row],[Id Interno]],"-",PAA[[#This Row],[tipo de Contrato (TH talento humano - B/S bienes y/o servicios)]],"-",S635,"-",T635,"-",PAA[[#This Row],[Objeto de la contratación]])</f>
        <v>20260636-TH-8126-5-Congelamiento recursos 5% proyecto 8126</v>
      </c>
    </row>
    <row r="636" spans="2:35" ht="42" x14ac:dyDescent="0.35">
      <c r="B636" s="142">
        <v>20260637</v>
      </c>
      <c r="C636" s="121" t="s">
        <v>961</v>
      </c>
      <c r="D636" s="130" t="s">
        <v>114</v>
      </c>
      <c r="E636" s="130" t="s">
        <v>402</v>
      </c>
      <c r="F636" s="130" t="s">
        <v>89</v>
      </c>
      <c r="G636" s="131" t="s">
        <v>965</v>
      </c>
      <c r="H636" s="137">
        <v>0</v>
      </c>
      <c r="I636" s="137">
        <v>0</v>
      </c>
      <c r="J636" s="132">
        <v>65650000</v>
      </c>
      <c r="K636" s="133" t="s">
        <v>398</v>
      </c>
      <c r="L636" s="172" t="s">
        <v>151</v>
      </c>
      <c r="M636" s="173" t="s">
        <v>401</v>
      </c>
      <c r="N636" s="130" t="s">
        <v>197</v>
      </c>
      <c r="O636" s="173" t="s">
        <v>925</v>
      </c>
      <c r="P636" s="173" t="s">
        <v>348</v>
      </c>
      <c r="Q636" s="134" t="s">
        <v>439</v>
      </c>
      <c r="R636" s="173" t="s">
        <v>203</v>
      </c>
      <c r="S636" s="173" t="str">
        <f>MID(PAA[[#This Row],[Meta Proyecto de Inversión]],1,4)</f>
        <v>8126</v>
      </c>
      <c r="T636" s="173" t="str">
        <f>MID(PAA[[#This Row],[Meta Proyecto de Inversión]],6,1)</f>
        <v>4</v>
      </c>
      <c r="U636" s="174" t="str">
        <f>IFERROR(VLOOKUP(N636,TD!$B$50:$F$54,2,0)," ")</f>
        <v>O230117</v>
      </c>
      <c r="V636" s="174" t="str">
        <f>IFERROR(VLOOKUP(N636,TD!$B$50:$F$54,3,0)," ")</f>
        <v>4599</v>
      </c>
      <c r="W636" s="174">
        <f>IFERROR(VLOOKUP(N636,TD!$B$50:$F$54,4,0)," ")</f>
        <v>20240207</v>
      </c>
      <c r="X636" s="173" t="s">
        <v>168</v>
      </c>
      <c r="Y636" s="163" t="str">
        <f>IFERROR(VLOOKUP(X636,TD!$J$51:$K$64,2,0)," ")</f>
        <v>Infraestructura Tecnológica   (Sistemas de Información y Tecnologia)</v>
      </c>
      <c r="Z636" s="175" t="str">
        <f t="shared" si="36"/>
        <v>11-Infraestructura Tecnológica   (Sistemas de Información y Tecnologia)</v>
      </c>
      <c r="AA636" s="173" t="s">
        <v>228</v>
      </c>
      <c r="AB636" s="163" t="str">
        <f>IFERROR(VLOOKUP(AA636,TD!$N$51:$O$66,2,0)," ")</f>
        <v>Servicios tecnológicos</v>
      </c>
      <c r="AC636" s="175" t="str">
        <f t="shared" si="37"/>
        <v>007_Servicios tecnológicos</v>
      </c>
      <c r="AD636" s="175" t="str">
        <f t="shared" si="38"/>
        <v>11-Infraestructura Tecnológica   (Sistemas de Información y Tecnologia) 007_Servicios tecnológicos</v>
      </c>
      <c r="AE636" s="174" t="str">
        <f t="shared" si="39"/>
        <v>O23011745992024020711007</v>
      </c>
      <c r="AF636" s="163" t="str">
        <f>IFERROR(VLOOKUP(AD636,TD!$J$66:$K$89,2,0)," ")</f>
        <v>PM/0131/0111/45990070207</v>
      </c>
      <c r="AG636" s="135" t="s">
        <v>116</v>
      </c>
      <c r="AH636" s="176" t="s">
        <v>194</v>
      </c>
      <c r="AI636" s="186" t="str">
        <f>CONCATENATE(PAA[[#This Row],[Id Interno]],"-",PAA[[#This Row],[tipo de Contrato (TH talento humano - B/S bienes y/o servicios)]],"-",S636,"-",T636,"-",PAA[[#This Row],[Objeto de la contratación]])</f>
        <v>20260637-BS-8126-4-Congelamiento recursos 5% proyecto 8126</v>
      </c>
    </row>
    <row r="637" spans="2:35" ht="56" x14ac:dyDescent="0.35">
      <c r="B637" s="153">
        <v>20260638</v>
      </c>
      <c r="C637" s="121" t="s">
        <v>961</v>
      </c>
      <c r="D637" s="121" t="s">
        <v>105</v>
      </c>
      <c r="E637" s="121" t="s">
        <v>363</v>
      </c>
      <c r="F637" s="121" t="s">
        <v>144</v>
      </c>
      <c r="G637" s="131" t="s">
        <v>965</v>
      </c>
      <c r="H637" s="154">
        <v>0</v>
      </c>
      <c r="I637" s="154">
        <v>0</v>
      </c>
      <c r="J637" s="135">
        <v>239005620</v>
      </c>
      <c r="K637" s="155" t="s">
        <v>398</v>
      </c>
      <c r="L637" s="177" t="s">
        <v>155</v>
      </c>
      <c r="M637" s="178" t="s">
        <v>401</v>
      </c>
      <c r="N637" s="121" t="s">
        <v>197</v>
      </c>
      <c r="O637" s="178" t="s">
        <v>925</v>
      </c>
      <c r="P637" s="178" t="s">
        <v>348</v>
      </c>
      <c r="Q637" s="156" t="s">
        <v>753</v>
      </c>
      <c r="R637" s="178" t="s">
        <v>208</v>
      </c>
      <c r="S637" s="173" t="str">
        <f>MID(PAA[[#This Row],[Meta Proyecto de Inversión]],1,4)</f>
        <v>8126</v>
      </c>
      <c r="T637" s="173" t="str">
        <f>MID(PAA[[#This Row],[Meta Proyecto de Inversión]],6,1)</f>
        <v>9</v>
      </c>
      <c r="U637" s="179" t="str">
        <f>IFERROR(VLOOKUP(N637,TD!$B$50:$F$54,2,0)," ")</f>
        <v>O230117</v>
      </c>
      <c r="V637" s="179" t="str">
        <f>IFERROR(VLOOKUP(N637,TD!$B$50:$F$54,3,0)," ")</f>
        <v>4599</v>
      </c>
      <c r="W637" s="179">
        <f>IFERROR(VLOOKUP(N637,TD!$B$50:$F$54,4,0)," ")</f>
        <v>20240207</v>
      </c>
      <c r="X637" s="178" t="s">
        <v>174</v>
      </c>
      <c r="Y637" s="168" t="str">
        <f>IFERROR(VLOOKUP(X637,TD!$J$51:$K$64,2,0)," ")</f>
        <v>Infraestructura física, mantenimiento y dotación (Sedes construidas, mantenidas reforzadas)</v>
      </c>
      <c r="Z637" s="175" t="str">
        <f t="shared" si="36"/>
        <v>08-Infraestructura física, mantenimiento y dotación (Sedes construidas, mantenidas reforzadas)</v>
      </c>
      <c r="AA637" s="178" t="s">
        <v>227</v>
      </c>
      <c r="AB637" s="168" t="str">
        <f>IFERROR(VLOOKUP(AA637,TD!$N$51:$O$66,2,0)," ")</f>
        <v>Sedes mantenidas</v>
      </c>
      <c r="AC637" s="175" t="str">
        <f t="shared" si="37"/>
        <v>016_Sedes mantenidas</v>
      </c>
      <c r="AD637" s="175" t="str">
        <f t="shared" si="38"/>
        <v>08-Infraestructura física, mantenimiento y dotación (Sedes construidas, mantenidas reforzadas) 016_Sedes mantenidas</v>
      </c>
      <c r="AE637" s="179" t="str">
        <f t="shared" si="39"/>
        <v>O23011745992024020708016</v>
      </c>
      <c r="AF637" s="168" t="str">
        <f>IFERROR(VLOOKUP(AD637,TD!$J$66:$K$89,2,0)," ")</f>
        <v>PM/0131/0108/45990160207</v>
      </c>
      <c r="AG637" s="135" t="s">
        <v>385</v>
      </c>
      <c r="AH637" s="182" t="s">
        <v>194</v>
      </c>
      <c r="AI637" s="186" t="str">
        <f>CONCATENATE(PAA[[#This Row],[Id Interno]],"-",PAA[[#This Row],[tipo de Contrato (TH talento humano - B/S bienes y/o servicios)]],"-",S637,"-",T637,"-",PAA[[#This Row],[Objeto de la contratación]])</f>
        <v>20260638-TH-8126-9-Congelamiento recursos 5% proyecto 8126</v>
      </c>
    </row>
    <row r="638" spans="2:35" ht="72" customHeight="1" x14ac:dyDescent="0.35">
      <c r="B638" s="142">
        <v>20260639</v>
      </c>
      <c r="C638" s="121" t="s">
        <v>962</v>
      </c>
      <c r="D638" s="130" t="s">
        <v>78</v>
      </c>
      <c r="E638" s="130" t="s">
        <v>402</v>
      </c>
      <c r="F638" s="130" t="s">
        <v>97</v>
      </c>
      <c r="G638" s="131" t="s">
        <v>965</v>
      </c>
      <c r="H638" s="137">
        <v>0</v>
      </c>
      <c r="I638" s="137">
        <v>0</v>
      </c>
      <c r="J638" s="132">
        <v>3760200</v>
      </c>
      <c r="K638" s="133" t="s">
        <v>398</v>
      </c>
      <c r="L638" s="172" t="s">
        <v>155</v>
      </c>
      <c r="M638" s="173" t="s">
        <v>401</v>
      </c>
      <c r="N638" s="130" t="s">
        <v>198</v>
      </c>
      <c r="O638" s="173" t="s">
        <v>926</v>
      </c>
      <c r="P638" s="173" t="s">
        <v>348</v>
      </c>
      <c r="Q638" s="134" t="s">
        <v>751</v>
      </c>
      <c r="R638" s="173" t="s">
        <v>216</v>
      </c>
      <c r="S638" s="173" t="str">
        <f>MID(PAA[[#This Row],[Meta Proyecto de Inversión]],1,4)</f>
        <v>8173</v>
      </c>
      <c r="T638" s="173" t="str">
        <f>MID(PAA[[#This Row],[Meta Proyecto de Inversión]],6,1)</f>
        <v>7</v>
      </c>
      <c r="U638" s="174" t="str">
        <f>IFERROR(VLOOKUP(N638,TD!$B$50:$F$54,2,0)," ")</f>
        <v>O230117</v>
      </c>
      <c r="V638" s="174" t="str">
        <f>IFERROR(VLOOKUP(N638,TD!$B$50:$F$54,3,0)," ")</f>
        <v>4503</v>
      </c>
      <c r="W638" s="174">
        <f>IFERROR(VLOOKUP(N638,TD!$B$50:$F$54,4,0)," ")</f>
        <v>20240255</v>
      </c>
      <c r="X638" s="173" t="s">
        <v>174</v>
      </c>
      <c r="Y638" s="163" t="str">
        <f>IFERROR(VLOOKUP(X638,TD!$J$51:$K$64,2,0)," ")</f>
        <v>Infraestructura física, mantenimiento y dotación (Sedes construidas, mantenidas reforzadas)</v>
      </c>
      <c r="Z638" s="175" t="str">
        <f t="shared" si="36"/>
        <v>08-Infraestructura física, mantenimiento y dotación (Sedes construidas, mantenidas reforzadas)</v>
      </c>
      <c r="AA638" s="173" t="s">
        <v>282</v>
      </c>
      <c r="AB638" s="163" t="str">
        <f>IFERROR(VLOOKUP(AA638,TD!$N$51:$O$66,2,0)," ")</f>
        <v>Documentos de lineamientos técnicos</v>
      </c>
      <c r="AC638" s="175" t="str">
        <f t="shared" si="37"/>
        <v>031__Documentos de lineamientos técnicos</v>
      </c>
      <c r="AD638" s="175" t="str">
        <f t="shared" si="38"/>
        <v>08-Infraestructura física, mantenimiento y dotación (Sedes construidas, mantenidas reforzadas) 031__Documentos de lineamientos técnicos</v>
      </c>
      <c r="AE638" s="174" t="str">
        <f t="shared" si="39"/>
        <v>O23011745032024025508031_</v>
      </c>
      <c r="AF638" s="163" t="str">
        <f>IFERROR(VLOOKUP(AD638,TD!$J$66:$K$89,2,0)," ")</f>
        <v>PM/0131/0108/45030310255</v>
      </c>
      <c r="AG638" s="135" t="s">
        <v>385</v>
      </c>
      <c r="AH638" s="176" t="s">
        <v>194</v>
      </c>
      <c r="AI638" s="186" t="str">
        <f>CONCATENATE(PAA[[#This Row],[Id Interno]],"-",PAA[[#This Row],[tipo de Contrato (TH talento humano - B/S bienes y/o servicios)]],"-",S638,"-",T638,"-",PAA[[#This Row],[Objeto de la contratación]])</f>
        <v>20260639-BS-8173-7-Congelamiento recursos 5% proyecto 8173</v>
      </c>
    </row>
    <row r="639" spans="2:35" ht="72" customHeight="1" x14ac:dyDescent="0.35">
      <c r="B639" s="142">
        <v>20260640</v>
      </c>
      <c r="C639" s="121" t="s">
        <v>961</v>
      </c>
      <c r="D639" s="130" t="s">
        <v>105</v>
      </c>
      <c r="E639" s="130" t="s">
        <v>363</v>
      </c>
      <c r="F639" s="130" t="s">
        <v>144</v>
      </c>
      <c r="G639" s="131" t="s">
        <v>965</v>
      </c>
      <c r="H639" s="137">
        <v>0</v>
      </c>
      <c r="I639" s="137">
        <v>0</v>
      </c>
      <c r="J639" s="132">
        <v>20296300</v>
      </c>
      <c r="K639" s="133" t="s">
        <v>398</v>
      </c>
      <c r="L639" s="172" t="s">
        <v>36</v>
      </c>
      <c r="M639" s="173" t="s">
        <v>401</v>
      </c>
      <c r="N639" s="130" t="s">
        <v>197</v>
      </c>
      <c r="O639" s="173" t="s">
        <v>925</v>
      </c>
      <c r="P639" s="173" t="s">
        <v>348</v>
      </c>
      <c r="Q639" s="134">
        <v>80111600</v>
      </c>
      <c r="R639" s="173" t="s">
        <v>201</v>
      </c>
      <c r="S639" s="173" t="str">
        <f>MID(PAA[[#This Row],[Meta Proyecto de Inversión]],1,4)</f>
        <v>8126</v>
      </c>
      <c r="T639" s="173" t="str">
        <f>MID(PAA[[#This Row],[Meta Proyecto de Inversión]],6,1)</f>
        <v>2</v>
      </c>
      <c r="U639" s="174" t="str">
        <f>IFERROR(VLOOKUP(N639,TD!$B$50:$F$54,2,0)," ")</f>
        <v>O230117</v>
      </c>
      <c r="V639" s="174" t="str">
        <f>IFERROR(VLOOKUP(N639,TD!$B$50:$F$54,3,0)," ")</f>
        <v>4599</v>
      </c>
      <c r="W639" s="174">
        <f>IFERROR(VLOOKUP(N639,TD!$B$50:$F$54,4,0)," ")</f>
        <v>20240207</v>
      </c>
      <c r="X639" s="173" t="s">
        <v>182</v>
      </c>
      <c r="Y639" s="163" t="str">
        <f>IFERROR(VLOOKUP(X639,TD!$J$51:$K$64,2,0)," ")</f>
        <v>Servicios para la planeación y sistemas de gestión y comunicación estratégica</v>
      </c>
      <c r="Z639" s="175" t="str">
        <f t="shared" si="36"/>
        <v>13-Servicios para la planeación y sistemas de gestión y comunicación estratégica</v>
      </c>
      <c r="AA639" s="173" t="s">
        <v>230</v>
      </c>
      <c r="AB639" s="163" t="str">
        <f>IFERROR(VLOOKUP(AA639,TD!$N$51:$O$66,2,0)," ")</f>
        <v>Servicio de Implementación Sistemas de Gestión</v>
      </c>
      <c r="AC639" s="175" t="str">
        <f t="shared" si="37"/>
        <v>023_Servicio de Implementación Sistemas de Gestión</v>
      </c>
      <c r="AD639" s="175" t="str">
        <f t="shared" si="38"/>
        <v>13-Servicios para la planeación y sistemas de gestión y comunicación estratégica 023_Servicio de Implementación Sistemas de Gestión</v>
      </c>
      <c r="AE639" s="174" t="str">
        <f t="shared" si="39"/>
        <v>O23011745992024020713023</v>
      </c>
      <c r="AF639" s="163" t="str">
        <f>IFERROR(VLOOKUP(AD639,TD!$J$66:$K$89,2,0)," ")</f>
        <v>PM/0131/0113/45990230207</v>
      </c>
      <c r="AG639" s="135" t="s">
        <v>385</v>
      </c>
      <c r="AH639" s="176" t="s">
        <v>194</v>
      </c>
      <c r="AI639" s="183" t="str">
        <f>CONCATENATE(PAA[[#This Row],[Id Interno]],"-",PAA[[#This Row],[tipo de Contrato (TH talento humano - B/S bienes y/o servicios)]],"-",S639,"-",T639,"-",PAA[[#This Row],[Objeto de la contratación]])</f>
        <v>20260640-TH-8126-2-Congelamiento recursos 5% proyecto 8126</v>
      </c>
    </row>
    <row r="640" spans="2:35" ht="56" x14ac:dyDescent="0.35">
      <c r="B640" s="142">
        <v>20260641</v>
      </c>
      <c r="C640" s="121" t="s">
        <v>961</v>
      </c>
      <c r="D640" s="130" t="s">
        <v>105</v>
      </c>
      <c r="E640" s="130" t="s">
        <v>363</v>
      </c>
      <c r="F640" s="130" t="s">
        <v>144</v>
      </c>
      <c r="G640" s="131" t="s">
        <v>965</v>
      </c>
      <c r="H640" s="137">
        <v>0</v>
      </c>
      <c r="I640" s="137">
        <v>0</v>
      </c>
      <c r="J640" s="132">
        <v>55442250</v>
      </c>
      <c r="K640" s="133" t="s">
        <v>398</v>
      </c>
      <c r="L640" s="172" t="s">
        <v>36</v>
      </c>
      <c r="M640" s="173" t="s">
        <v>401</v>
      </c>
      <c r="N640" s="130" t="s">
        <v>197</v>
      </c>
      <c r="O640" s="173" t="s">
        <v>925</v>
      </c>
      <c r="P640" s="173" t="s">
        <v>348</v>
      </c>
      <c r="Q640" s="134">
        <v>80111600</v>
      </c>
      <c r="R640" s="173" t="s">
        <v>200</v>
      </c>
      <c r="S640" s="173" t="str">
        <f>MID(PAA[[#This Row],[Meta Proyecto de Inversión]],1,4)</f>
        <v>8126</v>
      </c>
      <c r="T640" s="173" t="str">
        <f>MID(PAA[[#This Row],[Meta Proyecto de Inversión]],6,1)</f>
        <v>1</v>
      </c>
      <c r="U640" s="174" t="str">
        <f>IFERROR(VLOOKUP(N640,TD!$B$50:$F$54,2,0)," ")</f>
        <v>O230117</v>
      </c>
      <c r="V640" s="174" t="str">
        <f>IFERROR(VLOOKUP(N640,TD!$B$50:$F$54,3,0)," ")</f>
        <v>4599</v>
      </c>
      <c r="W640" s="174">
        <f>IFERROR(VLOOKUP(N640,TD!$B$50:$F$54,4,0)," ")</f>
        <v>20240207</v>
      </c>
      <c r="X640" s="173" t="s">
        <v>182</v>
      </c>
      <c r="Y640" s="163" t="str">
        <f>IFERROR(VLOOKUP(X640,TD!$J$51:$K$64,2,0)," ")</f>
        <v>Servicios para la planeación y sistemas de gestión y comunicación estratégica</v>
      </c>
      <c r="Z640" s="175" t="str">
        <f t="shared" si="36"/>
        <v>13-Servicios para la planeación y sistemas de gestión y comunicación estratégica</v>
      </c>
      <c r="AA640" s="173" t="s">
        <v>229</v>
      </c>
      <c r="AB640" s="163" t="str">
        <f>IFERROR(VLOOKUP(AA640,TD!$N$51:$O$66,2,0)," ")</f>
        <v>Servicio de asistencia técnica</v>
      </c>
      <c r="AC640" s="175" t="str">
        <f t="shared" si="37"/>
        <v>031_Servicio de asistencia técnica</v>
      </c>
      <c r="AD640" s="175" t="str">
        <f t="shared" si="38"/>
        <v>13-Servicios para la planeación y sistemas de gestión y comunicación estratégica 031_Servicio de asistencia técnica</v>
      </c>
      <c r="AE640" s="174" t="str">
        <f t="shared" si="39"/>
        <v>O23011745992024020713031</v>
      </c>
      <c r="AF640" s="163" t="str">
        <f>IFERROR(VLOOKUP(AD640,TD!$J$66:$K$89,2,0)," ")</f>
        <v>PM/0131/0113/45990310207</v>
      </c>
      <c r="AG640" s="135" t="s">
        <v>385</v>
      </c>
      <c r="AH640" s="176" t="s">
        <v>194</v>
      </c>
      <c r="AI640" s="183" t="str">
        <f>CONCATENATE(PAA[[#This Row],[Id Interno]],"-",PAA[[#This Row],[tipo de Contrato (TH talento humano - B/S bienes y/o servicios)]],"-",S640,"-",T640,"-",PAA[[#This Row],[Objeto de la contratación]])</f>
        <v>20260641-TH-8126-1-Congelamiento recursos 5% proyecto 8126</v>
      </c>
    </row>
    <row r="641" spans="2:35" ht="114" customHeight="1" x14ac:dyDescent="0.35">
      <c r="B641" s="142">
        <v>20260642</v>
      </c>
      <c r="C641" s="121" t="s">
        <v>961</v>
      </c>
      <c r="D641" s="130" t="s">
        <v>83</v>
      </c>
      <c r="E641" s="130" t="s">
        <v>402</v>
      </c>
      <c r="F641" s="130" t="s">
        <v>89</v>
      </c>
      <c r="G641" s="131" t="s">
        <v>965</v>
      </c>
      <c r="H641" s="137">
        <v>0</v>
      </c>
      <c r="I641" s="137">
        <v>0</v>
      </c>
      <c r="J641" s="132">
        <v>0</v>
      </c>
      <c r="K641" s="133" t="s">
        <v>398</v>
      </c>
      <c r="L641" s="172" t="s">
        <v>151</v>
      </c>
      <c r="M641" s="173" t="s">
        <v>401</v>
      </c>
      <c r="N641" s="130" t="s">
        <v>197</v>
      </c>
      <c r="O641" s="173" t="s">
        <v>925</v>
      </c>
      <c r="P641" s="173" t="s">
        <v>348</v>
      </c>
      <c r="Q641" s="134" t="s">
        <v>440</v>
      </c>
      <c r="R641" s="173" t="s">
        <v>204</v>
      </c>
      <c r="S641" s="173" t="str">
        <f>MID(PAA[[#This Row],[Meta Proyecto de Inversión]],1,4)</f>
        <v>8126</v>
      </c>
      <c r="T641" s="173" t="str">
        <f>MID(PAA[[#This Row],[Meta Proyecto de Inversión]],6,1)</f>
        <v>5</v>
      </c>
      <c r="U641" s="174" t="str">
        <f>IFERROR(VLOOKUP(N641,TD!$B$50:$F$54,2,0)," ")</f>
        <v>O230117</v>
      </c>
      <c r="V641" s="174" t="str">
        <f>IFERROR(VLOOKUP(N641,TD!$B$50:$F$54,3,0)," ")</f>
        <v>4599</v>
      </c>
      <c r="W641" s="174">
        <f>IFERROR(VLOOKUP(N641,TD!$B$50:$F$54,4,0)," ")</f>
        <v>20240207</v>
      </c>
      <c r="X641" s="173" t="s">
        <v>168</v>
      </c>
      <c r="Y641" s="163" t="str">
        <f>IFERROR(VLOOKUP(X641,TD!$J$51:$K$64,2,0)," ")</f>
        <v>Infraestructura Tecnológica   (Sistemas de Información y Tecnologia)</v>
      </c>
      <c r="Z641" s="175" t="str">
        <f t="shared" si="36"/>
        <v>11-Infraestructura Tecnológica   (Sistemas de Información y Tecnologia)</v>
      </c>
      <c r="AA641" s="173" t="s">
        <v>228</v>
      </c>
      <c r="AB641" s="163" t="str">
        <f>IFERROR(VLOOKUP(AA641,TD!$N$51:$O$66,2,0)," ")</f>
        <v>Servicios tecnológicos</v>
      </c>
      <c r="AC641" s="175" t="str">
        <f t="shared" si="37"/>
        <v>007_Servicios tecnológicos</v>
      </c>
      <c r="AD641" s="175" t="str">
        <f t="shared" si="38"/>
        <v>11-Infraestructura Tecnológica   (Sistemas de Información y Tecnologia) 007_Servicios tecnológicos</v>
      </c>
      <c r="AE641" s="174" t="str">
        <f t="shared" si="39"/>
        <v>O23011745992024020711007</v>
      </c>
      <c r="AF641" s="163" t="str">
        <f>IFERROR(VLOOKUP(AD641,TD!$J$66:$K$89,2,0)," ")</f>
        <v>PM/0131/0111/45990070207</v>
      </c>
      <c r="AG641" s="135" t="s">
        <v>121</v>
      </c>
      <c r="AH641" s="176" t="s">
        <v>194</v>
      </c>
      <c r="AI641" s="186" t="str">
        <f>CONCATENATE(PAA[[#This Row],[Id Interno]],"-",PAA[[#This Row],[tipo de Contrato (TH talento humano - B/S bienes y/o servicios)]],"-",S641,"-",T641,"-",PAA[[#This Row],[Objeto de la contratación]])</f>
        <v>20260642-BS-8126-5-Congelamiento recursos 5% proyecto 8126</v>
      </c>
    </row>
    <row r="642" spans="2:35" ht="70" x14ac:dyDescent="0.35">
      <c r="B642" s="142">
        <v>20260643</v>
      </c>
      <c r="C642" s="121" t="s">
        <v>961</v>
      </c>
      <c r="D642" s="130" t="s">
        <v>105</v>
      </c>
      <c r="E642" s="130" t="s">
        <v>363</v>
      </c>
      <c r="F642" s="130" t="s">
        <v>144</v>
      </c>
      <c r="G642" s="131" t="s">
        <v>965</v>
      </c>
      <c r="H642" s="137">
        <v>0</v>
      </c>
      <c r="I642" s="137">
        <v>0</v>
      </c>
      <c r="J642" s="132">
        <v>0</v>
      </c>
      <c r="K642" s="133" t="s">
        <v>398</v>
      </c>
      <c r="L642" s="172" t="s">
        <v>150</v>
      </c>
      <c r="M642" s="173" t="s">
        <v>401</v>
      </c>
      <c r="N642" s="130" t="s">
        <v>197</v>
      </c>
      <c r="O642" s="173" t="s">
        <v>925</v>
      </c>
      <c r="P642" s="173" t="s">
        <v>348</v>
      </c>
      <c r="Q642" s="134">
        <v>80111600</v>
      </c>
      <c r="R642" s="173" t="s">
        <v>209</v>
      </c>
      <c r="S642" s="173" t="str">
        <f>MID(PAA[[#This Row],[Meta Proyecto de Inversión]],1,4)</f>
        <v>8126</v>
      </c>
      <c r="T642" s="173" t="str">
        <f>MID(PAA[[#This Row],[Meta Proyecto de Inversión]],6,1)</f>
        <v>1</v>
      </c>
      <c r="U642" s="174" t="str">
        <f>IFERROR(VLOOKUP(N642,TD!$B$50:$F$54,2,0)," ")</f>
        <v>O230117</v>
      </c>
      <c r="V642" s="174" t="str">
        <f>IFERROR(VLOOKUP(N642,TD!$B$50:$F$54,3,0)," ")</f>
        <v>4599</v>
      </c>
      <c r="W642" s="174">
        <f>IFERROR(VLOOKUP(N642,TD!$B$50:$F$54,4,0)," ")</f>
        <v>20240207</v>
      </c>
      <c r="X642" s="173" t="s">
        <v>182</v>
      </c>
      <c r="Y642" s="163" t="str">
        <f>IFERROR(VLOOKUP(X642,TD!$J$51:$K$64,2,0)," ")</f>
        <v>Servicios para la planeación y sistemas de gestión y comunicación estratégica</v>
      </c>
      <c r="Z642" s="175" t="str">
        <f t="shared" si="36"/>
        <v>13-Servicios para la planeación y sistemas de gestión y comunicación estratégica</v>
      </c>
      <c r="AA642" s="173" t="s">
        <v>231</v>
      </c>
      <c r="AB642" s="163" t="str">
        <f>IFERROR(VLOOKUP(AA642,TD!$N$51:$O$66,2,0)," ")</f>
        <v>Documentos de planeación</v>
      </c>
      <c r="AC642" s="175" t="str">
        <f t="shared" si="37"/>
        <v>019_Documentos de planeación</v>
      </c>
      <c r="AD642" s="175" t="str">
        <f t="shared" si="38"/>
        <v>13-Servicios para la planeación y sistemas de gestión y comunicación estratégica 019_Documentos de planeación</v>
      </c>
      <c r="AE642" s="174" t="str">
        <f t="shared" si="39"/>
        <v>O23011745992024020713019</v>
      </c>
      <c r="AF642" s="163" t="str">
        <f>IFERROR(VLOOKUP(AD642,TD!$J$66:$K$89,2,0)," ")</f>
        <v>PM/0131/0113/45990190207</v>
      </c>
      <c r="AG642" s="135" t="s">
        <v>385</v>
      </c>
      <c r="AH642" s="176" t="s">
        <v>194</v>
      </c>
      <c r="AI642" s="186" t="str">
        <f>CONCATENATE(PAA[[#This Row],[Id Interno]],"-",PAA[[#This Row],[tipo de Contrato (TH talento humano - B/S bienes y/o servicios)]],"-",S642,"-",T642,"-",PAA[[#This Row],[Objeto de la contratación]])</f>
        <v>20260643-TH-8126-1-Congelamiento recursos 5% proyecto 8126</v>
      </c>
    </row>
    <row r="643" spans="2:35" ht="56" x14ac:dyDescent="0.35">
      <c r="B643" s="142">
        <v>20260644</v>
      </c>
      <c r="C643" s="121" t="s">
        <v>961</v>
      </c>
      <c r="D643" s="130" t="s">
        <v>105</v>
      </c>
      <c r="E643" s="130" t="s">
        <v>363</v>
      </c>
      <c r="F643" s="130" t="s">
        <v>144</v>
      </c>
      <c r="G643" s="131" t="s">
        <v>965</v>
      </c>
      <c r="H643" s="137">
        <v>0</v>
      </c>
      <c r="I643" s="137">
        <v>0</v>
      </c>
      <c r="J643" s="132">
        <v>64171317</v>
      </c>
      <c r="K643" s="133" t="s">
        <v>398</v>
      </c>
      <c r="L643" s="172" t="s">
        <v>45</v>
      </c>
      <c r="M643" s="173" t="s">
        <v>401</v>
      </c>
      <c r="N643" s="130" t="s">
        <v>197</v>
      </c>
      <c r="O643" s="173" t="s">
        <v>925</v>
      </c>
      <c r="P643" s="173" t="s">
        <v>348</v>
      </c>
      <c r="Q643" s="134" t="s">
        <v>753</v>
      </c>
      <c r="R643" s="173" t="s">
        <v>208</v>
      </c>
      <c r="S643" s="173" t="str">
        <f>MID(PAA[[#This Row],[Meta Proyecto de Inversión]],1,4)</f>
        <v>8126</v>
      </c>
      <c r="T643" s="173" t="str">
        <f>MID(PAA[[#This Row],[Meta Proyecto de Inversión]],6,1)</f>
        <v>9</v>
      </c>
      <c r="U643" s="174" t="str">
        <f>IFERROR(VLOOKUP(N643,TD!$B$50:$F$54,2,0)," ")</f>
        <v>O230117</v>
      </c>
      <c r="V643" s="174" t="str">
        <f>IFERROR(VLOOKUP(N643,TD!$B$50:$F$54,3,0)," ")</f>
        <v>4599</v>
      </c>
      <c r="W643" s="174">
        <f>IFERROR(VLOOKUP(N643,TD!$B$50:$F$54,4,0)," ")</f>
        <v>20240207</v>
      </c>
      <c r="X643" s="173" t="s">
        <v>174</v>
      </c>
      <c r="Y643" s="163" t="str">
        <f>IFERROR(VLOOKUP(X643,TD!$J$51:$K$64,2,0)," ")</f>
        <v>Infraestructura física, mantenimiento y dotación (Sedes construidas, mantenidas reforzadas)</v>
      </c>
      <c r="Z643" s="175" t="str">
        <f t="shared" si="36"/>
        <v>08-Infraestructura física, mantenimiento y dotación (Sedes construidas, mantenidas reforzadas)</v>
      </c>
      <c r="AA643" s="173" t="s">
        <v>227</v>
      </c>
      <c r="AB643" s="163" t="str">
        <f>IFERROR(VLOOKUP(AA643,TD!$N$51:$O$66,2,0)," ")</f>
        <v>Sedes mantenidas</v>
      </c>
      <c r="AC643" s="175" t="str">
        <f t="shared" si="37"/>
        <v>016_Sedes mantenidas</v>
      </c>
      <c r="AD643" s="175" t="str">
        <f t="shared" si="38"/>
        <v>08-Infraestructura física, mantenimiento y dotación (Sedes construidas, mantenidas reforzadas) 016_Sedes mantenidas</v>
      </c>
      <c r="AE643" s="174" t="str">
        <f t="shared" si="39"/>
        <v>O23011745992024020708016</v>
      </c>
      <c r="AF643" s="163" t="str">
        <f>IFERROR(VLOOKUP(AD643,TD!$J$66:$K$89,2,0)," ")</f>
        <v>PM/0131/0108/45990160207</v>
      </c>
      <c r="AG643" s="135" t="s">
        <v>385</v>
      </c>
      <c r="AH643" s="176" t="s">
        <v>194</v>
      </c>
      <c r="AI643" s="186" t="str">
        <f>CONCATENATE(PAA[[#This Row],[Id Interno]],"-",PAA[[#This Row],[tipo de Contrato (TH talento humano - B/S bienes y/o servicios)]],"-",S643,"-",T643,"-",PAA[[#This Row],[Objeto de la contratación]])</f>
        <v>20260644-TH-8126-9-Congelamiento recursos 5% proyecto 8126</v>
      </c>
    </row>
    <row r="644" spans="2:35" ht="56" x14ac:dyDescent="0.35">
      <c r="B644" s="142">
        <v>20260645</v>
      </c>
      <c r="C644" s="121" t="s">
        <v>961</v>
      </c>
      <c r="D644" s="130" t="s">
        <v>105</v>
      </c>
      <c r="E644" s="130" t="s">
        <v>363</v>
      </c>
      <c r="F644" s="130" t="s">
        <v>144</v>
      </c>
      <c r="G644" s="131" t="s">
        <v>965</v>
      </c>
      <c r="H644" s="137">
        <v>0</v>
      </c>
      <c r="I644" s="137">
        <v>0</v>
      </c>
      <c r="J644" s="132">
        <v>24231997</v>
      </c>
      <c r="K644" s="133" t="s">
        <v>398</v>
      </c>
      <c r="L644" s="172" t="s">
        <v>46</v>
      </c>
      <c r="M644" s="173" t="s">
        <v>401</v>
      </c>
      <c r="N644" s="130" t="s">
        <v>197</v>
      </c>
      <c r="O644" s="173" t="s">
        <v>925</v>
      </c>
      <c r="P644" s="173" t="s">
        <v>348</v>
      </c>
      <c r="Q644" s="134" t="s">
        <v>753</v>
      </c>
      <c r="R644" s="173" t="s">
        <v>208</v>
      </c>
      <c r="S644" s="173" t="str">
        <f>MID(PAA[[#This Row],[Meta Proyecto de Inversión]],1,4)</f>
        <v>8126</v>
      </c>
      <c r="T644" s="173" t="str">
        <f>MID(PAA[[#This Row],[Meta Proyecto de Inversión]],6,1)</f>
        <v>9</v>
      </c>
      <c r="U644" s="174" t="str">
        <f>IFERROR(VLOOKUP(N644,TD!$B$50:$F$54,2,0)," ")</f>
        <v>O230117</v>
      </c>
      <c r="V644" s="174" t="str">
        <f>IFERROR(VLOOKUP(N644,TD!$B$50:$F$54,3,0)," ")</f>
        <v>4599</v>
      </c>
      <c r="W644" s="174">
        <f>IFERROR(VLOOKUP(N644,TD!$B$50:$F$54,4,0)," ")</f>
        <v>20240207</v>
      </c>
      <c r="X644" s="173" t="s">
        <v>174</v>
      </c>
      <c r="Y644" s="163" t="str">
        <f>IFERROR(VLOOKUP(X644,TD!$J$51:$K$64,2,0)," ")</f>
        <v>Infraestructura física, mantenimiento y dotación (Sedes construidas, mantenidas reforzadas)</v>
      </c>
      <c r="Z644" s="175" t="str">
        <f t="shared" si="36"/>
        <v>08-Infraestructura física, mantenimiento y dotación (Sedes construidas, mantenidas reforzadas)</v>
      </c>
      <c r="AA644" s="173" t="s">
        <v>227</v>
      </c>
      <c r="AB644" s="163" t="str">
        <f>IFERROR(VLOOKUP(AA644,TD!$N$51:$O$66,2,0)," ")</f>
        <v>Sedes mantenidas</v>
      </c>
      <c r="AC644" s="175" t="str">
        <f t="shared" si="37"/>
        <v>016_Sedes mantenidas</v>
      </c>
      <c r="AD644" s="175" t="str">
        <f t="shared" si="38"/>
        <v>08-Infraestructura física, mantenimiento y dotación (Sedes construidas, mantenidas reforzadas) 016_Sedes mantenidas</v>
      </c>
      <c r="AE644" s="174" t="str">
        <f t="shared" si="39"/>
        <v>O23011745992024020708016</v>
      </c>
      <c r="AF644" s="163" t="str">
        <f>IFERROR(VLOOKUP(AD644,TD!$J$66:$K$89,2,0)," ")</f>
        <v>PM/0131/0108/45990160207</v>
      </c>
      <c r="AG644" s="135" t="s">
        <v>385</v>
      </c>
      <c r="AH644" s="176" t="s">
        <v>194</v>
      </c>
      <c r="AI644" s="186" t="str">
        <f>CONCATENATE(PAA[[#This Row],[Id Interno]],"-",PAA[[#This Row],[tipo de Contrato (TH talento humano - B/S bienes y/o servicios)]],"-",S644,"-",T644,"-",PAA[[#This Row],[Objeto de la contratación]])</f>
        <v>20260645-TH-8126-9-Congelamiento recursos 5% proyecto 8126</v>
      </c>
    </row>
    <row r="645" spans="2:35" ht="56" x14ac:dyDescent="0.35">
      <c r="B645" s="142">
        <v>20260646</v>
      </c>
      <c r="C645" s="121" t="s">
        <v>961</v>
      </c>
      <c r="D645" s="130" t="s">
        <v>105</v>
      </c>
      <c r="E645" s="130" t="s">
        <v>363</v>
      </c>
      <c r="F645" s="130" t="s">
        <v>144</v>
      </c>
      <c r="G645" s="131" t="s">
        <v>965</v>
      </c>
      <c r="H645" s="137">
        <v>0</v>
      </c>
      <c r="I645" s="137">
        <v>0</v>
      </c>
      <c r="J645" s="132">
        <v>24969186</v>
      </c>
      <c r="K645" s="133" t="s">
        <v>398</v>
      </c>
      <c r="L645" s="172" t="s">
        <v>152</v>
      </c>
      <c r="M645" s="173" t="s">
        <v>401</v>
      </c>
      <c r="N645" s="130" t="s">
        <v>197</v>
      </c>
      <c r="O645" s="173" t="s">
        <v>925</v>
      </c>
      <c r="P645" s="173" t="s">
        <v>348</v>
      </c>
      <c r="Q645" s="134" t="s">
        <v>753</v>
      </c>
      <c r="R645" s="173" t="s">
        <v>208</v>
      </c>
      <c r="S645" s="173" t="str">
        <f>MID(PAA[[#This Row],[Meta Proyecto de Inversión]],1,4)</f>
        <v>8126</v>
      </c>
      <c r="T645" s="173" t="str">
        <f>MID(PAA[[#This Row],[Meta Proyecto de Inversión]],6,1)</f>
        <v>9</v>
      </c>
      <c r="U645" s="174" t="str">
        <f>IFERROR(VLOOKUP(N645,TD!$B$50:$F$54,2,0)," ")</f>
        <v>O230117</v>
      </c>
      <c r="V645" s="174" t="str">
        <f>IFERROR(VLOOKUP(N645,TD!$B$50:$F$54,3,0)," ")</f>
        <v>4599</v>
      </c>
      <c r="W645" s="174">
        <f>IFERROR(VLOOKUP(N645,TD!$B$50:$F$54,4,0)," ")</f>
        <v>20240207</v>
      </c>
      <c r="X645" s="173" t="s">
        <v>174</v>
      </c>
      <c r="Y645" s="163" t="str">
        <f>IFERROR(VLOOKUP(X645,TD!$J$51:$K$64,2,0)," ")</f>
        <v>Infraestructura física, mantenimiento y dotación (Sedes construidas, mantenidas reforzadas)</v>
      </c>
      <c r="Z645" s="175" t="str">
        <f t="shared" si="36"/>
        <v>08-Infraestructura física, mantenimiento y dotación (Sedes construidas, mantenidas reforzadas)</v>
      </c>
      <c r="AA645" s="173" t="s">
        <v>227</v>
      </c>
      <c r="AB645" s="163" t="str">
        <f>IFERROR(VLOOKUP(AA645,TD!$N$51:$O$66,2,0)," ")</f>
        <v>Sedes mantenidas</v>
      </c>
      <c r="AC645" s="175" t="str">
        <f t="shared" si="37"/>
        <v>016_Sedes mantenidas</v>
      </c>
      <c r="AD645" s="175" t="str">
        <f t="shared" si="38"/>
        <v>08-Infraestructura física, mantenimiento y dotación (Sedes construidas, mantenidas reforzadas) 016_Sedes mantenidas</v>
      </c>
      <c r="AE645" s="174" t="str">
        <f t="shared" si="39"/>
        <v>O23011745992024020708016</v>
      </c>
      <c r="AF645" s="163" t="str">
        <f>IFERROR(VLOOKUP(AD645,TD!$J$66:$K$89,2,0)," ")</f>
        <v>PM/0131/0108/45990160207</v>
      </c>
      <c r="AG645" s="135" t="s">
        <v>385</v>
      </c>
      <c r="AH645" s="176" t="s">
        <v>194</v>
      </c>
      <c r="AI645" s="186" t="str">
        <f>CONCATENATE(PAA[[#This Row],[Id Interno]],"-",PAA[[#This Row],[tipo de Contrato (TH talento humano - B/S bienes y/o servicios)]],"-",S645,"-",T645,"-",PAA[[#This Row],[Objeto de la contratación]])</f>
        <v>20260646-TH-8126-9-Congelamiento recursos 5% proyecto 8126</v>
      </c>
    </row>
    <row r="646" spans="2:35" ht="56" x14ac:dyDescent="0.35">
      <c r="B646" s="142">
        <v>20260647</v>
      </c>
      <c r="C646" s="121" t="s">
        <v>961</v>
      </c>
      <c r="D646" s="130" t="s">
        <v>105</v>
      </c>
      <c r="E646" s="130" t="s">
        <v>363</v>
      </c>
      <c r="F646" s="130" t="s">
        <v>144</v>
      </c>
      <c r="G646" s="131" t="s">
        <v>965</v>
      </c>
      <c r="H646" s="137">
        <v>0</v>
      </c>
      <c r="I646" s="137">
        <v>0</v>
      </c>
      <c r="J646" s="132">
        <v>0</v>
      </c>
      <c r="K646" s="133" t="s">
        <v>398</v>
      </c>
      <c r="L646" s="172" t="s">
        <v>153</v>
      </c>
      <c r="M646" s="173" t="s">
        <v>401</v>
      </c>
      <c r="N646" s="130" t="s">
        <v>197</v>
      </c>
      <c r="O646" s="173" t="s">
        <v>925</v>
      </c>
      <c r="P646" s="173" t="s">
        <v>348</v>
      </c>
      <c r="Q646" s="134" t="s">
        <v>753</v>
      </c>
      <c r="R646" s="173" t="s">
        <v>208</v>
      </c>
      <c r="S646" s="173" t="str">
        <f>MID(PAA[[#This Row],[Meta Proyecto de Inversión]],1,4)</f>
        <v>8126</v>
      </c>
      <c r="T646" s="173" t="str">
        <f>MID(PAA[[#This Row],[Meta Proyecto de Inversión]],6,1)</f>
        <v>9</v>
      </c>
      <c r="U646" s="174" t="str">
        <f>IFERROR(VLOOKUP(N646,TD!$B$50:$F$54,2,0)," ")</f>
        <v>O230117</v>
      </c>
      <c r="V646" s="174" t="str">
        <f>IFERROR(VLOOKUP(N646,TD!$B$50:$F$54,3,0)," ")</f>
        <v>4599</v>
      </c>
      <c r="W646" s="174">
        <f>IFERROR(VLOOKUP(N646,TD!$B$50:$F$54,4,0)," ")</f>
        <v>20240207</v>
      </c>
      <c r="X646" s="173" t="s">
        <v>174</v>
      </c>
      <c r="Y646" s="163" t="str">
        <f>IFERROR(VLOOKUP(X646,TD!$J$51:$K$64,2,0)," ")</f>
        <v>Infraestructura física, mantenimiento y dotación (Sedes construidas, mantenidas reforzadas)</v>
      </c>
      <c r="Z646" s="175" t="str">
        <f t="shared" si="36"/>
        <v>08-Infraestructura física, mantenimiento y dotación (Sedes construidas, mantenidas reforzadas)</v>
      </c>
      <c r="AA646" s="173" t="s">
        <v>227</v>
      </c>
      <c r="AB646" s="163" t="str">
        <f>IFERROR(VLOOKUP(AA646,TD!$N$51:$O$66,2,0)," ")</f>
        <v>Sedes mantenidas</v>
      </c>
      <c r="AC646" s="175" t="str">
        <f t="shared" si="37"/>
        <v>016_Sedes mantenidas</v>
      </c>
      <c r="AD646" s="175" t="str">
        <f t="shared" si="38"/>
        <v>08-Infraestructura física, mantenimiento y dotación (Sedes construidas, mantenidas reforzadas) 016_Sedes mantenidas</v>
      </c>
      <c r="AE646" s="174" t="str">
        <f t="shared" si="39"/>
        <v>O23011745992024020708016</v>
      </c>
      <c r="AF646" s="163" t="str">
        <f>IFERROR(VLOOKUP(AD646,TD!$J$66:$K$89,2,0)," ")</f>
        <v>PM/0131/0108/45990160207</v>
      </c>
      <c r="AG646" s="135" t="s">
        <v>385</v>
      </c>
      <c r="AH646" s="176" t="s">
        <v>194</v>
      </c>
      <c r="AI646" s="186" t="str">
        <f>CONCATENATE(PAA[[#This Row],[Id Interno]],"-",PAA[[#This Row],[tipo de Contrato (TH talento humano - B/S bienes y/o servicios)]],"-",S646,"-",T646,"-",PAA[[#This Row],[Objeto de la contratación]])</f>
        <v>20260647-TH-8126-9-Congelamiento recursos 5% proyecto 8126</v>
      </c>
    </row>
    <row r="647" spans="2:35" ht="56" x14ac:dyDescent="0.35">
      <c r="B647" s="142">
        <v>20260648</v>
      </c>
      <c r="C647" s="121" t="s">
        <v>961</v>
      </c>
      <c r="D647" s="130" t="s">
        <v>105</v>
      </c>
      <c r="E647" s="130" t="s">
        <v>363</v>
      </c>
      <c r="F647" s="130" t="s">
        <v>144</v>
      </c>
      <c r="G647" s="131" t="s">
        <v>965</v>
      </c>
      <c r="H647" s="137">
        <v>0</v>
      </c>
      <c r="I647" s="137">
        <v>0</v>
      </c>
      <c r="J647" s="132"/>
      <c r="K647" s="133" t="s">
        <v>398</v>
      </c>
      <c r="L647" s="172" t="s">
        <v>154</v>
      </c>
      <c r="M647" s="173" t="s">
        <v>401</v>
      </c>
      <c r="N647" s="130" t="s">
        <v>197</v>
      </c>
      <c r="O647" s="173" t="s">
        <v>925</v>
      </c>
      <c r="P647" s="173" t="s">
        <v>348</v>
      </c>
      <c r="Q647" s="134" t="s">
        <v>753</v>
      </c>
      <c r="R647" s="173" t="s">
        <v>208</v>
      </c>
      <c r="S647" s="173" t="str">
        <f>MID(PAA[[#This Row],[Meta Proyecto de Inversión]],1,4)</f>
        <v>8126</v>
      </c>
      <c r="T647" s="173" t="str">
        <f>MID(PAA[[#This Row],[Meta Proyecto de Inversión]],6,1)</f>
        <v>9</v>
      </c>
      <c r="U647" s="174" t="str">
        <f>IFERROR(VLOOKUP(N647,TD!$B$50:$F$54,2,0)," ")</f>
        <v>O230117</v>
      </c>
      <c r="V647" s="174" t="str">
        <f>IFERROR(VLOOKUP(N647,TD!$B$50:$F$54,3,0)," ")</f>
        <v>4599</v>
      </c>
      <c r="W647" s="174">
        <f>IFERROR(VLOOKUP(N647,TD!$B$50:$F$54,4,0)," ")</f>
        <v>20240207</v>
      </c>
      <c r="X647" s="173" t="s">
        <v>174</v>
      </c>
      <c r="Y647" s="163" t="str">
        <f>IFERROR(VLOOKUP(X647,TD!$J$51:$K$64,2,0)," ")</f>
        <v>Infraestructura física, mantenimiento y dotación (Sedes construidas, mantenidas reforzadas)</v>
      </c>
      <c r="Z647" s="175" t="str">
        <f t="shared" si="36"/>
        <v>08-Infraestructura física, mantenimiento y dotación (Sedes construidas, mantenidas reforzadas)</v>
      </c>
      <c r="AA647" s="173" t="s">
        <v>227</v>
      </c>
      <c r="AB647" s="163" t="str">
        <f>IFERROR(VLOOKUP(AA647,TD!$N$51:$O$66,2,0)," ")</f>
        <v>Sedes mantenidas</v>
      </c>
      <c r="AC647" s="175" t="str">
        <f t="shared" si="37"/>
        <v>016_Sedes mantenidas</v>
      </c>
      <c r="AD647" s="175" t="str">
        <f t="shared" si="38"/>
        <v>08-Infraestructura física, mantenimiento y dotación (Sedes construidas, mantenidas reforzadas) 016_Sedes mantenidas</v>
      </c>
      <c r="AE647" s="174" t="str">
        <f t="shared" si="39"/>
        <v>O23011745992024020708016</v>
      </c>
      <c r="AF647" s="163" t="str">
        <f>IFERROR(VLOOKUP(AD647,TD!$J$66:$K$89,2,0)," ")</f>
        <v>PM/0131/0108/45990160207</v>
      </c>
      <c r="AG647" s="135" t="s">
        <v>385</v>
      </c>
      <c r="AH647" s="176" t="s">
        <v>194</v>
      </c>
      <c r="AI647" s="186" t="str">
        <f>CONCATENATE(PAA[[#This Row],[Id Interno]],"-",PAA[[#This Row],[tipo de Contrato (TH talento humano - B/S bienes y/o servicios)]],"-",S647,"-",T647,"-",PAA[[#This Row],[Objeto de la contratación]])</f>
        <v>20260648-TH-8126-9-Congelamiento recursos 5% proyecto 8126</v>
      </c>
    </row>
    <row r="648" spans="2:35" ht="56" x14ac:dyDescent="0.35">
      <c r="B648" s="153">
        <v>20260649</v>
      </c>
      <c r="C648" s="121" t="s">
        <v>961</v>
      </c>
      <c r="D648" s="121" t="s">
        <v>83</v>
      </c>
      <c r="E648" s="121" t="s">
        <v>402</v>
      </c>
      <c r="F648" s="121" t="s">
        <v>136</v>
      </c>
      <c r="G648" s="131" t="s">
        <v>965</v>
      </c>
      <c r="H648" s="154">
        <v>0</v>
      </c>
      <c r="I648" s="154">
        <v>0</v>
      </c>
      <c r="J648" s="135">
        <v>71000000</v>
      </c>
      <c r="K648" s="155" t="s">
        <v>398</v>
      </c>
      <c r="L648" s="177" t="s">
        <v>155</v>
      </c>
      <c r="M648" s="178" t="s">
        <v>422</v>
      </c>
      <c r="N648" s="121" t="s">
        <v>197</v>
      </c>
      <c r="O648" s="178" t="s">
        <v>925</v>
      </c>
      <c r="P648" s="178" t="s">
        <v>348</v>
      </c>
      <c r="Q648" s="156" t="s">
        <v>931</v>
      </c>
      <c r="R648" s="178" t="s">
        <v>207</v>
      </c>
      <c r="S648" s="173" t="str">
        <f>MID(PAA[[#This Row],[Meta Proyecto de Inversión]],1,4)</f>
        <v>8126</v>
      </c>
      <c r="T648" s="173" t="str">
        <f>MID(PAA[[#This Row],[Meta Proyecto de Inversión]],6,1)</f>
        <v>8</v>
      </c>
      <c r="U648" s="179" t="str">
        <f>IFERROR(VLOOKUP(N648,TD!$B$50:$F$54,2,0)," ")</f>
        <v>O230117</v>
      </c>
      <c r="V648" s="179" t="str">
        <f>IFERROR(VLOOKUP(N648,TD!$B$50:$F$54,3,0)," ")</f>
        <v>4599</v>
      </c>
      <c r="W648" s="179">
        <f>IFERROR(VLOOKUP(N648,TD!$B$50:$F$54,4,0)," ")</f>
        <v>20240207</v>
      </c>
      <c r="X648" s="178" t="s">
        <v>174</v>
      </c>
      <c r="Y648" s="168" t="str">
        <f>IFERROR(VLOOKUP(X648,TD!$J$51:$K$64,2,0)," ")</f>
        <v>Infraestructura física, mantenimiento y dotación (Sedes construidas, mantenidas reforzadas)</v>
      </c>
      <c r="Z648" s="175" t="str">
        <f t="shared" si="36"/>
        <v>08-Infraestructura física, mantenimiento y dotación (Sedes construidas, mantenidas reforzadas)</v>
      </c>
      <c r="AA648" s="178" t="s">
        <v>227</v>
      </c>
      <c r="AB648" s="168" t="str">
        <f>IFERROR(VLOOKUP(AA648,TD!$N$51:$O$66,2,0)," ")</f>
        <v>Sedes mantenidas</v>
      </c>
      <c r="AC648" s="175" t="str">
        <f t="shared" si="37"/>
        <v>016_Sedes mantenidas</v>
      </c>
      <c r="AD648" s="175" t="str">
        <f t="shared" si="38"/>
        <v>08-Infraestructura física, mantenimiento y dotación (Sedes construidas, mantenidas reforzadas) 016_Sedes mantenidas</v>
      </c>
      <c r="AE648" s="179" t="str">
        <f t="shared" si="39"/>
        <v>O23011745992024020708016</v>
      </c>
      <c r="AF648" s="168" t="str">
        <f>IFERROR(VLOOKUP(AD648,TD!$J$66:$K$89,2,0)," ")</f>
        <v>PM/0131/0108/45990160207</v>
      </c>
      <c r="AG648" s="135" t="s">
        <v>80</v>
      </c>
      <c r="AH648" s="182" t="s">
        <v>194</v>
      </c>
      <c r="AI648" s="186" t="str">
        <f>CONCATENATE(PAA[[#This Row],[Id Interno]],"-",PAA[[#This Row],[tipo de Contrato (TH talento humano - B/S bienes y/o servicios)]],"-",S648,"-",T648,"-",PAA[[#This Row],[Objeto de la contratación]])</f>
        <v>20260649-BS-8126-8-Congelamiento recursos 5% proyecto 8126</v>
      </c>
    </row>
    <row r="649" spans="2:35" ht="56" x14ac:dyDescent="0.35">
      <c r="B649" s="153">
        <v>20260650</v>
      </c>
      <c r="C649" s="121" t="s">
        <v>961</v>
      </c>
      <c r="D649" s="121" t="s">
        <v>78</v>
      </c>
      <c r="E649" s="121" t="s">
        <v>402</v>
      </c>
      <c r="F649" s="121" t="s">
        <v>97</v>
      </c>
      <c r="G649" s="131" t="s">
        <v>965</v>
      </c>
      <c r="H649" s="154">
        <v>0</v>
      </c>
      <c r="I649" s="154">
        <v>0</v>
      </c>
      <c r="J649" s="135">
        <v>93750000</v>
      </c>
      <c r="K649" s="155" t="s">
        <v>398</v>
      </c>
      <c r="L649" s="177" t="s">
        <v>155</v>
      </c>
      <c r="M649" s="178" t="s">
        <v>422</v>
      </c>
      <c r="N649" s="121" t="s">
        <v>197</v>
      </c>
      <c r="O649" s="178" t="s">
        <v>925</v>
      </c>
      <c r="P649" s="178" t="s">
        <v>348</v>
      </c>
      <c r="Q649" s="156" t="s">
        <v>761</v>
      </c>
      <c r="R649" s="178" t="s">
        <v>207</v>
      </c>
      <c r="S649" s="173" t="str">
        <f>MID(PAA[[#This Row],[Meta Proyecto de Inversión]],1,4)</f>
        <v>8126</v>
      </c>
      <c r="T649" s="173" t="str">
        <f>MID(PAA[[#This Row],[Meta Proyecto de Inversión]],6,1)</f>
        <v>8</v>
      </c>
      <c r="U649" s="179" t="str">
        <f>IFERROR(VLOOKUP(N649,TD!$B$50:$F$54,2,0)," ")</f>
        <v>O230117</v>
      </c>
      <c r="V649" s="179" t="str">
        <f>IFERROR(VLOOKUP(N649,TD!$B$50:$F$54,3,0)," ")</f>
        <v>4599</v>
      </c>
      <c r="W649" s="179">
        <f>IFERROR(VLOOKUP(N649,TD!$B$50:$F$54,4,0)," ")</f>
        <v>20240207</v>
      </c>
      <c r="X649" s="178" t="s">
        <v>174</v>
      </c>
      <c r="Y649" s="168" t="str">
        <f>IFERROR(VLOOKUP(X649,TD!$J$51:$K$64,2,0)," ")</f>
        <v>Infraestructura física, mantenimiento y dotación (Sedes construidas, mantenidas reforzadas)</v>
      </c>
      <c r="Z649" s="175" t="str">
        <f t="shared" si="36"/>
        <v>08-Infraestructura física, mantenimiento y dotación (Sedes construidas, mantenidas reforzadas)</v>
      </c>
      <c r="AA649" s="178" t="s">
        <v>227</v>
      </c>
      <c r="AB649" s="168" t="str">
        <f>IFERROR(VLOOKUP(AA649,TD!$N$51:$O$66,2,0)," ")</f>
        <v>Sedes mantenidas</v>
      </c>
      <c r="AC649" s="175" t="str">
        <f t="shared" si="37"/>
        <v>016_Sedes mantenidas</v>
      </c>
      <c r="AD649" s="175" t="str">
        <f t="shared" si="38"/>
        <v>08-Infraestructura física, mantenimiento y dotación (Sedes construidas, mantenidas reforzadas) 016_Sedes mantenidas</v>
      </c>
      <c r="AE649" s="179" t="str">
        <f t="shared" si="39"/>
        <v>O23011745992024020708016</v>
      </c>
      <c r="AF649" s="168" t="str">
        <f>IFERROR(VLOOKUP(AD649,TD!$J$66:$K$89,2,0)," ")</f>
        <v>PM/0131/0108/45990160207</v>
      </c>
      <c r="AG649" s="135" t="s">
        <v>94</v>
      </c>
      <c r="AH649" s="182" t="s">
        <v>194</v>
      </c>
      <c r="AI649" s="186" t="str">
        <f>CONCATENATE(PAA[[#This Row],[Id Interno]],"-",PAA[[#This Row],[tipo de Contrato (TH talento humano - B/S bienes y/o servicios)]],"-",S649,"-",T649,"-",PAA[[#This Row],[Objeto de la contratación]])</f>
        <v>20260650-BS-8126-8-Congelamiento recursos 5% proyecto 8126</v>
      </c>
    </row>
    <row r="650" spans="2:35" ht="56" x14ac:dyDescent="0.35">
      <c r="B650" s="153">
        <v>20260651</v>
      </c>
      <c r="C650" s="121" t="s">
        <v>961</v>
      </c>
      <c r="D650" s="121" t="s">
        <v>114</v>
      </c>
      <c r="E650" s="121" t="s">
        <v>402</v>
      </c>
      <c r="F650" s="121" t="s">
        <v>89</v>
      </c>
      <c r="G650" s="131" t="s">
        <v>965</v>
      </c>
      <c r="H650" s="154">
        <v>0</v>
      </c>
      <c r="I650" s="154">
        <v>0</v>
      </c>
      <c r="J650" s="135">
        <v>26250000</v>
      </c>
      <c r="K650" s="155" t="s">
        <v>398</v>
      </c>
      <c r="L650" s="177" t="s">
        <v>155</v>
      </c>
      <c r="M650" s="178" t="s">
        <v>422</v>
      </c>
      <c r="N650" s="121" t="s">
        <v>197</v>
      </c>
      <c r="O650" s="178" t="s">
        <v>925</v>
      </c>
      <c r="P650" s="178" t="s">
        <v>348</v>
      </c>
      <c r="Q650" s="156" t="s">
        <v>754</v>
      </c>
      <c r="R650" s="178" t="s">
        <v>207</v>
      </c>
      <c r="S650" s="173" t="str">
        <f>MID(PAA[[#This Row],[Meta Proyecto de Inversión]],1,4)</f>
        <v>8126</v>
      </c>
      <c r="T650" s="173" t="str">
        <f>MID(PAA[[#This Row],[Meta Proyecto de Inversión]],6,1)</f>
        <v>8</v>
      </c>
      <c r="U650" s="179" t="str">
        <f>IFERROR(VLOOKUP(N650,TD!$B$50:$F$54,2,0)," ")</f>
        <v>O230117</v>
      </c>
      <c r="V650" s="179" t="str">
        <f>IFERROR(VLOOKUP(N650,TD!$B$50:$F$54,3,0)," ")</f>
        <v>4599</v>
      </c>
      <c r="W650" s="179">
        <f>IFERROR(VLOOKUP(N650,TD!$B$50:$F$54,4,0)," ")</f>
        <v>20240207</v>
      </c>
      <c r="X650" s="178" t="s">
        <v>174</v>
      </c>
      <c r="Y650" s="168" t="str">
        <f>IFERROR(VLOOKUP(X650,TD!$J$51:$K$64,2,0)," ")</f>
        <v>Infraestructura física, mantenimiento y dotación (Sedes construidas, mantenidas reforzadas)</v>
      </c>
      <c r="Z650" s="175" t="str">
        <f t="shared" si="36"/>
        <v>08-Infraestructura física, mantenimiento y dotación (Sedes construidas, mantenidas reforzadas)</v>
      </c>
      <c r="AA650" s="178" t="s">
        <v>227</v>
      </c>
      <c r="AB650" s="168" t="str">
        <f>IFERROR(VLOOKUP(AA650,TD!$N$51:$O$66,2,0)," ")</f>
        <v>Sedes mantenidas</v>
      </c>
      <c r="AC650" s="175" t="str">
        <f t="shared" si="37"/>
        <v>016_Sedes mantenidas</v>
      </c>
      <c r="AD650" s="175" t="str">
        <f t="shared" si="38"/>
        <v>08-Infraestructura física, mantenimiento y dotación (Sedes construidas, mantenidas reforzadas) 016_Sedes mantenidas</v>
      </c>
      <c r="AE650" s="179" t="str">
        <f t="shared" si="39"/>
        <v>O23011745992024020708016</v>
      </c>
      <c r="AF650" s="168" t="str">
        <f>IFERROR(VLOOKUP(AD650,TD!$J$66:$K$89,2,0)," ")</f>
        <v>PM/0131/0108/45990160207</v>
      </c>
      <c r="AG650" s="135" t="s">
        <v>134</v>
      </c>
      <c r="AH650" s="182" t="s">
        <v>194</v>
      </c>
      <c r="AI650" s="186" t="str">
        <f>CONCATENATE(PAA[[#This Row],[Id Interno]],"-",PAA[[#This Row],[tipo de Contrato (TH talento humano - B/S bienes y/o servicios)]],"-",S650,"-",T650,"-",PAA[[#This Row],[Objeto de la contratación]])</f>
        <v>20260651-BS-8126-8-Congelamiento recursos 5% proyecto 8126</v>
      </c>
    </row>
    <row r="651" spans="2:35" s="56" customFormat="1" ht="70" x14ac:dyDescent="0.35">
      <c r="B651" s="142">
        <v>20260652</v>
      </c>
      <c r="C651" s="121" t="s">
        <v>967</v>
      </c>
      <c r="D651" s="130" t="s">
        <v>105</v>
      </c>
      <c r="E651" s="130" t="s">
        <v>363</v>
      </c>
      <c r="F651" s="130" t="s">
        <v>144</v>
      </c>
      <c r="G651" s="131" t="s">
        <v>373</v>
      </c>
      <c r="H651" s="137">
        <v>7</v>
      </c>
      <c r="I651" s="137">
        <v>0</v>
      </c>
      <c r="J651" s="132">
        <v>55300000</v>
      </c>
      <c r="K651" s="133" t="s">
        <v>398</v>
      </c>
      <c r="L651" s="172" t="s">
        <v>154</v>
      </c>
      <c r="M651" s="173" t="s">
        <v>448</v>
      </c>
      <c r="N651" s="130" t="s">
        <v>198</v>
      </c>
      <c r="O651" s="173" t="s">
        <v>926</v>
      </c>
      <c r="P651" s="173" t="s">
        <v>348</v>
      </c>
      <c r="Q651" s="134">
        <v>80111600</v>
      </c>
      <c r="R651" s="173" t="s">
        <v>218</v>
      </c>
      <c r="S651" s="173" t="str">
        <f>MID(PAA[[#This Row],[Meta Proyecto de Inversión]],1,4)</f>
        <v>8173</v>
      </c>
      <c r="T651" s="173" t="str">
        <f>MID(PAA[[#This Row],[Meta Proyecto de Inversión]],6,1)</f>
        <v>9</v>
      </c>
      <c r="U651" s="174" t="str">
        <f>IFERROR(VLOOKUP(N651,TD!$B$50:$F$54,2,0)," ")</f>
        <v>O230117</v>
      </c>
      <c r="V651" s="174" t="str">
        <f>IFERROR(VLOOKUP(N651,TD!$B$50:$F$54,3,0)," ")</f>
        <v>4503</v>
      </c>
      <c r="W651" s="174">
        <f>IFERROR(VLOOKUP(N651,TD!$B$50:$F$54,4,0)," ")</f>
        <v>20240255</v>
      </c>
      <c r="X651" s="173" t="s">
        <v>172</v>
      </c>
      <c r="Y651" s="163" t="str">
        <f>IFERROR(VLOOKUP(X651,TD!$J$51:$K$64,2,0)," ")</f>
        <v>Servicio de formación en gestión del riesgo de incendios para el personal UAECOB</v>
      </c>
      <c r="Z651" s="175" t="str">
        <f t="shared" si="36"/>
        <v>07-Servicio de formación en gestión del riesgo de incendios para el personal UAECOB</v>
      </c>
      <c r="AA651" s="173" t="s">
        <v>222</v>
      </c>
      <c r="AB651" s="163" t="str">
        <f>IFERROR(VLOOKUP(AA651,TD!$N$51:$O$66,2,0)," ")</f>
        <v>Servicio de educación informal</v>
      </c>
      <c r="AC651" s="175" t="str">
        <f t="shared" si="37"/>
        <v>002_Servicio de educación informal</v>
      </c>
      <c r="AD651" s="175" t="str">
        <f t="shared" si="38"/>
        <v>07-Servicio de formación en gestión del riesgo de incendios para el personal UAECOB 002_Servicio de educación informal</v>
      </c>
      <c r="AE651" s="174" t="str">
        <f t="shared" si="39"/>
        <v>O23011745032024025507002</v>
      </c>
      <c r="AF651" s="163" t="str">
        <f>IFERROR(VLOOKUP(AD651,TD!$J$66:$K$89,2,0)," ")</f>
        <v>PM/0131/0107/45030020255</v>
      </c>
      <c r="AG651" s="135" t="s">
        <v>385</v>
      </c>
      <c r="AH651" s="176" t="s">
        <v>193</v>
      </c>
      <c r="AI651" s="183" t="str">
        <f>CONCATENATE(PAA[[#This Row],[Id Interno]],"-",PAA[[#This Row],[tipo de Contrato (TH talento humano - B/S bienes y/o servicios)]],"-",S651,"-",T651,"-",PAA[[#This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52" spans="2:35" ht="125" customHeight="1" x14ac:dyDescent="0.35">
      <c r="B652" s="142">
        <v>20260653</v>
      </c>
      <c r="C652" s="121" t="s">
        <v>968</v>
      </c>
      <c r="D652" s="130" t="s">
        <v>105</v>
      </c>
      <c r="E652" s="130" t="s">
        <v>363</v>
      </c>
      <c r="F652" s="130" t="s">
        <v>145</v>
      </c>
      <c r="G652" s="131" t="s">
        <v>373</v>
      </c>
      <c r="H652" s="137">
        <v>7</v>
      </c>
      <c r="I652" s="137">
        <v>0</v>
      </c>
      <c r="J652" s="132">
        <v>28000000</v>
      </c>
      <c r="K652" s="133" t="s">
        <v>398</v>
      </c>
      <c r="L652" s="172" t="s">
        <v>154</v>
      </c>
      <c r="M652" s="173" t="s">
        <v>448</v>
      </c>
      <c r="N652" s="130" t="s">
        <v>198</v>
      </c>
      <c r="O652" s="173" t="s">
        <v>926</v>
      </c>
      <c r="P652" s="173" t="s">
        <v>348</v>
      </c>
      <c r="Q652" s="134">
        <v>80111600</v>
      </c>
      <c r="R652" s="173" t="s">
        <v>218</v>
      </c>
      <c r="S652" s="173" t="str">
        <f>MID(PAA[[#This Row],[Meta Proyecto de Inversión]],1,4)</f>
        <v>8173</v>
      </c>
      <c r="T652" s="173" t="str">
        <f>MID(PAA[[#This Row],[Meta Proyecto de Inversión]],6,1)</f>
        <v>9</v>
      </c>
      <c r="U652" s="174" t="str">
        <f>IFERROR(VLOOKUP(N652,TD!$B$50:$F$54,2,0)," ")</f>
        <v>O230117</v>
      </c>
      <c r="V652" s="174" t="str">
        <f>IFERROR(VLOOKUP(N652,TD!$B$50:$F$54,3,0)," ")</f>
        <v>4503</v>
      </c>
      <c r="W652" s="174">
        <f>IFERROR(VLOOKUP(N652,TD!$B$50:$F$54,4,0)," ")</f>
        <v>20240255</v>
      </c>
      <c r="X652" s="173" t="s">
        <v>172</v>
      </c>
      <c r="Y652" s="163" t="str">
        <f>IFERROR(VLOOKUP(X652,TD!$J$51:$K$64,2,0)," ")</f>
        <v>Servicio de formación en gestión del riesgo de incendios para el personal UAECOB</v>
      </c>
      <c r="Z652" s="175" t="str">
        <f t="shared" ref="Z652:Z715" si="40">CONCATENATE(X652,"-",Y652)</f>
        <v>07-Servicio de formación en gestión del riesgo de incendios para el personal UAECOB</v>
      </c>
      <c r="AA652" s="173" t="s">
        <v>222</v>
      </c>
      <c r="AB652" s="163" t="str">
        <f>IFERROR(VLOOKUP(AA652,TD!$N$51:$O$66,2,0)," ")</f>
        <v>Servicio de educación informal</v>
      </c>
      <c r="AC652" s="175" t="str">
        <f t="shared" ref="AC652:AC715" si="41">CONCATENATE(AA652,"_",AB652)</f>
        <v>002_Servicio de educación informal</v>
      </c>
      <c r="AD652" s="175" t="str">
        <f t="shared" ref="AD652:AD715" si="42">CONCATENATE(Z652," ",AC652)</f>
        <v>07-Servicio de formación en gestión del riesgo de incendios para el personal UAECOB 002_Servicio de educación informal</v>
      </c>
      <c r="AE652" s="174" t="str">
        <f t="shared" ref="AE652:AE683" si="43">CONCATENATE(U652,V652,W652,X652,AA652)</f>
        <v>O23011745032024025507002</v>
      </c>
      <c r="AF652" s="163" t="str">
        <f>IFERROR(VLOOKUP(AD652,TD!$J$66:$K$89,2,0)," ")</f>
        <v>PM/0131/0107/45030020255</v>
      </c>
      <c r="AG652" s="135" t="s">
        <v>385</v>
      </c>
      <c r="AH652" s="176" t="s">
        <v>193</v>
      </c>
      <c r="AI652" s="183" t="str">
        <f>CONCATENATE(PAA[[#This Row],[Id Interno]],"-",PAA[[#This Row],[tipo de Contrato (TH talento humano - B/S bienes y/o servicios)]],"-",S652,"-",T652,"-",PAA[[#This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53" spans="2:35" ht="70" x14ac:dyDescent="0.35">
      <c r="B653" s="142">
        <v>20260654</v>
      </c>
      <c r="C653" s="121" t="s">
        <v>969</v>
      </c>
      <c r="D653" s="130" t="s">
        <v>105</v>
      </c>
      <c r="E653" s="130" t="s">
        <v>363</v>
      </c>
      <c r="F653" s="130" t="s">
        <v>144</v>
      </c>
      <c r="G653" s="131" t="s">
        <v>373</v>
      </c>
      <c r="H653" s="137">
        <v>6</v>
      </c>
      <c r="I653" s="137">
        <v>0</v>
      </c>
      <c r="J653" s="132">
        <v>45000000</v>
      </c>
      <c r="K653" s="133" t="s">
        <v>398</v>
      </c>
      <c r="L653" s="172" t="s">
        <v>154</v>
      </c>
      <c r="M653" s="173" t="s">
        <v>448</v>
      </c>
      <c r="N653" s="130" t="s">
        <v>198</v>
      </c>
      <c r="O653" s="173" t="s">
        <v>926</v>
      </c>
      <c r="P653" s="173" t="s">
        <v>348</v>
      </c>
      <c r="Q653" s="134">
        <v>80111600</v>
      </c>
      <c r="R653" s="173" t="s">
        <v>218</v>
      </c>
      <c r="S653" s="173" t="str">
        <f>MID(PAA[[#This Row],[Meta Proyecto de Inversión]],1,4)</f>
        <v>8173</v>
      </c>
      <c r="T653" s="173" t="str">
        <f>MID(PAA[[#This Row],[Meta Proyecto de Inversión]],6,1)</f>
        <v>9</v>
      </c>
      <c r="U653" s="174" t="str">
        <f>IFERROR(VLOOKUP(N653,TD!$B$50:$F$54,2,0)," ")</f>
        <v>O230117</v>
      </c>
      <c r="V653" s="174" t="str">
        <f>IFERROR(VLOOKUP(N653,TD!$B$50:$F$54,3,0)," ")</f>
        <v>4503</v>
      </c>
      <c r="W653" s="174">
        <f>IFERROR(VLOOKUP(N653,TD!$B$50:$F$54,4,0)," ")</f>
        <v>20240255</v>
      </c>
      <c r="X653" s="173" t="s">
        <v>172</v>
      </c>
      <c r="Y653" s="163" t="str">
        <f>IFERROR(VLOOKUP(X653,TD!$J$51:$K$64,2,0)," ")</f>
        <v>Servicio de formación en gestión del riesgo de incendios para el personal UAECOB</v>
      </c>
      <c r="Z653" s="175" t="str">
        <f t="shared" si="40"/>
        <v>07-Servicio de formación en gestión del riesgo de incendios para el personal UAECOB</v>
      </c>
      <c r="AA653" s="173" t="s">
        <v>222</v>
      </c>
      <c r="AB653" s="163" t="str">
        <f>IFERROR(VLOOKUP(AA653,TD!$N$51:$O$66,2,0)," ")</f>
        <v>Servicio de educación informal</v>
      </c>
      <c r="AC653" s="175" t="str">
        <f t="shared" si="41"/>
        <v>002_Servicio de educación informal</v>
      </c>
      <c r="AD653" s="175" t="str">
        <f t="shared" si="42"/>
        <v>07-Servicio de formación en gestión del riesgo de incendios para el personal UAECOB 002_Servicio de educación informal</v>
      </c>
      <c r="AE653" s="174" t="str">
        <f t="shared" si="43"/>
        <v>O23011745032024025507002</v>
      </c>
      <c r="AF653" s="163" t="str">
        <f>IFERROR(VLOOKUP(AD653,TD!$J$66:$K$89,2,0)," ")</f>
        <v>PM/0131/0107/45030020255</v>
      </c>
      <c r="AG653" s="135" t="s">
        <v>385</v>
      </c>
      <c r="AH653" s="176" t="s">
        <v>193</v>
      </c>
      <c r="AI653" s="183" t="str">
        <f>CONCATENATE(PAA[[#This Row],[Id Interno]],"-",PAA[[#This Row],[tipo de Contrato (TH talento humano - B/S bienes y/o servicios)]],"-",S653,"-",T653,"-",PAA[[#This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54" spans="2:35" ht="70" x14ac:dyDescent="0.35">
      <c r="B654" s="142">
        <v>20260655</v>
      </c>
      <c r="C654" s="121" t="s">
        <v>801</v>
      </c>
      <c r="D654" s="130" t="s">
        <v>83</v>
      </c>
      <c r="E654" s="130" t="s">
        <v>402</v>
      </c>
      <c r="F654" s="130" t="s">
        <v>124</v>
      </c>
      <c r="G654" s="131" t="s">
        <v>375</v>
      </c>
      <c r="H654" s="137">
        <v>3</v>
      </c>
      <c r="I654" s="137">
        <v>0</v>
      </c>
      <c r="J654" s="132">
        <v>400000000</v>
      </c>
      <c r="K654" s="133" t="s">
        <v>398</v>
      </c>
      <c r="L654" s="172" t="s">
        <v>156</v>
      </c>
      <c r="M654" s="173" t="s">
        <v>496</v>
      </c>
      <c r="N654" s="130" t="s">
        <v>198</v>
      </c>
      <c r="O654" s="173" t="s">
        <v>926</v>
      </c>
      <c r="P654" s="173" t="s">
        <v>348</v>
      </c>
      <c r="Q654" s="134" t="s">
        <v>973</v>
      </c>
      <c r="R654" s="173" t="s">
        <v>210</v>
      </c>
      <c r="S654" s="173" t="str">
        <f>MID(PAA[[#This Row],[Meta Proyecto de Inversión]],1,4)</f>
        <v>8173</v>
      </c>
      <c r="T654" s="173" t="str">
        <f>MID(PAA[[#This Row],[Meta Proyecto de Inversión]],6,1)</f>
        <v>1</v>
      </c>
      <c r="U654" s="174" t="str">
        <f>IFERROR(VLOOKUP(N654,TD!$B$50:$F$54,2,0)," ")</f>
        <v>O230117</v>
      </c>
      <c r="V654" s="174" t="str">
        <f>IFERROR(VLOOKUP(N654,TD!$B$50:$F$54,3,0)," ")</f>
        <v>4503</v>
      </c>
      <c r="W654" s="174">
        <f>IFERROR(VLOOKUP(N654,TD!$B$50:$F$54,4,0)," ")</f>
        <v>20240255</v>
      </c>
      <c r="X654" s="173" t="s">
        <v>166</v>
      </c>
      <c r="Y654" s="163" t="str">
        <f>IFERROR(VLOOKUP(X654,TD!$J$51:$K$64,2,0)," ")</f>
        <v>Servicio de capacitaciones en gestión del riesgo de incendios  a la ciudadania.</v>
      </c>
      <c r="Z654" s="175" t="str">
        <f t="shared" si="40"/>
        <v>05-Servicio de capacitaciones en gestión del riesgo de incendios  a la ciudadania.</v>
      </c>
      <c r="AA654" s="173" t="s">
        <v>223</v>
      </c>
      <c r="AB654" s="163" t="str">
        <f>IFERROR(VLOOKUP(AA654,TD!$N$51:$O$66,2,0)," ")</f>
        <v>Servicio prevención y control de incendios</v>
      </c>
      <c r="AC654" s="175" t="str">
        <f t="shared" si="41"/>
        <v>035_Servicio prevención y control de incendios</v>
      </c>
      <c r="AD654" s="175" t="str">
        <f t="shared" si="42"/>
        <v>05-Servicio de capacitaciones en gestión del riesgo de incendios  a la ciudadania. 035_Servicio prevención y control de incendios</v>
      </c>
      <c r="AE654" s="174" t="str">
        <f t="shared" si="43"/>
        <v>O23011745032024025505035</v>
      </c>
      <c r="AF654" s="163" t="str">
        <f>IFERROR(VLOOKUP(AD654,TD!$J$66:$K$89,2,0)," ")</f>
        <v>PM/0131/0105/45030350255</v>
      </c>
      <c r="AG654" s="135" t="s">
        <v>900</v>
      </c>
      <c r="AH654" s="176" t="s">
        <v>193</v>
      </c>
      <c r="AI654" s="183" t="str">
        <f>CONCATENATE(PAA[[#This Row],[Id Interno]],"-",PAA[[#This Row],[tipo de Contrato (TH talento humano - B/S bienes y/o servicios)]],"-",S654,"-",T654,"-",PAA[[#This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655" spans="2:35" s="56" customFormat="1" ht="140" x14ac:dyDescent="0.35">
      <c r="B655" s="142">
        <v>20260656</v>
      </c>
      <c r="C655" s="121" t="s">
        <v>974</v>
      </c>
      <c r="D655" s="130" t="s">
        <v>114</v>
      </c>
      <c r="E655" s="130" t="s">
        <v>402</v>
      </c>
      <c r="F655" s="130" t="s">
        <v>89</v>
      </c>
      <c r="G655" s="131" t="s">
        <v>374</v>
      </c>
      <c r="H655" s="137">
        <v>3</v>
      </c>
      <c r="I655" s="137">
        <v>20</v>
      </c>
      <c r="J655" s="132">
        <v>52231036</v>
      </c>
      <c r="K655" s="133" t="s">
        <v>398</v>
      </c>
      <c r="L655" s="172" t="s">
        <v>155</v>
      </c>
      <c r="M655" s="173" t="s">
        <v>422</v>
      </c>
      <c r="N655" s="130" t="s">
        <v>330</v>
      </c>
      <c r="O655" s="173" t="s">
        <v>925</v>
      </c>
      <c r="P655" s="173" t="s">
        <v>161</v>
      </c>
      <c r="Q655" s="134" t="s">
        <v>768</v>
      </c>
      <c r="R655" s="173" t="s">
        <v>331</v>
      </c>
      <c r="S655" s="173" t="s">
        <v>975</v>
      </c>
      <c r="T655" s="173" t="str">
        <f>MID(PAA[[#This Row],[Meta Proyecto de Inversión]],6,1)</f>
        <v>l</v>
      </c>
      <c r="U655" s="174" t="str">
        <f>IFERROR(VLOOKUP(N655,TD!$B$50:$F$54,2,0)," ")</f>
        <v>NA</v>
      </c>
      <c r="V655" s="174" t="str">
        <f>IFERROR(VLOOKUP(N655,TD!$B$50:$F$54,3,0)," ")</f>
        <v>NA</v>
      </c>
      <c r="W655" s="174" t="str">
        <f>IFERROR(VLOOKUP(N655,TD!$B$50:$F$54,4,0)," ")</f>
        <v>NA</v>
      </c>
      <c r="X655" s="173" t="s">
        <v>335</v>
      </c>
      <c r="Y655" s="163" t="str">
        <f>IFERROR(VLOOKUP(X655,TD!$J$51:$K$64,2,0)," ")</f>
        <v>N/A</v>
      </c>
      <c r="Z655" s="175" t="str">
        <f t="shared" si="40"/>
        <v>N/A-N/A</v>
      </c>
      <c r="AA655" s="173" t="s">
        <v>335</v>
      </c>
      <c r="AB655" s="163" t="str">
        <f>IFERROR(VLOOKUP(AA655,TD!$N$51:$O$66,2,0)," ")</f>
        <v>N/A</v>
      </c>
      <c r="AC655" s="175" t="str">
        <f t="shared" si="41"/>
        <v>N/A_N/A</v>
      </c>
      <c r="AD655" s="175" t="str">
        <f t="shared" si="42"/>
        <v>N/A-N/A N/A_N/A</v>
      </c>
      <c r="AE655" s="174" t="str">
        <f t="shared" si="43"/>
        <v>NANANAN/AN/A</v>
      </c>
      <c r="AF655" s="163" t="str">
        <f>IFERROR(VLOOKUP(AD655,TD!$J$66:$K$89,2,0)," ")</f>
        <v>N/A</v>
      </c>
      <c r="AG655" s="135" t="s">
        <v>332</v>
      </c>
      <c r="AH655" s="176" t="s">
        <v>194</v>
      </c>
      <c r="AI655" s="183" t="str">
        <f>CONCATENATE(PAA[[#This Row],[Id Interno]],"-",PAA[[#This Row],[tipo de Contrato (TH talento humano - B/S bienes y/o servicios)]],"-",S655,"-",T655,"-",PAA[[#This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56" spans="2:35" ht="322" x14ac:dyDescent="0.35">
      <c r="B656" s="142">
        <v>20260657</v>
      </c>
      <c r="C656" s="121" t="s">
        <v>728</v>
      </c>
      <c r="D656" s="130" t="s">
        <v>88</v>
      </c>
      <c r="E656" s="130" t="s">
        <v>402</v>
      </c>
      <c r="F656" s="130" t="s">
        <v>111</v>
      </c>
      <c r="G656" s="131" t="s">
        <v>376</v>
      </c>
      <c r="H656" s="137">
        <v>10</v>
      </c>
      <c r="I656" s="137">
        <v>0</v>
      </c>
      <c r="J656" s="132">
        <v>431001000</v>
      </c>
      <c r="K656" s="133" t="s">
        <v>398</v>
      </c>
      <c r="L656" s="172" t="s">
        <v>155</v>
      </c>
      <c r="M656" s="173" t="s">
        <v>422</v>
      </c>
      <c r="N656" s="130" t="s">
        <v>198</v>
      </c>
      <c r="O656" s="173" t="s">
        <v>926</v>
      </c>
      <c r="P656" s="173" t="s">
        <v>348</v>
      </c>
      <c r="Q656" s="134" t="s">
        <v>1000</v>
      </c>
      <c r="R656" s="173" t="s">
        <v>351</v>
      </c>
      <c r="S656" s="173" t="str">
        <f>MID(PAA[[#This Row],[Meta Proyecto de Inversión]],1,4)</f>
        <v>8173</v>
      </c>
      <c r="T656" s="173" t="str">
        <f>MID(PAA[[#This Row],[Meta Proyecto de Inversión]],6,1)</f>
        <v>1</v>
      </c>
      <c r="U656" s="174" t="str">
        <f>IFERROR(VLOOKUP(N656,TD!$B$50:$F$54,2,0)," ")</f>
        <v>O230117</v>
      </c>
      <c r="V656" s="174" t="str">
        <f>IFERROR(VLOOKUP(N656,TD!$B$50:$F$54,3,0)," ")</f>
        <v>4503</v>
      </c>
      <c r="W656" s="174">
        <f>IFERROR(VLOOKUP(N656,TD!$B$50:$F$54,4,0)," ")</f>
        <v>20240255</v>
      </c>
      <c r="X656" s="162">
        <v>14</v>
      </c>
      <c r="Y656" s="163" t="str">
        <f>IFERROR(VLOOKUP(X656,TD!$J$51:$K$64,2,0)," ")</f>
        <v xml:space="preserve">Infraestructura física misional construida mantenida y dotada </v>
      </c>
      <c r="Z656" s="175" t="str">
        <f t="shared" si="40"/>
        <v xml:space="preserve">14-Infraestructura física misional construida mantenida y dotada </v>
      </c>
      <c r="AA656" s="162" t="s">
        <v>225</v>
      </c>
      <c r="AB656" s="163" t="str">
        <f>IFERROR(VLOOKUP(AA656,TD!$N$51:$O$66,2,0)," ")</f>
        <v>Estaciones de bomberos adecuadas</v>
      </c>
      <c r="AC656" s="175" t="str">
        <f t="shared" si="41"/>
        <v>014_Estaciones de bomberos adecuadas</v>
      </c>
      <c r="AD656" s="175" t="str">
        <f t="shared" si="42"/>
        <v>14-Infraestructura física misional construida mantenida y dotada  014_Estaciones de bomberos adecuadas</v>
      </c>
      <c r="AE656" s="174" t="str">
        <f t="shared" si="43"/>
        <v>O23011745032024025514014</v>
      </c>
      <c r="AF656" s="163" t="str">
        <f>IFERROR(VLOOKUP(AD656,TD!$J$66:$K$89,2,0)," ")</f>
        <v>PM/0131/0114/45030140255</v>
      </c>
      <c r="AG656" s="118" t="s">
        <v>904</v>
      </c>
      <c r="AH656" s="162" t="s">
        <v>193</v>
      </c>
      <c r="AI656" s="183" t="str">
        <f>CONCATENATE(PAA[[#This Row],[Id Interno]],"-",PAA[[#This Row],[tipo de Contrato (TH talento humano - B/S bienes y/o servicios)]],"-",S656,"-",T656,"-",PAA[[#This Row],[Objeto de la contratación]])</f>
        <v>20260657-BS-8173-1-Suministro de materiales, equipos y herramientas para el mejoramiento integral de las instalaciones para la Unidad Administrativa Especial Cuerpo Oficial de Bomberos Bogotá -SGC</v>
      </c>
    </row>
    <row r="657" spans="2:35" ht="56" x14ac:dyDescent="0.35">
      <c r="B657" s="142">
        <v>20260658</v>
      </c>
      <c r="C657" s="121" t="s">
        <v>976</v>
      </c>
      <c r="D657" s="130" t="s">
        <v>114</v>
      </c>
      <c r="E657" s="130" t="s">
        <v>402</v>
      </c>
      <c r="F657" s="130" t="s">
        <v>89</v>
      </c>
      <c r="G657" s="131" t="s">
        <v>377</v>
      </c>
      <c r="H657" s="137">
        <v>2</v>
      </c>
      <c r="I657" s="137">
        <v>0</v>
      </c>
      <c r="J657" s="132">
        <v>200000000</v>
      </c>
      <c r="K657" s="133" t="s">
        <v>398</v>
      </c>
      <c r="L657" s="172" t="s">
        <v>155</v>
      </c>
      <c r="M657" s="173" t="s">
        <v>422</v>
      </c>
      <c r="N657" s="130" t="s">
        <v>197</v>
      </c>
      <c r="O657" s="173" t="s">
        <v>925</v>
      </c>
      <c r="P657" s="173" t="s">
        <v>348</v>
      </c>
      <c r="Q657" s="134" t="s">
        <v>754</v>
      </c>
      <c r="R657" s="173" t="s">
        <v>207</v>
      </c>
      <c r="S657" s="173" t="str">
        <f>MID(PAA[[#This Row],[Meta Proyecto de Inversión]],1,4)</f>
        <v>8126</v>
      </c>
      <c r="T657" s="173" t="str">
        <f>MID(PAA[[#This Row],[Meta Proyecto de Inversión]],6,1)</f>
        <v>8</v>
      </c>
      <c r="U657" s="174" t="str">
        <f>IFERROR(VLOOKUP(N657,TD!$B$50:$F$54,2,0)," ")</f>
        <v>O230117</v>
      </c>
      <c r="V657" s="174" t="str">
        <f>IFERROR(VLOOKUP(N657,TD!$B$50:$F$54,3,0)," ")</f>
        <v>4599</v>
      </c>
      <c r="W657" s="174">
        <f>IFERROR(VLOOKUP(N657,TD!$B$50:$F$54,4,0)," ")</f>
        <v>20240207</v>
      </c>
      <c r="X657" s="173" t="s">
        <v>174</v>
      </c>
      <c r="Y657" s="163" t="str">
        <f>IFERROR(VLOOKUP(X657,TD!$J$51:$K$64,2,0)," ")</f>
        <v>Infraestructura física, mantenimiento y dotación (Sedes construidas, mantenidas reforzadas)</v>
      </c>
      <c r="Z657" s="175" t="str">
        <f t="shared" si="40"/>
        <v>08-Infraestructura física, mantenimiento y dotación (Sedes construidas, mantenidas reforzadas)</v>
      </c>
      <c r="AA657" s="173" t="s">
        <v>227</v>
      </c>
      <c r="AB657" s="163" t="str">
        <f>IFERROR(VLOOKUP(AA657,TD!$N$51:$O$66,2,0)," ")</f>
        <v>Sedes mantenidas</v>
      </c>
      <c r="AC657" s="175" t="str">
        <f t="shared" si="41"/>
        <v>016_Sedes mantenidas</v>
      </c>
      <c r="AD657" s="175" t="str">
        <f t="shared" si="42"/>
        <v>08-Infraestructura física, mantenimiento y dotación (Sedes construidas, mantenidas reforzadas) 016_Sedes mantenidas</v>
      </c>
      <c r="AE657" s="174" t="str">
        <f t="shared" si="43"/>
        <v>O23011745992024020708016</v>
      </c>
      <c r="AF657" s="163" t="str">
        <f>IFERROR(VLOOKUP(AD657,TD!$J$66:$K$89,2,0)," ")</f>
        <v>PM/0131/0108/45990160207</v>
      </c>
      <c r="AG657" s="135" t="s">
        <v>134</v>
      </c>
      <c r="AH657" s="176" t="s">
        <v>194</v>
      </c>
      <c r="AI657" s="183" t="str">
        <f>CONCATENATE(PAA[[#This Row],[Id Interno]],"-",PAA[[#This Row],[tipo de Contrato (TH talento humano - B/S bienes y/o servicios)]],"-",S657,"-",T657,"-",PAA[[#This Row],[Objeto de la contratación]])</f>
        <v>20260658-BS-8126-8-Adición y prórroga No. 1 al contrato que tiene como objeto " Contratar la prestación del servicio de aseo y cafetería incluido insumos para la UAE Cuerpo Oficial de Bomberos -SGC</v>
      </c>
    </row>
    <row r="658" spans="2:35" ht="70" x14ac:dyDescent="0.35">
      <c r="B658" s="142">
        <v>20260659</v>
      </c>
      <c r="C658" s="121" t="s">
        <v>979</v>
      </c>
      <c r="D658" s="130" t="s">
        <v>119</v>
      </c>
      <c r="E658" s="130" t="s">
        <v>402</v>
      </c>
      <c r="F658" s="130" t="s">
        <v>128</v>
      </c>
      <c r="G658" s="131" t="s">
        <v>375</v>
      </c>
      <c r="H658" s="137">
        <v>6</v>
      </c>
      <c r="I658" s="137">
        <v>0</v>
      </c>
      <c r="J658" s="132">
        <v>51000000</v>
      </c>
      <c r="K658" s="133" t="s">
        <v>398</v>
      </c>
      <c r="L658" s="172" t="s">
        <v>154</v>
      </c>
      <c r="M658" s="173" t="s">
        <v>448</v>
      </c>
      <c r="N658" s="130" t="s">
        <v>330</v>
      </c>
      <c r="O658" s="173" t="s">
        <v>925</v>
      </c>
      <c r="P658" s="173" t="s">
        <v>161</v>
      </c>
      <c r="Q658" s="134" t="s">
        <v>335</v>
      </c>
      <c r="R658" s="173" t="s">
        <v>331</v>
      </c>
      <c r="S658" s="173" t="str">
        <f>MID(PAA[[#This Row],[Meta Proyecto de Inversión]],1,4)</f>
        <v>No a</v>
      </c>
      <c r="T658" s="173" t="str">
        <f>MID(PAA[[#This Row],[Meta Proyecto de Inversión]],6,1)</f>
        <v>l</v>
      </c>
      <c r="U658" s="174" t="str">
        <f>IFERROR(VLOOKUP(N658,TD!$B$50:$F$54,2,0)," ")</f>
        <v>NA</v>
      </c>
      <c r="V658" s="174" t="str">
        <f>IFERROR(VLOOKUP(N658,TD!$B$50:$F$54,3,0)," ")</f>
        <v>NA</v>
      </c>
      <c r="W658" s="174" t="str">
        <f>IFERROR(VLOOKUP(N658,TD!$B$50:$F$54,4,0)," ")</f>
        <v>NA</v>
      </c>
      <c r="X658" s="173" t="s">
        <v>335</v>
      </c>
      <c r="Y658" s="163" t="str">
        <f>IFERROR(VLOOKUP(X658,TD!$J$51:$K$64,2,0)," ")</f>
        <v>N/A</v>
      </c>
      <c r="Z658" s="175" t="str">
        <f t="shared" si="40"/>
        <v>N/A-N/A</v>
      </c>
      <c r="AA658" s="173" t="s">
        <v>335</v>
      </c>
      <c r="AB658" s="163" t="str">
        <f>IFERROR(VLOOKUP(AA658,TD!$N$51:$O$66,2,0)," ")</f>
        <v>N/A</v>
      </c>
      <c r="AC658" s="175" t="str">
        <f t="shared" si="41"/>
        <v>N/A_N/A</v>
      </c>
      <c r="AD658" s="175" t="str">
        <f t="shared" si="42"/>
        <v>N/A-N/A N/A_N/A</v>
      </c>
      <c r="AE658" s="174" t="str">
        <f t="shared" si="43"/>
        <v>NANANAN/AN/A</v>
      </c>
      <c r="AF658" s="163" t="str">
        <f>IFERROR(VLOOKUP(AD658,TD!$J$66:$K$89,2,0)," ")</f>
        <v>N/A</v>
      </c>
      <c r="AG658" s="135" t="s">
        <v>332</v>
      </c>
      <c r="AH658" s="176" t="s">
        <v>193</v>
      </c>
      <c r="AI658" s="183" t="str">
        <f>CONCATENATE(PAA[[#This Row],[Id Interno]],"-",PAA[[#This Row],[tipo de Contrato (TH talento humano - B/S bienes y/o servicios)]],"-",S658,"-",T658,"-",PAA[[#This Row],[Objeto de la contratación]])</f>
        <v>20260659-BS-No a-l-SGH - Utilización lista de elegibles CNSC para provisión de vacantes</v>
      </c>
    </row>
    <row r="659" spans="2:35" ht="112" x14ac:dyDescent="0.35">
      <c r="B659" s="142">
        <v>20260660</v>
      </c>
      <c r="C659" s="121" t="s">
        <v>980</v>
      </c>
      <c r="D659" s="130" t="s">
        <v>105</v>
      </c>
      <c r="E659" s="130" t="s">
        <v>363</v>
      </c>
      <c r="F659" s="130" t="s">
        <v>144</v>
      </c>
      <c r="G659" s="131" t="s">
        <v>376</v>
      </c>
      <c r="H659" s="137">
        <v>1</v>
      </c>
      <c r="I659" s="137">
        <v>15</v>
      </c>
      <c r="J659" s="132">
        <v>10500000</v>
      </c>
      <c r="K659" s="133" t="s">
        <v>398</v>
      </c>
      <c r="L659" s="172" t="s">
        <v>154</v>
      </c>
      <c r="M659" s="173" t="s">
        <v>448</v>
      </c>
      <c r="N659" s="130" t="s">
        <v>198</v>
      </c>
      <c r="O659" s="173" t="s">
        <v>926</v>
      </c>
      <c r="P659" s="173" t="s">
        <v>348</v>
      </c>
      <c r="Q659" s="134">
        <v>80111600</v>
      </c>
      <c r="R659" s="173" t="s">
        <v>218</v>
      </c>
      <c r="S659" s="173" t="str">
        <f>MID(PAA[[#This Row],[Meta Proyecto de Inversión]],1,4)</f>
        <v>8173</v>
      </c>
      <c r="T659" s="173" t="str">
        <f>MID(PAA[[#This Row],[Meta Proyecto de Inversión]],6,1)</f>
        <v>9</v>
      </c>
      <c r="U659" s="174" t="str">
        <f>IFERROR(VLOOKUP(N659,TD!$B$50:$F$54,2,0)," ")</f>
        <v>O230117</v>
      </c>
      <c r="V659" s="174" t="str">
        <f>IFERROR(VLOOKUP(N659,TD!$B$50:$F$54,3,0)," ")</f>
        <v>4503</v>
      </c>
      <c r="W659" s="174">
        <f>IFERROR(VLOOKUP(N659,TD!$B$50:$F$54,4,0)," ")</f>
        <v>20240255</v>
      </c>
      <c r="X659" s="173" t="s">
        <v>172</v>
      </c>
      <c r="Y659" s="163" t="str">
        <f>IFERROR(VLOOKUP(X659,TD!$J$51:$K$64,2,0)," ")</f>
        <v>Servicio de formación en gestión del riesgo de incendios para el personal UAECOB</v>
      </c>
      <c r="Z659" s="175" t="str">
        <f t="shared" si="40"/>
        <v>07-Servicio de formación en gestión del riesgo de incendios para el personal UAECOB</v>
      </c>
      <c r="AA659" s="173" t="s">
        <v>222</v>
      </c>
      <c r="AB659" s="163" t="str">
        <f>IFERROR(VLOOKUP(AA659,TD!$N$51:$O$66,2,0)," ")</f>
        <v>Servicio de educación informal</v>
      </c>
      <c r="AC659" s="175" t="str">
        <f t="shared" si="41"/>
        <v>002_Servicio de educación informal</v>
      </c>
      <c r="AD659" s="175" t="str">
        <f t="shared" si="42"/>
        <v>07-Servicio de formación en gestión del riesgo de incendios para el personal UAECOB 002_Servicio de educación informal</v>
      </c>
      <c r="AE659" s="174" t="str">
        <f t="shared" si="43"/>
        <v>O23011745032024025507002</v>
      </c>
      <c r="AF659" s="163" t="str">
        <f>IFERROR(VLOOKUP(AD659,TD!$J$66:$K$89,2,0)," ")</f>
        <v>PM/0131/0107/45030020255</v>
      </c>
      <c r="AG659" s="135" t="s">
        <v>385</v>
      </c>
      <c r="AH659" s="176" t="s">
        <v>194</v>
      </c>
      <c r="AI659" s="183" t="str">
        <f>CONCATENATE(PAA[[#This Row],[Id Interno]],"-",PAA[[#This Row],[tipo de Contrato (TH talento humano - B/S bienes y/o servicios)]],"-",S659,"-",T659,"-",PAA[[#This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660" spans="2:35" ht="56" x14ac:dyDescent="0.35">
      <c r="B660" s="142">
        <v>20260662</v>
      </c>
      <c r="C660" s="121" t="s">
        <v>982</v>
      </c>
      <c r="D660" s="130" t="s">
        <v>88</v>
      </c>
      <c r="E660" s="130" t="s">
        <v>402</v>
      </c>
      <c r="F660" s="130" t="s">
        <v>101</v>
      </c>
      <c r="G660" s="131" t="s">
        <v>379</v>
      </c>
      <c r="H660" s="137">
        <v>3</v>
      </c>
      <c r="I660" s="137">
        <v>0</v>
      </c>
      <c r="J660" s="132">
        <v>54274124</v>
      </c>
      <c r="K660" s="133" t="s">
        <v>398</v>
      </c>
      <c r="L660" s="172" t="s">
        <v>158</v>
      </c>
      <c r="M660" s="173" t="s">
        <v>421</v>
      </c>
      <c r="N660" s="130" t="s">
        <v>330</v>
      </c>
      <c r="O660" s="173" t="s">
        <v>925</v>
      </c>
      <c r="P660" s="173" t="s">
        <v>161</v>
      </c>
      <c r="Q660" s="134">
        <v>53102710</v>
      </c>
      <c r="R660" s="173" t="s">
        <v>331</v>
      </c>
      <c r="S660" s="173" t="str">
        <f>MID(PAA[[#This Row],[Meta Proyecto de Inversión]],1,4)</f>
        <v>No a</v>
      </c>
      <c r="T660" s="173" t="str">
        <f>MID(PAA[[#This Row],[Meta Proyecto de Inversión]],6,1)</f>
        <v>l</v>
      </c>
      <c r="U660" s="174" t="str">
        <f>IFERROR(VLOOKUP(N660,TD!$B$50:$F$54,2,0)," ")</f>
        <v>NA</v>
      </c>
      <c r="V660" s="174" t="str">
        <f>IFERROR(VLOOKUP(N660,TD!$B$50:$F$54,3,0)," ")</f>
        <v>NA</v>
      </c>
      <c r="W660" s="174" t="str">
        <f>IFERROR(VLOOKUP(N660,TD!$B$50:$F$54,4,0)," ")</f>
        <v>NA</v>
      </c>
      <c r="X660" s="173" t="s">
        <v>335</v>
      </c>
      <c r="Y660" s="163" t="str">
        <f>IFERROR(VLOOKUP(X660,TD!$J$51:$K$64,2,0)," ")</f>
        <v>N/A</v>
      </c>
      <c r="Z660" s="175" t="str">
        <f t="shared" si="40"/>
        <v>N/A-N/A</v>
      </c>
      <c r="AA660" s="173" t="s">
        <v>335</v>
      </c>
      <c r="AB660" s="163" t="str">
        <f>IFERROR(VLOOKUP(AA660,TD!$N$51:$O$66,2,0)," ")</f>
        <v>N/A</v>
      </c>
      <c r="AC660" s="175" t="str">
        <f t="shared" si="41"/>
        <v>N/A_N/A</v>
      </c>
      <c r="AD660" s="175" t="str">
        <f t="shared" si="42"/>
        <v>N/A-N/A N/A_N/A</v>
      </c>
      <c r="AE660" s="174" t="str">
        <f t="shared" si="43"/>
        <v>NANANAN/AN/A</v>
      </c>
      <c r="AF660" s="163" t="str">
        <f>IFERROR(VLOOKUP(AD660,TD!$J$66:$K$89,2,0)," ")</f>
        <v>N/A</v>
      </c>
      <c r="AG660" s="135" t="s">
        <v>349</v>
      </c>
      <c r="AH660" s="176" t="s">
        <v>194</v>
      </c>
      <c r="AI660" s="183" t="str">
        <f>CONCATENATE(PAA[[#This Row],[Id Interno]],"-",PAA[[#This Row],[tipo de Contrato (TH talento humano - B/S bienes y/o servicios)]],"-",S660,"-",T660,"-",PAA[[#This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661" spans="2:35" ht="70" x14ac:dyDescent="0.35">
      <c r="B661" s="142">
        <v>20260663</v>
      </c>
      <c r="C661" s="121" t="s">
        <v>984</v>
      </c>
      <c r="D661" s="130" t="s">
        <v>105</v>
      </c>
      <c r="E661" s="130" t="s">
        <v>363</v>
      </c>
      <c r="F661" s="130" t="s">
        <v>145</v>
      </c>
      <c r="G661" s="131" t="s">
        <v>375</v>
      </c>
      <c r="H661" s="137">
        <v>1.5</v>
      </c>
      <c r="I661" s="137">
        <v>0</v>
      </c>
      <c r="J661" s="132">
        <v>5100000</v>
      </c>
      <c r="K661" s="133" t="s">
        <v>398</v>
      </c>
      <c r="L661" s="172" t="s">
        <v>153</v>
      </c>
      <c r="M661" s="173" t="s">
        <v>420</v>
      </c>
      <c r="N661" s="130" t="s">
        <v>197</v>
      </c>
      <c r="O661" s="173" t="s">
        <v>925</v>
      </c>
      <c r="P661" s="173" t="s">
        <v>348</v>
      </c>
      <c r="Q661" s="134">
        <v>80111600</v>
      </c>
      <c r="R661" s="173" t="s">
        <v>208</v>
      </c>
      <c r="S661" s="173" t="str">
        <f>MID(PAA[[#This Row],[Meta Proyecto de Inversión]],1,4)</f>
        <v>8126</v>
      </c>
      <c r="T661" s="173" t="str">
        <f>MID(PAA[[#This Row],[Meta Proyecto de Inversión]],6,1)</f>
        <v>9</v>
      </c>
      <c r="U661" s="174" t="str">
        <f>IFERROR(VLOOKUP(N661,TD!$B$50:$F$54,2,0)," ")</f>
        <v>O230117</v>
      </c>
      <c r="V661" s="174" t="str">
        <f>IFERROR(VLOOKUP(N661,TD!$B$50:$F$54,3,0)," ")</f>
        <v>4599</v>
      </c>
      <c r="W661" s="174">
        <f>IFERROR(VLOOKUP(N661,TD!$B$50:$F$54,4,0)," ")</f>
        <v>20240207</v>
      </c>
      <c r="X661" s="173" t="s">
        <v>174</v>
      </c>
      <c r="Y661" s="163" t="str">
        <f>IFERROR(VLOOKUP(X661,TD!$J$51:$K$64,2,0)," ")</f>
        <v>Infraestructura física, mantenimiento y dotación (Sedes construidas, mantenidas reforzadas)</v>
      </c>
      <c r="Z661" s="175" t="str">
        <f t="shared" si="40"/>
        <v>08-Infraestructura física, mantenimiento y dotación (Sedes construidas, mantenidas reforzadas)</v>
      </c>
      <c r="AA661" s="173" t="s">
        <v>227</v>
      </c>
      <c r="AB661" s="163" t="str">
        <f>IFERROR(VLOOKUP(AA661,TD!$N$51:$O$66,2,0)," ")</f>
        <v>Sedes mantenidas</v>
      </c>
      <c r="AC661" s="175" t="str">
        <f t="shared" si="41"/>
        <v>016_Sedes mantenidas</v>
      </c>
      <c r="AD661" s="175" t="str">
        <f t="shared" si="42"/>
        <v>08-Infraestructura física, mantenimiento y dotación (Sedes construidas, mantenidas reforzadas) 016_Sedes mantenidas</v>
      </c>
      <c r="AE661" s="174" t="str">
        <f t="shared" si="43"/>
        <v>O23011745992024020708016</v>
      </c>
      <c r="AF661" s="163" t="str">
        <f>IFERROR(VLOOKUP(AD661,TD!$J$66:$K$89,2,0)," ")</f>
        <v>PM/0131/0108/45990160207</v>
      </c>
      <c r="AG661" s="135" t="s">
        <v>385</v>
      </c>
      <c r="AH661" s="176" t="s">
        <v>194</v>
      </c>
      <c r="AI661" s="183" t="str">
        <f>CONCATENATE(PAA[[#This Row],[Id Interno]],"-",PAA[[#This Row],[tipo de Contrato (TH talento humano - B/S bienes y/o servicios)]],"-",S661,"-",T661,"-",PAA[[#This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662" spans="2:35" ht="56" x14ac:dyDescent="0.35">
      <c r="B662" s="142">
        <v>20260664</v>
      </c>
      <c r="C662" s="121" t="s">
        <v>985</v>
      </c>
      <c r="D662" s="130" t="s">
        <v>105</v>
      </c>
      <c r="E662" s="130" t="s">
        <v>363</v>
      </c>
      <c r="F662" s="130" t="s">
        <v>144</v>
      </c>
      <c r="G662" s="131" t="s">
        <v>375</v>
      </c>
      <c r="H662" s="137">
        <v>1.5</v>
      </c>
      <c r="I662" s="137">
        <v>0</v>
      </c>
      <c r="J662" s="132">
        <v>16500000</v>
      </c>
      <c r="K662" s="133" t="s">
        <v>398</v>
      </c>
      <c r="L662" s="172" t="s">
        <v>153</v>
      </c>
      <c r="M662" s="173" t="s">
        <v>420</v>
      </c>
      <c r="N662" s="130" t="s">
        <v>197</v>
      </c>
      <c r="O662" s="173" t="s">
        <v>925</v>
      </c>
      <c r="P662" s="173" t="s">
        <v>348</v>
      </c>
      <c r="Q662" s="134">
        <v>80111600</v>
      </c>
      <c r="R662" s="173" t="s">
        <v>208</v>
      </c>
      <c r="S662" s="173" t="str">
        <f>MID(PAA[[#This Row],[Meta Proyecto de Inversión]],1,4)</f>
        <v>8126</v>
      </c>
      <c r="T662" s="173" t="str">
        <f>MID(PAA[[#This Row],[Meta Proyecto de Inversión]],6,1)</f>
        <v>9</v>
      </c>
      <c r="U662" s="174" t="str">
        <f>IFERROR(VLOOKUP(N662,TD!$B$50:$F$54,2,0)," ")</f>
        <v>O230117</v>
      </c>
      <c r="V662" s="174" t="str">
        <f>IFERROR(VLOOKUP(N662,TD!$B$50:$F$54,3,0)," ")</f>
        <v>4599</v>
      </c>
      <c r="W662" s="174">
        <f>IFERROR(VLOOKUP(N662,TD!$B$50:$F$54,4,0)," ")</f>
        <v>20240207</v>
      </c>
      <c r="X662" s="173" t="s">
        <v>174</v>
      </c>
      <c r="Y662" s="163" t="str">
        <f>IFERROR(VLOOKUP(X662,TD!$J$51:$K$64,2,0)," ")</f>
        <v>Infraestructura física, mantenimiento y dotación (Sedes construidas, mantenidas reforzadas)</v>
      </c>
      <c r="Z662" s="175" t="str">
        <f t="shared" si="40"/>
        <v>08-Infraestructura física, mantenimiento y dotación (Sedes construidas, mantenidas reforzadas)</v>
      </c>
      <c r="AA662" s="173" t="s">
        <v>227</v>
      </c>
      <c r="AB662" s="163" t="str">
        <f>IFERROR(VLOOKUP(AA662,TD!$N$51:$O$66,2,0)," ")</f>
        <v>Sedes mantenidas</v>
      </c>
      <c r="AC662" s="175" t="str">
        <f t="shared" si="41"/>
        <v>016_Sedes mantenidas</v>
      </c>
      <c r="AD662" s="175" t="str">
        <f t="shared" si="42"/>
        <v>08-Infraestructura física, mantenimiento y dotación (Sedes construidas, mantenidas reforzadas) 016_Sedes mantenidas</v>
      </c>
      <c r="AE662" s="174" t="str">
        <f t="shared" si="43"/>
        <v>O23011745992024020708016</v>
      </c>
      <c r="AF662" s="163" t="str">
        <f>IFERROR(VLOOKUP(AD662,TD!$J$66:$K$89,2,0)," ")</f>
        <v>PM/0131/0108/45990160207</v>
      </c>
      <c r="AG662" s="135" t="s">
        <v>385</v>
      </c>
      <c r="AH662" s="176" t="s">
        <v>194</v>
      </c>
      <c r="AI662" s="183" t="str">
        <f>CONCATENATE(PAA[[#This Row],[Id Interno]],"-",PAA[[#This Row],[tipo de Contrato (TH talento humano - B/S bienes y/o servicios)]],"-",S662,"-",T662,"-",PAA[[#This Row],[Objeto de la contratación]])</f>
        <v>20260664-TH-8126-9-Adición y prórroga al contrato 702 de 2025 cuyo objeto es: "Prestar los servicios profesionales jurídicos especializados para apoyar el desarrollo de las funciones de la Oficina Jurídica"</v>
      </c>
    </row>
    <row r="663" spans="2:35" ht="70" x14ac:dyDescent="0.35">
      <c r="B663" s="142">
        <v>20260665</v>
      </c>
      <c r="C663" s="121" t="s">
        <v>993</v>
      </c>
      <c r="D663" s="130" t="s">
        <v>105</v>
      </c>
      <c r="E663" s="130" t="s">
        <v>363</v>
      </c>
      <c r="F663" s="130" t="s">
        <v>144</v>
      </c>
      <c r="G663" s="131" t="s">
        <v>377</v>
      </c>
      <c r="H663" s="137">
        <v>2</v>
      </c>
      <c r="I663" s="137">
        <v>0</v>
      </c>
      <c r="J663" s="132">
        <v>6800000</v>
      </c>
      <c r="K663" s="133" t="s">
        <v>398</v>
      </c>
      <c r="L663" s="172" t="s">
        <v>153</v>
      </c>
      <c r="M663" s="173" t="s">
        <v>420</v>
      </c>
      <c r="N663" s="130" t="s">
        <v>197</v>
      </c>
      <c r="O663" s="173" t="s">
        <v>925</v>
      </c>
      <c r="P663" s="173" t="s">
        <v>348</v>
      </c>
      <c r="Q663" s="134">
        <v>80111600</v>
      </c>
      <c r="R663" s="173" t="s">
        <v>208</v>
      </c>
      <c r="S663" s="173" t="str">
        <f>MID(PAA[[#This Row],[Meta Proyecto de Inversión]],1,4)</f>
        <v>8126</v>
      </c>
      <c r="T663" s="173" t="str">
        <f>MID(PAA[[#This Row],[Meta Proyecto de Inversión]],6,1)</f>
        <v>9</v>
      </c>
      <c r="U663" s="174" t="str">
        <f>IFERROR(VLOOKUP(N663,TD!$B$50:$F$54,2,0)," ")</f>
        <v>O230117</v>
      </c>
      <c r="V663" s="174" t="str">
        <f>IFERROR(VLOOKUP(N663,TD!$B$50:$F$54,3,0)," ")</f>
        <v>4599</v>
      </c>
      <c r="W663" s="174">
        <f>IFERROR(VLOOKUP(N663,TD!$B$50:$F$54,4,0)," ")</f>
        <v>20240207</v>
      </c>
      <c r="X663" s="173" t="s">
        <v>174</v>
      </c>
      <c r="Y663" s="163" t="str">
        <f>IFERROR(VLOOKUP(X663,TD!$J$51:$K$64,2,0)," ")</f>
        <v>Infraestructura física, mantenimiento y dotación (Sedes construidas, mantenidas reforzadas)</v>
      </c>
      <c r="Z663" s="175" t="str">
        <f t="shared" si="40"/>
        <v>08-Infraestructura física, mantenimiento y dotación (Sedes construidas, mantenidas reforzadas)</v>
      </c>
      <c r="AA663" s="173" t="s">
        <v>227</v>
      </c>
      <c r="AB663" s="163" t="str">
        <f>IFERROR(VLOOKUP(AA663,TD!$N$51:$O$66,2,0)," ")</f>
        <v>Sedes mantenidas</v>
      </c>
      <c r="AC663" s="175" t="str">
        <f t="shared" si="41"/>
        <v>016_Sedes mantenidas</v>
      </c>
      <c r="AD663" s="175" t="str">
        <f t="shared" si="42"/>
        <v>08-Infraestructura física, mantenimiento y dotación (Sedes construidas, mantenidas reforzadas) 016_Sedes mantenidas</v>
      </c>
      <c r="AE663" s="174" t="str">
        <f t="shared" si="43"/>
        <v>O23011745992024020708016</v>
      </c>
      <c r="AF663" s="163" t="str">
        <f>IFERROR(VLOOKUP(AD663,TD!$J$66:$K$89,2,0)," ")</f>
        <v>PM/0131/0108/45990160207</v>
      </c>
      <c r="AG663" s="135" t="s">
        <v>385</v>
      </c>
      <c r="AH663" s="176" t="s">
        <v>194</v>
      </c>
      <c r="AI663" s="183" t="str">
        <f>CONCATENATE(PAA[[#This Row],[Id Interno]],"-",PAA[[#This Row],[tipo de Contrato (TH talento humano - B/S bienes y/o servicios)]],"-",S663,"-",T663,"-",PAA[[#This Row],[Objeto de la contratación]])</f>
        <v>20260665-TH-8126-9-Adición y prórroga al contrato 730 de 2025 cuyo objeto es: "Prestar el servicio de apoyo técnico y operativo a la gestión de los procesos disciplinarios en la etapa de juzgamiento, mediante la ejecución de tareas administrativas, logísticas y de soporte documental en la Oficina Jurídica"</v>
      </c>
    </row>
    <row r="664" spans="2:35" ht="84" x14ac:dyDescent="0.35">
      <c r="B664" s="142">
        <v>20260666</v>
      </c>
      <c r="C664" s="121" t="s">
        <v>994</v>
      </c>
      <c r="D664" s="130" t="s">
        <v>105</v>
      </c>
      <c r="E664" s="130" t="s">
        <v>363</v>
      </c>
      <c r="F664" s="130" t="s">
        <v>145</v>
      </c>
      <c r="G664" s="131" t="s">
        <v>376</v>
      </c>
      <c r="H664" s="137">
        <v>2</v>
      </c>
      <c r="I664" s="137">
        <v>0</v>
      </c>
      <c r="J664" s="132">
        <v>12400000</v>
      </c>
      <c r="K664" s="133" t="s">
        <v>398</v>
      </c>
      <c r="L664" s="172" t="s">
        <v>153</v>
      </c>
      <c r="M664" s="173" t="s">
        <v>420</v>
      </c>
      <c r="N664" s="130" t="s">
        <v>197</v>
      </c>
      <c r="O664" s="173" t="s">
        <v>925</v>
      </c>
      <c r="P664" s="173" t="s">
        <v>348</v>
      </c>
      <c r="Q664" s="134">
        <v>80111600</v>
      </c>
      <c r="R664" s="173" t="s">
        <v>208</v>
      </c>
      <c r="S664" s="173" t="str">
        <f>MID(PAA[[#This Row],[Meta Proyecto de Inversión]],1,4)</f>
        <v>8126</v>
      </c>
      <c r="T664" s="173" t="str">
        <f>MID(PAA[[#This Row],[Meta Proyecto de Inversión]],6,1)</f>
        <v>9</v>
      </c>
      <c r="U664" s="174" t="str">
        <f>IFERROR(VLOOKUP(N664,TD!$B$50:$F$54,2,0)," ")</f>
        <v>O230117</v>
      </c>
      <c r="V664" s="174" t="str">
        <f>IFERROR(VLOOKUP(N664,TD!$B$50:$F$54,3,0)," ")</f>
        <v>4599</v>
      </c>
      <c r="W664" s="174">
        <f>IFERROR(VLOOKUP(N664,TD!$B$50:$F$54,4,0)," ")</f>
        <v>20240207</v>
      </c>
      <c r="X664" s="173" t="s">
        <v>174</v>
      </c>
      <c r="Y664" s="163" t="str">
        <f>IFERROR(VLOOKUP(X664,TD!$J$51:$K$64,2,0)," ")</f>
        <v>Infraestructura física, mantenimiento y dotación (Sedes construidas, mantenidas reforzadas)</v>
      </c>
      <c r="Z664" s="175" t="str">
        <f t="shared" si="40"/>
        <v>08-Infraestructura física, mantenimiento y dotación (Sedes construidas, mantenidas reforzadas)</v>
      </c>
      <c r="AA664" s="173" t="s">
        <v>227</v>
      </c>
      <c r="AB664" s="163" t="str">
        <f>IFERROR(VLOOKUP(AA664,TD!$N$51:$O$66,2,0)," ")</f>
        <v>Sedes mantenidas</v>
      </c>
      <c r="AC664" s="175" t="str">
        <f t="shared" si="41"/>
        <v>016_Sedes mantenidas</v>
      </c>
      <c r="AD664" s="175" t="str">
        <f t="shared" si="42"/>
        <v>08-Infraestructura física, mantenimiento y dotación (Sedes construidas, mantenidas reforzadas) 016_Sedes mantenidas</v>
      </c>
      <c r="AE664" s="174" t="str">
        <f t="shared" si="43"/>
        <v>O23011745992024020708016</v>
      </c>
      <c r="AF664" s="163" t="str">
        <f>IFERROR(VLOOKUP(AD664,TD!$J$66:$K$89,2,0)," ")</f>
        <v>PM/0131/0108/45990160207</v>
      </c>
      <c r="AG664" s="135" t="s">
        <v>385</v>
      </c>
      <c r="AH664" s="176" t="s">
        <v>193</v>
      </c>
      <c r="AI664" s="183" t="str">
        <f>CONCATENATE(PAA[[#This Row],[Id Interno]],"-",PAA[[#This Row],[tipo de Contrato (TH talento humano - B/S bienes y/o servicios)]],"-",S664,"-",T664,"-",PAA[[#This Row],[Objeto de la contratación]])</f>
        <v>20260666-TH-8126-9-Adición y prórroga al contrato 689 de 2025 cuyo objeto es: "Prestar los servicios profesionales para apoyar las actividades propias de la gestión contractual a cargo de la Oficina Jurídica, en función de las necesidades identificadas por la entidad y con el propósito de garantizar el cumplimiento de su misionalidad."</v>
      </c>
    </row>
    <row r="665" spans="2:35" ht="42" x14ac:dyDescent="0.35">
      <c r="B665" s="153">
        <v>20260667</v>
      </c>
      <c r="C665" s="121" t="s">
        <v>986</v>
      </c>
      <c r="D665" s="121" t="s">
        <v>105</v>
      </c>
      <c r="E665" s="121" t="s">
        <v>402</v>
      </c>
      <c r="F665" s="121" t="s">
        <v>143</v>
      </c>
      <c r="G665" s="131" t="s">
        <v>376</v>
      </c>
      <c r="H665" s="154">
        <v>2</v>
      </c>
      <c r="I665" s="154">
        <v>26</v>
      </c>
      <c r="J665" s="135">
        <v>60000000</v>
      </c>
      <c r="K665" s="155" t="s">
        <v>398</v>
      </c>
      <c r="L665" s="177" t="s">
        <v>151</v>
      </c>
      <c r="M665" s="178" t="s">
        <v>401</v>
      </c>
      <c r="N665" s="121" t="s">
        <v>330</v>
      </c>
      <c r="O665" s="178" t="s">
        <v>925</v>
      </c>
      <c r="P665" s="178" t="s">
        <v>348</v>
      </c>
      <c r="Q665" s="156">
        <v>80111600</v>
      </c>
      <c r="R665" s="178" t="s">
        <v>331</v>
      </c>
      <c r="S665" s="173" t="str">
        <f>MID(PAA[[#This Row],[Meta Proyecto de Inversión]],1,4)</f>
        <v>No a</v>
      </c>
      <c r="T665" s="173" t="str">
        <f>MID(PAA[[#This Row],[Meta Proyecto de Inversión]],6,1)</f>
        <v>l</v>
      </c>
      <c r="U665" s="179" t="str">
        <f>IFERROR(VLOOKUP(N665,TD!$B$50:$F$54,2,0)," ")</f>
        <v>NA</v>
      </c>
      <c r="V665" s="179" t="str">
        <f>IFERROR(VLOOKUP(N665,TD!$B$50:$F$54,3,0)," ")</f>
        <v>NA</v>
      </c>
      <c r="W665" s="179" t="str">
        <f>IFERROR(VLOOKUP(N665,TD!$B$50:$F$54,4,0)," ")</f>
        <v>NA</v>
      </c>
      <c r="X665" s="178" t="s">
        <v>335</v>
      </c>
      <c r="Y665" s="168" t="str">
        <f>IFERROR(VLOOKUP(X665,TD!$J$51:$K$64,2,0)," ")</f>
        <v>N/A</v>
      </c>
      <c r="Z665" s="175" t="str">
        <f t="shared" si="40"/>
        <v>N/A-N/A</v>
      </c>
      <c r="AA665" s="178" t="s">
        <v>335</v>
      </c>
      <c r="AB665" s="168" t="str">
        <f>IFERROR(VLOOKUP(AA665,TD!$N$51:$O$66,2,0)," ")</f>
        <v>N/A</v>
      </c>
      <c r="AC665" s="175" t="str">
        <f t="shared" si="41"/>
        <v>N/A_N/A</v>
      </c>
      <c r="AD665" s="175" t="str">
        <f t="shared" si="42"/>
        <v>N/A-N/A N/A_N/A</v>
      </c>
      <c r="AE665" s="179" t="str">
        <f t="shared" si="43"/>
        <v>NANANAN/AN/A</v>
      </c>
      <c r="AF665" s="168" t="str">
        <f>IFERROR(VLOOKUP(AD665,TD!$J$66:$K$89,2,0)," ")</f>
        <v>N/A</v>
      </c>
      <c r="AG665" s="135" t="s">
        <v>332</v>
      </c>
      <c r="AH665" s="182" t="s">
        <v>194</v>
      </c>
      <c r="AI665" s="183" t="str">
        <f>CONCATENATE(PAA[[#This Row],[Id Interno]],"-",PAA[[#This Row],[tipo de Contrato (TH talento humano - B/S bienes y/o servicios)]],"-",S665,"-",T665,"-",PAA[[#This Row],[Objeto de la contratación]])</f>
        <v>20260667-BS-No a-l-Adición y prórroga al Contrato No. 363-2025 cuyo objeto es: Contratar los servicios de canales de datos dedicados para la UAE Cuerpo Oficial de Bomberos de Bogotá – TIC</v>
      </c>
    </row>
    <row r="666" spans="2:35" ht="168" x14ac:dyDescent="0.35">
      <c r="B666" s="153">
        <v>20260668</v>
      </c>
      <c r="C666" s="121" t="s">
        <v>987</v>
      </c>
      <c r="D666" s="121" t="s">
        <v>78</v>
      </c>
      <c r="E666" s="121" t="s">
        <v>402</v>
      </c>
      <c r="F666" s="121" t="s">
        <v>101</v>
      </c>
      <c r="G666" s="131" t="s">
        <v>375</v>
      </c>
      <c r="H666" s="154">
        <v>12</v>
      </c>
      <c r="I666" s="154">
        <v>0</v>
      </c>
      <c r="J666" s="135">
        <v>1166406235</v>
      </c>
      <c r="K666" s="155" t="s">
        <v>398</v>
      </c>
      <c r="L666" s="177" t="s">
        <v>151</v>
      </c>
      <c r="M666" s="178" t="s">
        <v>401</v>
      </c>
      <c r="N666" s="121" t="s">
        <v>197</v>
      </c>
      <c r="O666" s="178" t="s">
        <v>925</v>
      </c>
      <c r="P666" s="178" t="s">
        <v>348</v>
      </c>
      <c r="Q666" s="156" t="s">
        <v>988</v>
      </c>
      <c r="R666" s="178" t="s">
        <v>206</v>
      </c>
      <c r="S666" s="173" t="str">
        <f>MID(PAA[[#This Row],[Meta Proyecto de Inversión]],1,4)</f>
        <v>8126</v>
      </c>
      <c r="T666" s="173" t="str">
        <f>MID(PAA[[#This Row],[Meta Proyecto de Inversión]],6,1)</f>
        <v>7</v>
      </c>
      <c r="U666" s="179" t="str">
        <f>IFERROR(VLOOKUP(N666,TD!$B$50:$F$54,2,0)," ")</f>
        <v>O230117</v>
      </c>
      <c r="V666" s="179" t="str">
        <f>IFERROR(VLOOKUP(N666,TD!$B$50:$F$54,3,0)," ")</f>
        <v>4599</v>
      </c>
      <c r="W666" s="179">
        <f>IFERROR(VLOOKUP(N666,TD!$B$50:$F$54,4,0)," ")</f>
        <v>20240207</v>
      </c>
      <c r="X666" s="178" t="s">
        <v>168</v>
      </c>
      <c r="Y666" s="168" t="str">
        <f>IFERROR(VLOOKUP(X666,TD!$J$51:$K$64,2,0)," ")</f>
        <v>Infraestructura Tecnológica   (Sistemas de Información y Tecnologia)</v>
      </c>
      <c r="Z666" s="175" t="str">
        <f t="shared" si="40"/>
        <v>11-Infraestructura Tecnológica   (Sistemas de Información y Tecnologia)</v>
      </c>
      <c r="AA666" s="178" t="s">
        <v>228</v>
      </c>
      <c r="AB666" s="168" t="str">
        <f>IFERROR(VLOOKUP(AA666,TD!$N$51:$O$66,2,0)," ")</f>
        <v>Servicios tecnológicos</v>
      </c>
      <c r="AC666" s="175" t="str">
        <f t="shared" si="41"/>
        <v>007_Servicios tecnológicos</v>
      </c>
      <c r="AD666" s="175" t="str">
        <f t="shared" si="42"/>
        <v>11-Infraestructura Tecnológica   (Sistemas de Información y Tecnologia) 007_Servicios tecnológicos</v>
      </c>
      <c r="AE666" s="179" t="str">
        <f t="shared" si="43"/>
        <v>O23011745992024020711007</v>
      </c>
      <c r="AF666" s="168" t="str">
        <f>IFERROR(VLOOKUP(AD666,TD!$J$66:$K$89,2,0)," ")</f>
        <v>PM/0131/0111/45990070207</v>
      </c>
      <c r="AG666" s="135" t="s">
        <v>116</v>
      </c>
      <c r="AH666" s="182" t="s">
        <v>193</v>
      </c>
      <c r="AI666" s="183" t="str">
        <f>CONCATENATE(PAA[[#This Row],[Id Interno]],"-",PAA[[#This Row],[tipo de Contrato (TH talento humano - B/S bienes y/o servicios)]],"-",S666,"-",T666,"-",PAA[[#This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667" spans="2:35" ht="70" x14ac:dyDescent="0.35">
      <c r="B667" s="142">
        <v>20260669</v>
      </c>
      <c r="C667" s="121" t="s">
        <v>989</v>
      </c>
      <c r="D667" s="130" t="s">
        <v>119</v>
      </c>
      <c r="E667" s="130" t="s">
        <v>402</v>
      </c>
      <c r="F667" s="130" t="s">
        <v>89</v>
      </c>
      <c r="G667" s="131" t="s">
        <v>375</v>
      </c>
      <c r="H667" s="137">
        <v>1</v>
      </c>
      <c r="I667" s="137">
        <v>0</v>
      </c>
      <c r="J667" s="132">
        <v>3212500</v>
      </c>
      <c r="K667" s="133" t="s">
        <v>398</v>
      </c>
      <c r="L667" s="172" t="s">
        <v>151</v>
      </c>
      <c r="M667" s="173" t="s">
        <v>401</v>
      </c>
      <c r="N667" s="130" t="s">
        <v>197</v>
      </c>
      <c r="O667" s="173" t="s">
        <v>925</v>
      </c>
      <c r="P667" s="173" t="s">
        <v>162</v>
      </c>
      <c r="Q667" s="134" t="s">
        <v>335</v>
      </c>
      <c r="R667" s="173" t="s">
        <v>204</v>
      </c>
      <c r="S667" s="173" t="str">
        <f>MID(PAA[[#This Row],[Meta Proyecto de Inversión]],1,4)</f>
        <v>8126</v>
      </c>
      <c r="T667" s="173" t="str">
        <f>MID(PAA[[#This Row],[Meta Proyecto de Inversión]],6,1)</f>
        <v>5</v>
      </c>
      <c r="U667" s="174" t="str">
        <f>IFERROR(VLOOKUP(N667,TD!$B$50:$F$54,2,0)," ")</f>
        <v>O230117</v>
      </c>
      <c r="V667" s="174" t="str">
        <f>IFERROR(VLOOKUP(N667,TD!$B$50:$F$54,3,0)," ")</f>
        <v>4599</v>
      </c>
      <c r="W667" s="174">
        <f>IFERROR(VLOOKUP(N667,TD!$B$50:$F$54,4,0)," ")</f>
        <v>20240207</v>
      </c>
      <c r="X667" s="173" t="s">
        <v>168</v>
      </c>
      <c r="Y667" s="163" t="str">
        <f>IFERROR(VLOOKUP(X667,TD!$J$51:$K$64,2,0)," ")</f>
        <v>Infraestructura Tecnológica   (Sistemas de Información y Tecnologia)</v>
      </c>
      <c r="Z667" s="175" t="str">
        <f t="shared" si="40"/>
        <v>11-Infraestructura Tecnológica   (Sistemas de Información y Tecnologia)</v>
      </c>
      <c r="AA667" s="173" t="s">
        <v>228</v>
      </c>
      <c r="AB667" s="163" t="str">
        <f>IFERROR(VLOOKUP(AA667,TD!$N$51:$O$66,2,0)," ")</f>
        <v>Servicios tecnológicos</v>
      </c>
      <c r="AC667" s="175" t="str">
        <f t="shared" si="41"/>
        <v>007_Servicios tecnológicos</v>
      </c>
      <c r="AD667" s="175" t="str">
        <f t="shared" si="42"/>
        <v>11-Infraestructura Tecnológica   (Sistemas de Información y Tecnologia) 007_Servicios tecnológicos</v>
      </c>
      <c r="AE667" s="174" t="str">
        <f t="shared" si="43"/>
        <v>O23011745992024020711007</v>
      </c>
      <c r="AF667" s="163" t="str">
        <f>IFERROR(VLOOKUP(AD667,TD!$J$66:$K$89,2,0)," ")</f>
        <v>PM/0131/0111/45990070207</v>
      </c>
      <c r="AG667" s="135" t="s">
        <v>385</v>
      </c>
      <c r="AH667" s="176" t="s">
        <v>194</v>
      </c>
      <c r="AI667" s="183" t="str">
        <f>CONCATENATE(PAA[[#This Row],[Id Interno]],"-",PAA[[#This Row],[tipo de Contrato (TH talento humano - B/S bienes y/o servicios)]],"-",S667,"-",T667,"-",PAA[[#This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668" spans="2:35" ht="84" x14ac:dyDescent="0.35">
      <c r="B668" s="153">
        <v>20260670</v>
      </c>
      <c r="C668" s="121" t="s">
        <v>995</v>
      </c>
      <c r="D668" s="121" t="s">
        <v>88</v>
      </c>
      <c r="E668" s="121" t="s">
        <v>402</v>
      </c>
      <c r="F668" s="121" t="s">
        <v>101</v>
      </c>
      <c r="G668" s="131" t="s">
        <v>375</v>
      </c>
      <c r="H668" s="154">
        <v>0</v>
      </c>
      <c r="I668" s="154">
        <v>0</v>
      </c>
      <c r="J668" s="135">
        <v>1000000</v>
      </c>
      <c r="K668" s="155" t="s">
        <v>398</v>
      </c>
      <c r="L668" s="177" t="s">
        <v>155</v>
      </c>
      <c r="M668" s="178" t="s">
        <v>422</v>
      </c>
      <c r="N668" s="121" t="s">
        <v>198</v>
      </c>
      <c r="O668" s="178" t="s">
        <v>926</v>
      </c>
      <c r="P668" s="178" t="s">
        <v>348</v>
      </c>
      <c r="Q668" s="156" t="s">
        <v>996</v>
      </c>
      <c r="R668" s="178" t="s">
        <v>351</v>
      </c>
      <c r="S668" s="173" t="str">
        <f>MID(PAA[[#This Row],[Meta Proyecto de Inversión]],1,4)</f>
        <v>8173</v>
      </c>
      <c r="T668" s="173" t="str">
        <f>MID(PAA[[#This Row],[Meta Proyecto de Inversión]],6,1)</f>
        <v>1</v>
      </c>
      <c r="U668" s="179" t="str">
        <f>IFERROR(VLOOKUP(N668,TD!$B$50:$F$54,2,0)," ")</f>
        <v>O230117</v>
      </c>
      <c r="V668" s="179" t="str">
        <f>IFERROR(VLOOKUP(N668,TD!$B$50:$F$54,3,0)," ")</f>
        <v>4503</v>
      </c>
      <c r="W668" s="179">
        <f>IFERROR(VLOOKUP(N668,TD!$B$50:$F$54,4,0)," ")</f>
        <v>20240255</v>
      </c>
      <c r="X668" s="178">
        <v>14</v>
      </c>
      <c r="Y668" s="168" t="str">
        <f>IFERROR(VLOOKUP(X668,TD!$J$51:$K$64,2,0)," ")</f>
        <v xml:space="preserve">Infraestructura física misional construida mantenida y dotada </v>
      </c>
      <c r="Z668" s="175" t="str">
        <f t="shared" si="40"/>
        <v xml:space="preserve">14-Infraestructura física misional construida mantenida y dotada </v>
      </c>
      <c r="AA668" s="178" t="s">
        <v>225</v>
      </c>
      <c r="AB668" s="168" t="str">
        <f>IFERROR(VLOOKUP(AA668,TD!$N$51:$O$66,2,0)," ")</f>
        <v>Estaciones de bomberos adecuadas</v>
      </c>
      <c r="AC668" s="175" t="str">
        <f t="shared" si="41"/>
        <v>014_Estaciones de bomberos adecuadas</v>
      </c>
      <c r="AD668" s="175" t="str">
        <f t="shared" si="42"/>
        <v>14-Infraestructura física misional construida mantenida y dotada  014_Estaciones de bomberos adecuadas</v>
      </c>
      <c r="AE668" s="179" t="str">
        <f t="shared" si="43"/>
        <v>O23011745032024025514014</v>
      </c>
      <c r="AF668" s="168" t="str">
        <f>IFERROR(VLOOKUP(AD668,TD!$J$66:$K$89,2,0)," ")</f>
        <v>PM/0131/0114/45030140255</v>
      </c>
      <c r="AG668" s="135" t="s">
        <v>80</v>
      </c>
      <c r="AH668" s="182" t="s">
        <v>194</v>
      </c>
      <c r="AI668" s="183" t="str">
        <f>CONCATENATE(PAA[[#This Row],[Id Interno]],"-",PAA[[#This Row],[tipo de Contrato (TH talento humano - B/S bienes y/o servicios)]],"-",S668,"-",T668,"-",PAA[[#This Row],[Objeto de la contratación]])</f>
        <v>20260670-BS-8173-1-Adición No. 1 al contrato 709 de 2025 que tiene como objeto “Adquisicion de equipos electrodomésticos para las instalaciones de la UAE Cuerpo Oficial de Bomberos- SGC"</v>
      </c>
    </row>
    <row r="669" spans="2:35" ht="56" x14ac:dyDescent="0.35">
      <c r="B669" s="142">
        <v>20260673</v>
      </c>
      <c r="C669" s="121" t="s">
        <v>1006</v>
      </c>
      <c r="D669" s="130" t="s">
        <v>114</v>
      </c>
      <c r="E669" s="130" t="s">
        <v>402</v>
      </c>
      <c r="F669" s="130" t="s">
        <v>79</v>
      </c>
      <c r="G669" s="131" t="s">
        <v>375</v>
      </c>
      <c r="H669" s="137">
        <v>3</v>
      </c>
      <c r="I669" s="137">
        <v>0</v>
      </c>
      <c r="J669" s="132">
        <v>13000000</v>
      </c>
      <c r="K669" s="133" t="s">
        <v>398</v>
      </c>
      <c r="L669" s="172" t="s">
        <v>156</v>
      </c>
      <c r="M669" s="173" t="s">
        <v>496</v>
      </c>
      <c r="N669" s="130" t="s">
        <v>198</v>
      </c>
      <c r="O669" s="173" t="s">
        <v>926</v>
      </c>
      <c r="P669" s="173" t="s">
        <v>348</v>
      </c>
      <c r="Q669" s="134" t="s">
        <v>1007</v>
      </c>
      <c r="R669" s="173" t="s">
        <v>210</v>
      </c>
      <c r="S669" s="173" t="str">
        <f>MID(PAA[[#This Row],[Meta Proyecto de Inversión]],1,4)</f>
        <v>8173</v>
      </c>
      <c r="T669" s="173" t="str">
        <f>MID(PAA[[#This Row],[Meta Proyecto de Inversión]],6,1)</f>
        <v>1</v>
      </c>
      <c r="U669" s="174" t="str">
        <f>IFERROR(VLOOKUP(N669,TD!$B$50:$F$54,2,0)," ")</f>
        <v>O230117</v>
      </c>
      <c r="V669" s="174" t="str">
        <f>IFERROR(VLOOKUP(N669,TD!$B$50:$F$54,3,0)," ")</f>
        <v>4503</v>
      </c>
      <c r="W669" s="174">
        <f>IFERROR(VLOOKUP(N669,TD!$B$50:$F$54,4,0)," ")</f>
        <v>20240255</v>
      </c>
      <c r="X669" s="173" t="s">
        <v>166</v>
      </c>
      <c r="Y669" s="163" t="str">
        <f>IFERROR(VLOOKUP(X669,TD!$J$51:$K$64,2,0)," ")</f>
        <v>Servicio de capacitaciones en gestión del riesgo de incendios  a la ciudadania.</v>
      </c>
      <c r="Z669" s="175" t="str">
        <f t="shared" si="40"/>
        <v>05-Servicio de capacitaciones en gestión del riesgo de incendios  a la ciudadania.</v>
      </c>
      <c r="AA669" s="173" t="s">
        <v>223</v>
      </c>
      <c r="AB669" s="163" t="str">
        <f>IFERROR(VLOOKUP(AA669,TD!$N$51:$O$66,2,0)," ")</f>
        <v>Servicio prevención y control de incendios</v>
      </c>
      <c r="AC669" s="175" t="str">
        <f t="shared" si="41"/>
        <v>035_Servicio prevención y control de incendios</v>
      </c>
      <c r="AD669" s="175" t="str">
        <f t="shared" si="42"/>
        <v>05-Servicio de capacitaciones en gestión del riesgo de incendios  a la ciudadania. 035_Servicio prevención y control de incendios</v>
      </c>
      <c r="AE669" s="174" t="str">
        <f t="shared" si="43"/>
        <v>O23011745032024025505035</v>
      </c>
      <c r="AF669" s="163" t="str">
        <f>IFERROR(VLOOKUP(AD669,TD!$J$66:$K$89,2,0)," ")</f>
        <v>PM/0131/0105/45030350255</v>
      </c>
      <c r="AG669" s="135" t="s">
        <v>901</v>
      </c>
      <c r="AH669" s="176" t="s">
        <v>194</v>
      </c>
      <c r="AI669" s="183" t="str">
        <f>CONCATENATE(PAA[[#This Row],[Id Interno]],"-",PAA[[#This Row],[tipo de Contrato (TH talento humano - B/S bienes y/o servicios)]],"-",S669,"-",T669,"-",PAA[[#This Row],[Objeto de la contratación]])</f>
        <v>20260673-BS-8173-1-Adquisición de elementos de apoyo didáctico y pedagógico para actividades, programas y campañas requeridas en la Subdirección de Gestión del Riesgo_SGR”</v>
      </c>
    </row>
    <row r="670" spans="2:35" ht="56" x14ac:dyDescent="0.35">
      <c r="B670" s="153">
        <v>20260674</v>
      </c>
      <c r="C670" s="121" t="s">
        <v>1011</v>
      </c>
      <c r="D670" s="121" t="s">
        <v>88</v>
      </c>
      <c r="E670" s="121" t="s">
        <v>402</v>
      </c>
      <c r="F670" s="121" t="s">
        <v>89</v>
      </c>
      <c r="G670" s="131" t="s">
        <v>376</v>
      </c>
      <c r="H670" s="154">
        <v>1</v>
      </c>
      <c r="I670" s="154">
        <v>0</v>
      </c>
      <c r="J670" s="135">
        <v>10570481</v>
      </c>
      <c r="K670" s="155" t="s">
        <v>398</v>
      </c>
      <c r="L670" s="177" t="s">
        <v>151</v>
      </c>
      <c r="M670" s="178" t="s">
        <v>401</v>
      </c>
      <c r="N670" s="121" t="s">
        <v>197</v>
      </c>
      <c r="O670" s="178" t="s">
        <v>925</v>
      </c>
      <c r="P670" s="178" t="s">
        <v>348</v>
      </c>
      <c r="Q670" s="156" t="s">
        <v>439</v>
      </c>
      <c r="R670" s="178" t="s">
        <v>203</v>
      </c>
      <c r="S670" s="173" t="str">
        <f>MID(PAA[[#This Row],[Meta Proyecto de Inversión]],1,4)</f>
        <v>8126</v>
      </c>
      <c r="T670" s="173" t="str">
        <f>MID(PAA[[#This Row],[Meta Proyecto de Inversión]],6,1)</f>
        <v>4</v>
      </c>
      <c r="U670" s="179" t="str">
        <f>IFERROR(VLOOKUP(N670,TD!$B$50:$F$54,2,0)," ")</f>
        <v>O230117</v>
      </c>
      <c r="V670" s="179" t="str">
        <f>IFERROR(VLOOKUP(N670,TD!$B$50:$F$54,3,0)," ")</f>
        <v>4599</v>
      </c>
      <c r="W670" s="179">
        <f>IFERROR(VLOOKUP(N670,TD!$B$50:$F$54,4,0)," ")</f>
        <v>20240207</v>
      </c>
      <c r="X670" s="178" t="s">
        <v>168</v>
      </c>
      <c r="Y670" s="168" t="str">
        <f>IFERROR(VLOOKUP(X670,TD!$J$51:$K$64,2,0)," ")</f>
        <v>Infraestructura Tecnológica   (Sistemas de Información y Tecnologia)</v>
      </c>
      <c r="Z670" s="175" t="str">
        <f t="shared" si="40"/>
        <v>11-Infraestructura Tecnológica   (Sistemas de Información y Tecnologia)</v>
      </c>
      <c r="AA670" s="178" t="s">
        <v>228</v>
      </c>
      <c r="AB670" s="168" t="str">
        <f>IFERROR(VLOOKUP(AA670,TD!$N$51:$O$66,2,0)," ")</f>
        <v>Servicios tecnológicos</v>
      </c>
      <c r="AC670" s="175" t="str">
        <f t="shared" si="41"/>
        <v>007_Servicios tecnológicos</v>
      </c>
      <c r="AD670" s="175" t="str">
        <f t="shared" si="42"/>
        <v>11-Infraestructura Tecnológica   (Sistemas de Información y Tecnologia) 007_Servicios tecnológicos</v>
      </c>
      <c r="AE670" s="179" t="str">
        <f t="shared" si="43"/>
        <v>O23011745992024020711007</v>
      </c>
      <c r="AF670" s="168" t="str">
        <f>IFERROR(VLOOKUP(AD670,TD!$J$66:$K$89,2,0)," ")</f>
        <v>PM/0131/0111/45990070207</v>
      </c>
      <c r="AG670" s="135" t="s">
        <v>116</v>
      </c>
      <c r="AH670" s="182" t="s">
        <v>194</v>
      </c>
      <c r="AI670" s="183" t="str">
        <f>CONCATENATE(PAA[[#This Row],[Id Interno]],"-",PAA[[#This Row],[tipo de Contrato (TH talento humano - B/S bienes y/o servicios)]],"-",S670,"-",T670,"-",PAA[[#This Row],[Objeto de la contratación]])</f>
        <v>20260674-BS-8126-4-Adición y prórroga 2 al contrato No. 411 de 2025 cuyo objeto es: "Contratar la prestación del servicio de monitoreo, control y seguimiento satelital a los vehículos de propiedad de la U.A.E. Cuerpo Oficial de Bomberos de Bogotá - TIC"</v>
      </c>
    </row>
    <row r="671" spans="2:35" ht="56" x14ac:dyDescent="0.35">
      <c r="B671" s="153">
        <v>20260679</v>
      </c>
      <c r="C671" s="121" t="s">
        <v>1017</v>
      </c>
      <c r="D671" s="121" t="s">
        <v>100</v>
      </c>
      <c r="E671" s="121" t="s">
        <v>402</v>
      </c>
      <c r="F671" s="121" t="s">
        <v>93</v>
      </c>
      <c r="G671" s="131" t="s">
        <v>377</v>
      </c>
      <c r="H671" s="154">
        <v>1</v>
      </c>
      <c r="I671" s="154">
        <v>0</v>
      </c>
      <c r="J671" s="135">
        <v>6000000</v>
      </c>
      <c r="K671" s="155" t="s">
        <v>398</v>
      </c>
      <c r="L671" s="177" t="s">
        <v>155</v>
      </c>
      <c r="M671" s="178" t="s">
        <v>422</v>
      </c>
      <c r="N671" s="121" t="s">
        <v>198</v>
      </c>
      <c r="O671" s="178" t="s">
        <v>926</v>
      </c>
      <c r="P671" s="178" t="s">
        <v>348</v>
      </c>
      <c r="Q671" s="156" t="s">
        <v>1018</v>
      </c>
      <c r="R671" s="178" t="s">
        <v>219</v>
      </c>
      <c r="S671" s="173" t="str">
        <f>MID(PAA[[#This Row],[Meta Proyecto de Inversión]],1,4)</f>
        <v>8173</v>
      </c>
      <c r="T671" s="173" t="str">
        <f>MID(PAA[[#This Row],[Meta Proyecto de Inversión]],6,1)</f>
        <v>1</v>
      </c>
      <c r="U671" s="179" t="str">
        <f>IFERROR(VLOOKUP(N671,TD!$B$50:$F$54,2,0)," ")</f>
        <v>O230117</v>
      </c>
      <c r="V671" s="179" t="str">
        <f>IFERROR(VLOOKUP(N671,TD!$B$50:$F$54,3,0)," ")</f>
        <v>4503</v>
      </c>
      <c r="W671" s="179">
        <f>IFERROR(VLOOKUP(N671,TD!$B$50:$F$54,4,0)," ")</f>
        <v>20240255</v>
      </c>
      <c r="X671" s="178" t="s">
        <v>174</v>
      </c>
      <c r="Y671" s="168" t="str">
        <f>IFERROR(VLOOKUP(X671,TD!$J$51:$K$64,2,0)," ")</f>
        <v>Infraestructura física, mantenimiento y dotación (Sedes construidas, mantenidas reforzadas)</v>
      </c>
      <c r="Z671" s="175" t="str">
        <f t="shared" si="40"/>
        <v>08-Infraestructura física, mantenimiento y dotación (Sedes construidas, mantenidas reforzadas)</v>
      </c>
      <c r="AA671" s="178" t="s">
        <v>282</v>
      </c>
      <c r="AB671" s="168" t="str">
        <f>IFERROR(VLOOKUP(AA671,TD!$N$51:$O$66,2,0)," ")</f>
        <v>Documentos de lineamientos técnicos</v>
      </c>
      <c r="AC671" s="175" t="str">
        <f t="shared" si="41"/>
        <v>031__Documentos de lineamientos técnicos</v>
      </c>
      <c r="AD671" s="175" t="str">
        <f t="shared" si="42"/>
        <v>08-Infraestructura física, mantenimiento y dotación (Sedes construidas, mantenidas reforzadas) 031__Documentos de lineamientos técnicos</v>
      </c>
      <c r="AE671" s="179" t="str">
        <f t="shared" si="43"/>
        <v>O23011745032024025508031_</v>
      </c>
      <c r="AF671" s="168" t="str">
        <f>IFERROR(VLOOKUP(AD671,TD!$J$66:$K$89,2,0)," ")</f>
        <v>PM/0131/0108/45030310255</v>
      </c>
      <c r="AG671" s="135" t="s">
        <v>94</v>
      </c>
      <c r="AH671" s="182" t="s">
        <v>194</v>
      </c>
      <c r="AI671" s="183" t="str">
        <f>CONCATENATE(PAA[[#This Row],[Id Interno]],"-",PAA[[#This Row],[tipo de Contrato (TH talento humano - B/S bienes y/o servicios)]],"-",S671,"-",T671,"-",PAA[[#This Row],[Objeto de la contratación]])</f>
        <v>20260679-BS-8173-1-Adición No. 1 al contrato 766 de 2024 que tiene como objeto “Elaboración de estudios y diseños técnicos para la construcción de la estación de bomberos de Ferias B-7 de la UAE Cuerpo Oficial de Bomberos de Bogotá – SGC"</v>
      </c>
    </row>
    <row r="672" spans="2:35" ht="42" x14ac:dyDescent="0.35">
      <c r="B672" s="153">
        <v>20260680</v>
      </c>
      <c r="C672" s="121" t="s">
        <v>733</v>
      </c>
      <c r="D672" s="121" t="s">
        <v>78</v>
      </c>
      <c r="E672" s="121" t="s">
        <v>402</v>
      </c>
      <c r="F672" s="121" t="s">
        <v>97</v>
      </c>
      <c r="G672" s="131" t="s">
        <v>379</v>
      </c>
      <c r="H672" s="154">
        <v>15</v>
      </c>
      <c r="I672" s="154">
        <v>0</v>
      </c>
      <c r="J672" s="135">
        <v>1860000000</v>
      </c>
      <c r="K672" s="155" t="s">
        <v>397</v>
      </c>
      <c r="L672" s="177" t="s">
        <v>155</v>
      </c>
      <c r="M672" s="178" t="s">
        <v>422</v>
      </c>
      <c r="N672" s="121" t="s">
        <v>198</v>
      </c>
      <c r="O672" s="178" t="s">
        <v>926</v>
      </c>
      <c r="P672" s="178" t="s">
        <v>551</v>
      </c>
      <c r="Q672" s="156" t="s">
        <v>751</v>
      </c>
      <c r="R672" s="178" t="s">
        <v>217</v>
      </c>
      <c r="S672" s="173" t="str">
        <f>MID(PAA[[#This Row],[Meta Proyecto de Inversión]],1,4)</f>
        <v>8173</v>
      </c>
      <c r="T672" s="173" t="str">
        <f>MID(PAA[[#This Row],[Meta Proyecto de Inversión]],6,1)</f>
        <v>8</v>
      </c>
      <c r="U672" s="179" t="str">
        <f>IFERROR(VLOOKUP(N672,TD!$B$50:$F$54,2,0)," ")</f>
        <v>O230117</v>
      </c>
      <c r="V672" s="179" t="str">
        <f>IFERROR(VLOOKUP(N672,TD!$B$50:$F$54,3,0)," ")</f>
        <v>4503</v>
      </c>
      <c r="W672" s="179">
        <f>IFERROR(VLOOKUP(N672,TD!$B$50:$F$54,4,0)," ")</f>
        <v>20240255</v>
      </c>
      <c r="X672" s="178">
        <v>14</v>
      </c>
      <c r="Y672" s="168" t="str">
        <f>IFERROR(VLOOKUP(X672,TD!$J$51:$K$64,2,0)," ")</f>
        <v xml:space="preserve">Infraestructura física misional construida mantenida y dotada </v>
      </c>
      <c r="Z672" s="175" t="str">
        <f t="shared" si="40"/>
        <v xml:space="preserve">14-Infraestructura física misional construida mantenida y dotada </v>
      </c>
      <c r="AA672" s="178" t="s">
        <v>226</v>
      </c>
      <c r="AB672" s="168" t="str">
        <f>IFERROR(VLOOKUP(AA672,TD!$N$51:$O$66,2,0)," ")</f>
        <v>Estaciones de bomberos construidas</v>
      </c>
      <c r="AC672" s="175" t="str">
        <f t="shared" si="41"/>
        <v>015_Estaciones de bomberos construidas</v>
      </c>
      <c r="AD672" s="175" t="str">
        <f t="shared" si="42"/>
        <v>14-Infraestructura física misional construida mantenida y dotada  015_Estaciones de bomberos construidas</v>
      </c>
      <c r="AE672" s="179" t="str">
        <f t="shared" si="43"/>
        <v>O23011745032024025514015</v>
      </c>
      <c r="AF672" s="168" t="str">
        <f>IFERROR(VLOOKUP(AD672,TD!$J$66:$K$89,2,0)," ")</f>
        <v>PM/0131/0114/45030150255</v>
      </c>
      <c r="AG672" s="135" t="s">
        <v>94</v>
      </c>
      <c r="AH672" s="182" t="s">
        <v>193</v>
      </c>
      <c r="AI672" s="183" t="str">
        <f>CONCATENATE(PAA[[#This Row],[Id Interno]],"-",PAA[[#This Row],[tipo de Contrato (TH talento humano - B/S bienes y/o servicios)]],"-",S672,"-",T672,"-",PAA[[#This Row],[Objeto de la contratación]])</f>
        <v>20260680-BS-8173-8-Construcción de la estación  Ferias  B-7  UAE Cuerpo Oficial de Bomberos de Bogotá – SGC</v>
      </c>
    </row>
    <row r="673" spans="2:35" ht="56" x14ac:dyDescent="0.35">
      <c r="B673" s="153">
        <v>20260681</v>
      </c>
      <c r="C673" s="121" t="s">
        <v>1019</v>
      </c>
      <c r="D673" s="121" t="s">
        <v>100</v>
      </c>
      <c r="E673" s="121" t="s">
        <v>402</v>
      </c>
      <c r="F673" s="121" t="s">
        <v>131</v>
      </c>
      <c r="G673" s="131" t="s">
        <v>379</v>
      </c>
      <c r="H673" s="154">
        <v>15</v>
      </c>
      <c r="I673" s="154">
        <v>0</v>
      </c>
      <c r="J673" s="135">
        <v>240000000</v>
      </c>
      <c r="K673" s="155" t="s">
        <v>397</v>
      </c>
      <c r="L673" s="177" t="s">
        <v>155</v>
      </c>
      <c r="M673" s="178" t="s">
        <v>422</v>
      </c>
      <c r="N673" s="121" t="s">
        <v>198</v>
      </c>
      <c r="O673" s="178" t="s">
        <v>926</v>
      </c>
      <c r="P673" s="178" t="s">
        <v>551</v>
      </c>
      <c r="Q673" s="156" t="s">
        <v>752</v>
      </c>
      <c r="R673" s="178" t="s">
        <v>217</v>
      </c>
      <c r="S673" s="173" t="str">
        <f>MID(PAA[[#This Row],[Meta Proyecto de Inversión]],1,4)</f>
        <v>8173</v>
      </c>
      <c r="T673" s="173" t="str">
        <f>MID(PAA[[#This Row],[Meta Proyecto de Inversión]],6,1)</f>
        <v>8</v>
      </c>
      <c r="U673" s="179" t="str">
        <f>IFERROR(VLOOKUP(N673,TD!$B$50:$F$54,2,0)," ")</f>
        <v>O230117</v>
      </c>
      <c r="V673" s="179" t="str">
        <f>IFERROR(VLOOKUP(N673,TD!$B$50:$F$54,3,0)," ")</f>
        <v>4503</v>
      </c>
      <c r="W673" s="179">
        <f>IFERROR(VLOOKUP(N673,TD!$B$50:$F$54,4,0)," ")</f>
        <v>20240255</v>
      </c>
      <c r="X673" s="178">
        <v>14</v>
      </c>
      <c r="Y673" s="168" t="str">
        <f>IFERROR(VLOOKUP(X673,TD!$J$51:$K$64,2,0)," ")</f>
        <v xml:space="preserve">Infraestructura física misional construida mantenida y dotada </v>
      </c>
      <c r="Z673" s="175" t="str">
        <f t="shared" si="40"/>
        <v xml:space="preserve">14-Infraestructura física misional construida mantenida y dotada </v>
      </c>
      <c r="AA673" s="178" t="s">
        <v>226</v>
      </c>
      <c r="AB673" s="168" t="str">
        <f>IFERROR(VLOOKUP(AA673,TD!$N$51:$O$66,2,0)," ")</f>
        <v>Estaciones de bomberos construidas</v>
      </c>
      <c r="AC673" s="175" t="str">
        <f t="shared" si="41"/>
        <v>015_Estaciones de bomberos construidas</v>
      </c>
      <c r="AD673" s="175" t="str">
        <f t="shared" si="42"/>
        <v>14-Infraestructura física misional construida mantenida y dotada  015_Estaciones de bomberos construidas</v>
      </c>
      <c r="AE673" s="179" t="str">
        <f t="shared" si="43"/>
        <v>O23011745032024025514015</v>
      </c>
      <c r="AF673" s="168" t="str">
        <f>IFERROR(VLOOKUP(AD673,TD!$J$66:$K$89,2,0)," ")</f>
        <v>PM/0131/0114/45030150255</v>
      </c>
      <c r="AG673" s="135" t="s">
        <v>94</v>
      </c>
      <c r="AH673" s="182" t="s">
        <v>193</v>
      </c>
      <c r="AI673" s="183" t="str">
        <f>CONCATENATE(PAA[[#This Row],[Id Interno]],"-",PAA[[#This Row],[tipo de Contrato (TH talento humano - B/S bienes y/o servicios)]],"-",S673,"-",T673,"-",PAA[[#This Row],[Objeto de la contratación]])</f>
        <v>20260681-BS-8173-8-Interventoría técnica, administrativa, financiera, contable, jurídica, ambiental  y de Seguridad y Salud en el Trabajo para la construcción de la estación de bomberos Ferias B7 UAE Cuerpo Oficial de Bomberos de Bogotá – SGC</v>
      </c>
    </row>
    <row r="674" spans="2:35" ht="42" x14ac:dyDescent="0.35">
      <c r="B674" s="153">
        <v>20260682</v>
      </c>
      <c r="C674" s="121" t="s">
        <v>1020</v>
      </c>
      <c r="D674" s="121" t="s">
        <v>78</v>
      </c>
      <c r="E674" s="121" t="s">
        <v>402</v>
      </c>
      <c r="F674" s="121" t="s">
        <v>97</v>
      </c>
      <c r="G674" s="131" t="s">
        <v>379</v>
      </c>
      <c r="H674" s="154">
        <v>10</v>
      </c>
      <c r="I674" s="154">
        <v>0</v>
      </c>
      <c r="J674" s="135">
        <v>1320000000</v>
      </c>
      <c r="K674" s="155" t="s">
        <v>397</v>
      </c>
      <c r="L674" s="177" t="s">
        <v>155</v>
      </c>
      <c r="M674" s="178" t="s">
        <v>422</v>
      </c>
      <c r="N674" s="121" t="s">
        <v>198</v>
      </c>
      <c r="O674" s="178" t="s">
        <v>926</v>
      </c>
      <c r="P674" s="178" t="s">
        <v>348</v>
      </c>
      <c r="Q674" s="156" t="s">
        <v>751</v>
      </c>
      <c r="R674" s="178" t="s">
        <v>216</v>
      </c>
      <c r="S674" s="173" t="str">
        <f>MID(PAA[[#This Row],[Meta Proyecto de Inversión]],1,4)</f>
        <v>8173</v>
      </c>
      <c r="T674" s="173" t="str">
        <f>MID(PAA[[#This Row],[Meta Proyecto de Inversión]],6,1)</f>
        <v>7</v>
      </c>
      <c r="U674" s="179" t="str">
        <f>IFERROR(VLOOKUP(N674,TD!$B$50:$F$54,2,0)," ")</f>
        <v>O230117</v>
      </c>
      <c r="V674" s="179" t="str">
        <f>IFERROR(VLOOKUP(N674,TD!$B$50:$F$54,3,0)," ")</f>
        <v>4503</v>
      </c>
      <c r="W674" s="179">
        <f>IFERROR(VLOOKUP(N674,TD!$B$50:$F$54,4,0)," ")</f>
        <v>20240255</v>
      </c>
      <c r="X674" s="178">
        <v>14</v>
      </c>
      <c r="Y674" s="168" t="str">
        <f>IFERROR(VLOOKUP(X674,TD!$J$51:$K$64,2,0)," ")</f>
        <v xml:space="preserve">Infraestructura física misional construida mantenida y dotada </v>
      </c>
      <c r="Z674" s="175" t="str">
        <f t="shared" si="40"/>
        <v xml:space="preserve">14-Infraestructura física misional construida mantenida y dotada </v>
      </c>
      <c r="AA674" s="178" t="s">
        <v>225</v>
      </c>
      <c r="AB674" s="168" t="str">
        <f>IFERROR(VLOOKUP(AA674,TD!$N$51:$O$66,2,0)," ")</f>
        <v>Estaciones de bomberos adecuadas</v>
      </c>
      <c r="AC674" s="175" t="str">
        <f t="shared" si="41"/>
        <v>014_Estaciones de bomberos adecuadas</v>
      </c>
      <c r="AD674" s="175" t="str">
        <f t="shared" si="42"/>
        <v>14-Infraestructura física misional construida mantenida y dotada  014_Estaciones de bomberos adecuadas</v>
      </c>
      <c r="AE674" s="179" t="str">
        <f t="shared" si="43"/>
        <v>O23011745032024025514014</v>
      </c>
      <c r="AF674" s="168" t="str">
        <f>IFERROR(VLOOKUP(AD674,TD!$J$66:$K$89,2,0)," ")</f>
        <v>PM/0131/0114/45030140255</v>
      </c>
      <c r="AG674" s="135" t="s">
        <v>94</v>
      </c>
      <c r="AH674" s="182" t="s">
        <v>193</v>
      </c>
      <c r="AI674" s="183" t="str">
        <f>CONCATENATE(PAA[[#This Row],[Id Interno]],"-",PAA[[#This Row],[tipo de Contrato (TH talento humano - B/S bienes y/o servicios)]],"-",S674,"-",T674,"-",PAA[[#This Row],[Objeto de la contratación]])</f>
        <v>20260682-BS-8173-7-Adecuación de la nueva estación de bomberos de la UAE Cuerpo Oficial de Bomberos de Bogotá – SGC</v>
      </c>
    </row>
    <row r="675" spans="2:35" ht="56" x14ac:dyDescent="0.35">
      <c r="B675" s="153">
        <v>20260683</v>
      </c>
      <c r="C675" s="121" t="s">
        <v>1021</v>
      </c>
      <c r="D675" s="121" t="s">
        <v>100</v>
      </c>
      <c r="E675" s="121" t="s">
        <v>402</v>
      </c>
      <c r="F675" s="121" t="s">
        <v>131</v>
      </c>
      <c r="G675" s="131" t="s">
        <v>379</v>
      </c>
      <c r="H675" s="154">
        <v>10</v>
      </c>
      <c r="I675" s="154">
        <v>0</v>
      </c>
      <c r="J675" s="135">
        <v>180000000</v>
      </c>
      <c r="K675" s="155" t="s">
        <v>397</v>
      </c>
      <c r="L675" s="177" t="s">
        <v>155</v>
      </c>
      <c r="M675" s="178" t="s">
        <v>422</v>
      </c>
      <c r="N675" s="121" t="s">
        <v>198</v>
      </c>
      <c r="O675" s="178" t="s">
        <v>926</v>
      </c>
      <c r="P675" s="178" t="s">
        <v>348</v>
      </c>
      <c r="Q675" s="156" t="s">
        <v>752</v>
      </c>
      <c r="R675" s="178" t="s">
        <v>216</v>
      </c>
      <c r="S675" s="173" t="str">
        <f>MID(PAA[[#This Row],[Meta Proyecto de Inversión]],1,4)</f>
        <v>8173</v>
      </c>
      <c r="T675" s="173" t="str">
        <f>MID(PAA[[#This Row],[Meta Proyecto de Inversión]],6,1)</f>
        <v>7</v>
      </c>
      <c r="U675" s="179" t="str">
        <f>IFERROR(VLOOKUP(N675,TD!$B$50:$F$54,2,0)," ")</f>
        <v>O230117</v>
      </c>
      <c r="V675" s="179" t="str">
        <f>IFERROR(VLOOKUP(N675,TD!$B$50:$F$54,3,0)," ")</f>
        <v>4503</v>
      </c>
      <c r="W675" s="179">
        <f>IFERROR(VLOOKUP(N675,TD!$B$50:$F$54,4,0)," ")</f>
        <v>20240255</v>
      </c>
      <c r="X675" s="178">
        <v>14</v>
      </c>
      <c r="Y675" s="168" t="str">
        <f>IFERROR(VLOOKUP(X675,TD!$J$51:$K$64,2,0)," ")</f>
        <v xml:space="preserve">Infraestructura física misional construida mantenida y dotada </v>
      </c>
      <c r="Z675" s="175" t="str">
        <f t="shared" si="40"/>
        <v xml:space="preserve">14-Infraestructura física misional construida mantenida y dotada </v>
      </c>
      <c r="AA675" s="178" t="s">
        <v>225</v>
      </c>
      <c r="AB675" s="168" t="str">
        <f>IFERROR(VLOOKUP(AA675,TD!$N$51:$O$66,2,0)," ")</f>
        <v>Estaciones de bomberos adecuadas</v>
      </c>
      <c r="AC675" s="175" t="str">
        <f t="shared" si="41"/>
        <v>014_Estaciones de bomberos adecuadas</v>
      </c>
      <c r="AD675" s="175" t="str">
        <f t="shared" si="42"/>
        <v>14-Infraestructura física misional construida mantenida y dotada  014_Estaciones de bomberos adecuadas</v>
      </c>
      <c r="AE675" s="179" t="str">
        <f t="shared" si="43"/>
        <v>O23011745032024025514014</v>
      </c>
      <c r="AF675" s="168" t="str">
        <f>IFERROR(VLOOKUP(AD675,TD!$J$66:$K$89,2,0)," ")</f>
        <v>PM/0131/0114/45030140255</v>
      </c>
      <c r="AG675" s="135" t="s">
        <v>94</v>
      </c>
      <c r="AH675" s="182" t="s">
        <v>193</v>
      </c>
      <c r="AI675" s="183" t="str">
        <f>CONCATENATE(PAA[[#This Row],[Id Interno]],"-",PAA[[#This Row],[tipo de Contrato (TH talento humano - B/S bienes y/o servicios)]],"-",S675,"-",T675,"-",PAA[[#This Row],[Objeto de la contratación]])</f>
        <v>20260683-BS-8173-7-Interventoría técnica, administrativa, financiera, contable, jurídica, ambiental  y de Seguridad y Salud en el Trabajo para la Adecuación de la Nueva Estación de bomberos de la UAE Cuerpo Oficial de Bomberos de Bogotá – SGC</v>
      </c>
    </row>
    <row r="676" spans="2:35" ht="62.5" customHeight="1" x14ac:dyDescent="0.35">
      <c r="B676" s="153">
        <v>20260685</v>
      </c>
      <c r="C676" s="121" t="s">
        <v>998</v>
      </c>
      <c r="D676" s="121" t="s">
        <v>100</v>
      </c>
      <c r="E676" s="121" t="s">
        <v>402</v>
      </c>
      <c r="F676" s="121" t="s">
        <v>131</v>
      </c>
      <c r="G676" s="131" t="s">
        <v>379</v>
      </c>
      <c r="H676" s="154">
        <v>10</v>
      </c>
      <c r="I676" s="154">
        <v>0</v>
      </c>
      <c r="J676" s="135">
        <v>117798000</v>
      </c>
      <c r="K676" s="155" t="s">
        <v>398</v>
      </c>
      <c r="L676" s="177" t="s">
        <v>155</v>
      </c>
      <c r="M676" s="178" t="s">
        <v>422</v>
      </c>
      <c r="N676" s="121" t="s">
        <v>198</v>
      </c>
      <c r="O676" s="178" t="s">
        <v>926</v>
      </c>
      <c r="P676" s="178" t="s">
        <v>348</v>
      </c>
      <c r="Q676" s="156" t="s">
        <v>752</v>
      </c>
      <c r="R676" s="178" t="s">
        <v>216</v>
      </c>
      <c r="S676" s="173" t="str">
        <f>MID(PAA[[#This Row],[Meta Proyecto de Inversión]],1,4)</f>
        <v>8173</v>
      </c>
      <c r="T676" s="173" t="str">
        <f>MID(PAA[[#This Row],[Meta Proyecto de Inversión]],6,1)</f>
        <v>7</v>
      </c>
      <c r="U676" s="179" t="str">
        <f>IFERROR(VLOOKUP(N676,TD!$B$50:$F$54,2,0)," ")</f>
        <v>O230117</v>
      </c>
      <c r="V676" s="179" t="str">
        <f>IFERROR(VLOOKUP(N676,TD!$B$50:$F$54,3,0)," ")</f>
        <v>4503</v>
      </c>
      <c r="W676" s="179">
        <f>IFERROR(VLOOKUP(N676,TD!$B$50:$F$54,4,0)," ")</f>
        <v>20240255</v>
      </c>
      <c r="X676" s="178">
        <v>14</v>
      </c>
      <c r="Y676" s="168" t="str">
        <f>IFERROR(VLOOKUP(X676,TD!$J$51:$K$64,2,0)," ")</f>
        <v xml:space="preserve">Infraestructura física misional construida mantenida y dotada </v>
      </c>
      <c r="Z676" s="175" t="str">
        <f t="shared" si="40"/>
        <v xml:space="preserve">14-Infraestructura física misional construida mantenida y dotada </v>
      </c>
      <c r="AA676" s="178" t="s">
        <v>225</v>
      </c>
      <c r="AB676" s="168" t="str">
        <f>IFERROR(VLOOKUP(AA676,TD!$N$51:$O$66,2,0)," ")</f>
        <v>Estaciones de bomberos adecuadas</v>
      </c>
      <c r="AC676" s="175" t="str">
        <f t="shared" si="41"/>
        <v>014_Estaciones de bomberos adecuadas</v>
      </c>
      <c r="AD676" s="175" t="str">
        <f t="shared" si="42"/>
        <v>14-Infraestructura física misional construida mantenida y dotada  014_Estaciones de bomberos adecuadas</v>
      </c>
      <c r="AE676" s="179" t="str">
        <f t="shared" si="43"/>
        <v>O23011745032024025514014</v>
      </c>
      <c r="AF676" s="168" t="str">
        <f>IFERROR(VLOOKUP(AD676,TD!$J$66:$K$89,2,0)," ")</f>
        <v>PM/0131/0114/45030140255</v>
      </c>
      <c r="AG676" s="135" t="s">
        <v>94</v>
      </c>
      <c r="AH676" s="182" t="s">
        <v>193</v>
      </c>
      <c r="AI676" s="183" t="str">
        <f>CONCATENATE(PAA[[#This Row],[Id Interno]],"-",PAA[[#This Row],[tipo de Contrato (TH talento humano - B/S bienes y/o servicios)]],"-",S676,"-",T676,"-",PAA[[#This Row],[Objeto de la contratación]])</f>
        <v>20260685-BS-8173-7-Interventoría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677" spans="2:35" ht="42" x14ac:dyDescent="0.35">
      <c r="B677" s="153">
        <v>20260686</v>
      </c>
      <c r="C677" s="121" t="s">
        <v>997</v>
      </c>
      <c r="D677" s="121" t="s">
        <v>78</v>
      </c>
      <c r="E677" s="121" t="s">
        <v>402</v>
      </c>
      <c r="F677" s="121" t="s">
        <v>97</v>
      </c>
      <c r="G677" s="131" t="s">
        <v>379</v>
      </c>
      <c r="H677" s="154">
        <v>10</v>
      </c>
      <c r="I677" s="154">
        <v>0</v>
      </c>
      <c r="J677" s="135">
        <v>500000000</v>
      </c>
      <c r="K677" s="155" t="s">
        <v>398</v>
      </c>
      <c r="L677" s="177" t="s">
        <v>155</v>
      </c>
      <c r="M677" s="178" t="s">
        <v>422</v>
      </c>
      <c r="N677" s="121" t="s">
        <v>198</v>
      </c>
      <c r="O677" s="178" t="s">
        <v>926</v>
      </c>
      <c r="P677" s="178" t="s">
        <v>551</v>
      </c>
      <c r="Q677" s="156" t="s">
        <v>751</v>
      </c>
      <c r="R677" s="178" t="s">
        <v>216</v>
      </c>
      <c r="S677" s="173" t="str">
        <f>MID(PAA[[#This Row],[Meta Proyecto de Inversión]],1,4)</f>
        <v>8173</v>
      </c>
      <c r="T677" s="173" t="str">
        <f>MID(PAA[[#This Row],[Meta Proyecto de Inversión]],6,1)</f>
        <v>7</v>
      </c>
      <c r="U677" s="179" t="str">
        <f>IFERROR(VLOOKUP(N677,TD!$B$50:$F$54,2,0)," ")</f>
        <v>O230117</v>
      </c>
      <c r="V677" s="179" t="str">
        <f>IFERROR(VLOOKUP(N677,TD!$B$50:$F$54,3,0)," ")</f>
        <v>4503</v>
      </c>
      <c r="W677" s="179">
        <f>IFERROR(VLOOKUP(N677,TD!$B$50:$F$54,4,0)," ")</f>
        <v>20240255</v>
      </c>
      <c r="X677" s="178">
        <v>14</v>
      </c>
      <c r="Y677" s="168" t="str">
        <f>IFERROR(VLOOKUP(X677,TD!$J$51:$K$64,2,0)," ")</f>
        <v xml:space="preserve">Infraestructura física misional construida mantenida y dotada </v>
      </c>
      <c r="Z677" s="175" t="str">
        <f t="shared" si="40"/>
        <v xml:space="preserve">14-Infraestructura física misional construida mantenida y dotada </v>
      </c>
      <c r="AA677" s="178" t="s">
        <v>225</v>
      </c>
      <c r="AB677" s="168" t="str">
        <f>IFERROR(VLOOKUP(AA677,TD!$N$51:$O$66,2,0)," ")</f>
        <v>Estaciones de bomberos adecuadas</v>
      </c>
      <c r="AC677" s="175" t="str">
        <f t="shared" si="41"/>
        <v>014_Estaciones de bomberos adecuadas</v>
      </c>
      <c r="AD677" s="175" t="str">
        <f t="shared" si="42"/>
        <v>14-Infraestructura física misional construida mantenida y dotada  014_Estaciones de bomberos adecuadas</v>
      </c>
      <c r="AE677" s="179" t="str">
        <f t="shared" si="43"/>
        <v>O23011745032024025514014</v>
      </c>
      <c r="AF677" s="168" t="str">
        <f>IFERROR(VLOOKUP(AD677,TD!$J$66:$K$89,2,0)," ")</f>
        <v>PM/0131/0114/45030140255</v>
      </c>
      <c r="AG677" s="135" t="s">
        <v>94</v>
      </c>
      <c r="AH677" s="182" t="s">
        <v>193</v>
      </c>
      <c r="AI677" s="183" t="str">
        <f>CONCATENATE(PAA[[#This Row],[Id Interno]],"-",PAA[[#This Row],[tipo de Contrato (TH talento humano - B/S bienes y/o servicios)]],"-",S677,"-",T677,"-",PAA[[#This Row],[Objeto de la contratación]])</f>
        <v>20260686-BS-8173-7-Realizar la adecuación y mejoramiento de las instalaciones de La Unidad Administrativa Especial Cuerpo Oficial de Bomberos de Bogotá D.C. – SGC.C</v>
      </c>
    </row>
    <row r="678" spans="2:35" ht="70" x14ac:dyDescent="0.35">
      <c r="B678" s="153">
        <v>20260687</v>
      </c>
      <c r="C678" s="121" t="s">
        <v>998</v>
      </c>
      <c r="D678" s="121" t="s">
        <v>100</v>
      </c>
      <c r="E678" s="121" t="s">
        <v>402</v>
      </c>
      <c r="F678" s="121" t="s">
        <v>131</v>
      </c>
      <c r="G678" s="131" t="s">
        <v>379</v>
      </c>
      <c r="H678" s="154">
        <v>10</v>
      </c>
      <c r="I678" s="154">
        <v>0</v>
      </c>
      <c r="J678" s="135">
        <v>232202000</v>
      </c>
      <c r="K678" s="155" t="s">
        <v>398</v>
      </c>
      <c r="L678" s="177" t="s">
        <v>155</v>
      </c>
      <c r="M678" s="178" t="s">
        <v>422</v>
      </c>
      <c r="N678" s="121" t="s">
        <v>198</v>
      </c>
      <c r="O678" s="178" t="s">
        <v>926</v>
      </c>
      <c r="P678" s="178" t="s">
        <v>551</v>
      </c>
      <c r="Q678" s="156" t="s">
        <v>752</v>
      </c>
      <c r="R678" s="178" t="s">
        <v>216</v>
      </c>
      <c r="S678" s="173" t="str">
        <f>MID(PAA[[#This Row],[Meta Proyecto de Inversión]],1,4)</f>
        <v>8173</v>
      </c>
      <c r="T678" s="173" t="str">
        <f>MID(PAA[[#This Row],[Meta Proyecto de Inversión]],6,1)</f>
        <v>7</v>
      </c>
      <c r="U678" s="179" t="str">
        <f>IFERROR(VLOOKUP(N678,TD!$B$50:$F$54,2,0)," ")</f>
        <v>O230117</v>
      </c>
      <c r="V678" s="179" t="str">
        <f>IFERROR(VLOOKUP(N678,TD!$B$50:$F$54,3,0)," ")</f>
        <v>4503</v>
      </c>
      <c r="W678" s="179">
        <f>IFERROR(VLOOKUP(N678,TD!$B$50:$F$54,4,0)," ")</f>
        <v>20240255</v>
      </c>
      <c r="X678" s="178">
        <v>14</v>
      </c>
      <c r="Y678" s="168" t="str">
        <f>IFERROR(VLOOKUP(X678,TD!$J$51:$K$64,2,0)," ")</f>
        <v xml:space="preserve">Infraestructura física misional construida mantenida y dotada </v>
      </c>
      <c r="Z678" s="175" t="str">
        <f t="shared" si="40"/>
        <v xml:space="preserve">14-Infraestructura física misional construida mantenida y dotada </v>
      </c>
      <c r="AA678" s="178" t="s">
        <v>225</v>
      </c>
      <c r="AB678" s="168" t="str">
        <f>IFERROR(VLOOKUP(AA678,TD!$N$51:$O$66,2,0)," ")</f>
        <v>Estaciones de bomberos adecuadas</v>
      </c>
      <c r="AC678" s="175" t="str">
        <f t="shared" si="41"/>
        <v>014_Estaciones de bomberos adecuadas</v>
      </c>
      <c r="AD678" s="175" t="str">
        <f t="shared" si="42"/>
        <v>14-Infraestructura física misional construida mantenida y dotada  014_Estaciones de bomberos adecuadas</v>
      </c>
      <c r="AE678" s="179" t="str">
        <f t="shared" si="43"/>
        <v>O23011745032024025514014</v>
      </c>
      <c r="AF678" s="168" t="str">
        <f>IFERROR(VLOOKUP(AD678,TD!$J$66:$K$89,2,0)," ")</f>
        <v>PM/0131/0114/45030140255</v>
      </c>
      <c r="AG678" s="135" t="s">
        <v>94</v>
      </c>
      <c r="AH678" s="182" t="s">
        <v>193</v>
      </c>
      <c r="AI678" s="183" t="str">
        <f>CONCATENATE(PAA[[#This Row],[Id Interno]],"-",PAA[[#This Row],[tipo de Contrato (TH talento humano - B/S bienes y/o servicios)]],"-",S678,"-",T678,"-",PAA[[#This Row],[Objeto de la contratación]])</f>
        <v>20260687-BS-8173-7-Interventoría técnica, administrativa, financiera, contable, jurídica, ambiental y de Seguridad y Salud en el Trabajo para realizar la adecuación y mejoramiento de las instalaciones de La Unidad Administrativa Especial Cuerpo Oficial de Bomberos de Bogotá D.C. – SGC.</v>
      </c>
    </row>
    <row r="679" spans="2:35" ht="112" x14ac:dyDescent="0.35">
      <c r="B679" s="153">
        <v>20260688</v>
      </c>
      <c r="C679" s="121" t="s">
        <v>1022</v>
      </c>
      <c r="D679" s="121" t="s">
        <v>119</v>
      </c>
      <c r="E679" s="121" t="s">
        <v>402</v>
      </c>
      <c r="F679" s="121" t="s">
        <v>128</v>
      </c>
      <c r="G679" s="131" t="s">
        <v>377</v>
      </c>
      <c r="H679" s="154">
        <v>0</v>
      </c>
      <c r="I679" s="154">
        <v>0</v>
      </c>
      <c r="J679" s="135">
        <v>40032337</v>
      </c>
      <c r="K679" s="155" t="s">
        <v>398</v>
      </c>
      <c r="L679" s="177" t="s">
        <v>155</v>
      </c>
      <c r="M679" s="178" t="s">
        <v>422</v>
      </c>
      <c r="N679" s="121" t="s">
        <v>198</v>
      </c>
      <c r="O679" s="178" t="s">
        <v>926</v>
      </c>
      <c r="P679" s="178" t="s">
        <v>162</v>
      </c>
      <c r="Q679" s="156" t="s">
        <v>335</v>
      </c>
      <c r="R679" s="178" t="s">
        <v>219</v>
      </c>
      <c r="S679" s="173" t="str">
        <f>MID(PAA[[#This Row],[Meta Proyecto de Inversión]],1,4)</f>
        <v>8173</v>
      </c>
      <c r="T679" s="173" t="str">
        <f>MID(PAA[[#This Row],[Meta Proyecto de Inversión]],6,1)</f>
        <v>1</v>
      </c>
      <c r="U679" s="179" t="str">
        <f>IFERROR(VLOOKUP(N679,TD!$B$50:$F$54,2,0)," ")</f>
        <v>O230117</v>
      </c>
      <c r="V679" s="179" t="str">
        <f>IFERROR(VLOOKUP(N679,TD!$B$50:$F$54,3,0)," ")</f>
        <v>4503</v>
      </c>
      <c r="W679" s="179">
        <f>IFERROR(VLOOKUP(N679,TD!$B$50:$F$54,4,0)," ")</f>
        <v>20240255</v>
      </c>
      <c r="X679" s="178" t="s">
        <v>174</v>
      </c>
      <c r="Y679" s="168" t="str">
        <f>IFERROR(VLOOKUP(X679,TD!$J$51:$K$64,2,0)," ")</f>
        <v>Infraestructura física, mantenimiento y dotación (Sedes construidas, mantenidas reforzadas)</v>
      </c>
      <c r="Z679" s="175" t="str">
        <f t="shared" si="40"/>
        <v>08-Infraestructura física, mantenimiento y dotación (Sedes construidas, mantenidas reforzadas)</v>
      </c>
      <c r="AA679" s="178" t="s">
        <v>282</v>
      </c>
      <c r="AB679" s="168" t="str">
        <f>IFERROR(VLOOKUP(AA679,TD!$N$51:$O$66,2,0)," ")</f>
        <v>Documentos de lineamientos técnicos</v>
      </c>
      <c r="AC679" s="175" t="str">
        <f t="shared" si="41"/>
        <v>031__Documentos de lineamientos técnicos</v>
      </c>
      <c r="AD679" s="175" t="str">
        <f t="shared" si="42"/>
        <v>08-Infraestructura física, mantenimiento y dotación (Sedes construidas, mantenidas reforzadas) 031__Documentos de lineamientos técnicos</v>
      </c>
      <c r="AE679" s="179" t="str">
        <f t="shared" si="43"/>
        <v>O23011745032024025508031_</v>
      </c>
      <c r="AF679" s="168" t="str">
        <f>IFERROR(VLOOKUP(AD679,TD!$J$66:$K$89,2,0)," ")</f>
        <v>PM/0131/0108/45030310255</v>
      </c>
      <c r="AG679" s="135" t="s">
        <v>94</v>
      </c>
      <c r="AH679" s="182" t="s">
        <v>194</v>
      </c>
      <c r="AI679" s="183" t="str">
        <f>CONCATENATE(PAA[[#This Row],[Id Interno]],"-",PAA[[#This Row],[tipo de Contrato (TH talento humano - B/S bienes y/o servicios)]],"-",S679,"-",T679,"-",PAA[[#This Row],[Objeto de la contratación]])</f>
        <v>20260688-BS-8173-1-Reconocimiento y pago Pasivo Exigible contrato de interventoria No 760 de 2024 suscrito con CONSULTORIA ESTRUCTURAL Y DE CONSTRUCCIO N S A S , cuyo objeto es Interventoría técnica, administrativa, financiera, contable, jurídica y ambiental para la elaboración de estudios y diseños técnicos para la construcción de la estación de Bomberos de Ferias B-7 de la UAE Cuerpo Oficial de Bomberos de Bogotá – SGC Reconoce el valor de $40.032.337</v>
      </c>
    </row>
    <row r="680" spans="2:35" ht="84" x14ac:dyDescent="0.35">
      <c r="B680" s="153">
        <v>20260689</v>
      </c>
      <c r="C680" s="121" t="s">
        <v>1023</v>
      </c>
      <c r="D680" s="121" t="s">
        <v>119</v>
      </c>
      <c r="E680" s="121" t="s">
        <v>402</v>
      </c>
      <c r="F680" s="121" t="s">
        <v>128</v>
      </c>
      <c r="G680" s="131" t="s">
        <v>377</v>
      </c>
      <c r="H680" s="154">
        <v>0</v>
      </c>
      <c r="I680" s="154">
        <v>0</v>
      </c>
      <c r="J680" s="135">
        <v>135000000</v>
      </c>
      <c r="K680" s="155" t="s">
        <v>398</v>
      </c>
      <c r="L680" s="177" t="s">
        <v>155</v>
      </c>
      <c r="M680" s="178" t="s">
        <v>422</v>
      </c>
      <c r="N680" s="121" t="s">
        <v>198</v>
      </c>
      <c r="O680" s="178" t="s">
        <v>926</v>
      </c>
      <c r="P680" s="178" t="s">
        <v>162</v>
      </c>
      <c r="Q680" s="156" t="s">
        <v>335</v>
      </c>
      <c r="R680" s="178" t="s">
        <v>219</v>
      </c>
      <c r="S680" s="173" t="str">
        <f>MID(PAA[[#This Row],[Meta Proyecto de Inversión]],1,4)</f>
        <v>8173</v>
      </c>
      <c r="T680" s="173" t="str">
        <f>MID(PAA[[#This Row],[Meta Proyecto de Inversión]],6,1)</f>
        <v>1</v>
      </c>
      <c r="U680" s="179" t="str">
        <f>IFERROR(VLOOKUP(N680,TD!$B$50:$F$54,2,0)," ")</f>
        <v>O230117</v>
      </c>
      <c r="V680" s="179" t="str">
        <f>IFERROR(VLOOKUP(N680,TD!$B$50:$F$54,3,0)," ")</f>
        <v>4503</v>
      </c>
      <c r="W680" s="179">
        <f>IFERROR(VLOOKUP(N680,TD!$B$50:$F$54,4,0)," ")</f>
        <v>20240255</v>
      </c>
      <c r="X680" s="178" t="s">
        <v>174</v>
      </c>
      <c r="Y680" s="168" t="str">
        <f>IFERROR(VLOOKUP(X680,TD!$J$51:$K$64,2,0)," ")</f>
        <v>Infraestructura física, mantenimiento y dotación (Sedes construidas, mantenidas reforzadas)</v>
      </c>
      <c r="Z680" s="175" t="str">
        <f t="shared" si="40"/>
        <v>08-Infraestructura física, mantenimiento y dotación (Sedes construidas, mantenidas reforzadas)</v>
      </c>
      <c r="AA680" s="178" t="s">
        <v>282</v>
      </c>
      <c r="AB680" s="168" t="str">
        <f>IFERROR(VLOOKUP(AA680,TD!$N$51:$O$66,2,0)," ")</f>
        <v>Documentos de lineamientos técnicos</v>
      </c>
      <c r="AC680" s="175" t="str">
        <f t="shared" si="41"/>
        <v>031__Documentos de lineamientos técnicos</v>
      </c>
      <c r="AD680" s="175" t="str">
        <f t="shared" si="42"/>
        <v>08-Infraestructura física, mantenimiento y dotación (Sedes construidas, mantenidas reforzadas) 031__Documentos de lineamientos técnicos</v>
      </c>
      <c r="AE680" s="179" t="str">
        <f t="shared" si="43"/>
        <v>O23011745032024025508031_</v>
      </c>
      <c r="AF680" s="168" t="str">
        <f>IFERROR(VLOOKUP(AD680,TD!$J$66:$K$89,2,0)," ")</f>
        <v>PM/0131/0108/45030310255</v>
      </c>
      <c r="AG680" s="135" t="s">
        <v>94</v>
      </c>
      <c r="AH680" s="182" t="s">
        <v>194</v>
      </c>
      <c r="AI680" s="183" t="str">
        <f>CONCATENATE(PAA[[#This Row],[Id Interno]],"-",PAA[[#This Row],[tipo de Contrato (TH talento humano - B/S bienes y/o servicios)]],"-",S680,"-",T680,"-",PAA[[#This Row],[Objeto de la contratación]])</f>
        <v xml:space="preserve">20260689-BS-8173-1-Reconocimiento y pago Pasivo Exigible contrato de consultoria No 766 de 2024 suscrito con GRUPO M&amp;M CONSULTORIA SAS , cuyo objeto es Elaboración de estudios y diseños técnicos para la construcción de la estación de bomberos de Ferias B-7 de la UAE Cuerpo Oficial de Bomberos de Bogotá – SGC, Reconoce el valor de $135.000.000 </v>
      </c>
    </row>
    <row r="681" spans="2:35" ht="112" x14ac:dyDescent="0.35">
      <c r="B681" s="153">
        <v>20260690</v>
      </c>
      <c r="C681" s="121" t="s">
        <v>1024</v>
      </c>
      <c r="D681" s="121" t="s">
        <v>119</v>
      </c>
      <c r="E681" s="121" t="s">
        <v>402</v>
      </c>
      <c r="F681" s="121" t="s">
        <v>128</v>
      </c>
      <c r="G681" s="131" t="s">
        <v>377</v>
      </c>
      <c r="H681" s="154">
        <v>0</v>
      </c>
      <c r="I681" s="154">
        <v>0</v>
      </c>
      <c r="J681" s="135">
        <v>10802121</v>
      </c>
      <c r="K681" s="155" t="s">
        <v>398</v>
      </c>
      <c r="L681" s="177" t="s">
        <v>155</v>
      </c>
      <c r="M681" s="178" t="s">
        <v>422</v>
      </c>
      <c r="N681" s="121" t="s">
        <v>198</v>
      </c>
      <c r="O681" s="178" t="s">
        <v>926</v>
      </c>
      <c r="P681" s="178" t="s">
        <v>162</v>
      </c>
      <c r="Q681" s="156" t="s">
        <v>335</v>
      </c>
      <c r="R681" s="178" t="s">
        <v>216</v>
      </c>
      <c r="S681" s="173" t="str">
        <f>MID(PAA[[#This Row],[Meta Proyecto de Inversión]],1,4)</f>
        <v>8173</v>
      </c>
      <c r="T681" s="173" t="str">
        <f>MID(PAA[[#This Row],[Meta Proyecto de Inversión]],6,1)</f>
        <v>7</v>
      </c>
      <c r="U681" s="179" t="str">
        <f>IFERROR(VLOOKUP(N681,TD!$B$50:$F$54,2,0)," ")</f>
        <v>O230117</v>
      </c>
      <c r="V681" s="179" t="str">
        <f>IFERROR(VLOOKUP(N681,TD!$B$50:$F$54,3,0)," ")</f>
        <v>4503</v>
      </c>
      <c r="W681" s="179">
        <f>IFERROR(VLOOKUP(N681,TD!$B$50:$F$54,4,0)," ")</f>
        <v>20240255</v>
      </c>
      <c r="X681" s="178">
        <v>14</v>
      </c>
      <c r="Y681" s="168" t="str">
        <f>IFERROR(VLOOKUP(X681,TD!$J$51:$K$64,2,0)," ")</f>
        <v xml:space="preserve">Infraestructura física misional construida mantenida y dotada </v>
      </c>
      <c r="Z681" s="175" t="str">
        <f t="shared" si="40"/>
        <v xml:space="preserve">14-Infraestructura física misional construida mantenida y dotada </v>
      </c>
      <c r="AA681" s="178" t="s">
        <v>225</v>
      </c>
      <c r="AB681" s="168" t="str">
        <f>IFERROR(VLOOKUP(AA681,TD!$N$51:$O$66,2,0)," ")</f>
        <v>Estaciones de bomberos adecuadas</v>
      </c>
      <c r="AC681" s="175" t="str">
        <f t="shared" si="41"/>
        <v>014_Estaciones de bomberos adecuadas</v>
      </c>
      <c r="AD681" s="175" t="str">
        <f t="shared" si="42"/>
        <v>14-Infraestructura física misional construida mantenida y dotada  014_Estaciones de bomberos adecuadas</v>
      </c>
      <c r="AE681" s="179" t="str">
        <f t="shared" si="43"/>
        <v>O23011745032024025514014</v>
      </c>
      <c r="AF681" s="168" t="str">
        <f>IFERROR(VLOOKUP(AD681,TD!$J$66:$K$89,2,0)," ")</f>
        <v>PM/0131/0114/45030140255</v>
      </c>
      <c r="AG681" s="135" t="s">
        <v>94</v>
      </c>
      <c r="AH681" s="182" t="s">
        <v>194</v>
      </c>
      <c r="AI681" s="183" t="str">
        <f>CONCATENATE(PAA[[#This Row],[Id Interno]],"-",PAA[[#This Row],[tipo de Contrato (TH talento humano - B/S bienes y/o servicios)]],"-",S681,"-",T681,"-",PAA[[#This Row],[Objeto de la contratación]])</f>
        <v>20260690-BS-8173-7-Reconocimiento y pago Pasivo Exigible contrato de consultoria No 537 de 2022 suscrito con SOLUCIONES INTEGRALES DE INGENIERIA SA., cuyo objeto es  Interventoría técnica, administrativa, financiera, contable, jurídica y ambiental para la elaboración de estudios y diseños técnicos para la construcción de la estación de Bomberos de Caobos Salazar B-13 de la UAE Cuerpo Oficial de Bomberos de Bogotá – SGC, Reconoce el valor de $11.378.345</v>
      </c>
    </row>
    <row r="682" spans="2:35" ht="70" x14ac:dyDescent="0.35">
      <c r="B682" s="153">
        <v>20260691</v>
      </c>
      <c r="C682" s="121" t="s">
        <v>1025</v>
      </c>
      <c r="D682" s="121" t="s">
        <v>119</v>
      </c>
      <c r="E682" s="121" t="s">
        <v>402</v>
      </c>
      <c r="F682" s="121" t="s">
        <v>128</v>
      </c>
      <c r="G682" s="131" t="s">
        <v>382</v>
      </c>
      <c r="H682" s="154">
        <v>0</v>
      </c>
      <c r="I682" s="154">
        <v>0</v>
      </c>
      <c r="J682" s="135">
        <v>161794472</v>
      </c>
      <c r="K682" s="155" t="s">
        <v>398</v>
      </c>
      <c r="L682" s="177" t="s">
        <v>155</v>
      </c>
      <c r="M682" s="178" t="s">
        <v>422</v>
      </c>
      <c r="N682" s="121" t="s">
        <v>198</v>
      </c>
      <c r="O682" s="178" t="s">
        <v>926</v>
      </c>
      <c r="P682" s="178" t="s">
        <v>162</v>
      </c>
      <c r="Q682" s="156" t="s">
        <v>335</v>
      </c>
      <c r="R682" s="178" t="s">
        <v>216</v>
      </c>
      <c r="S682" s="173" t="str">
        <f>MID(PAA[[#This Row],[Meta Proyecto de Inversión]],1,4)</f>
        <v>8173</v>
      </c>
      <c r="T682" s="173" t="str">
        <f>MID(PAA[[#This Row],[Meta Proyecto de Inversión]],6,1)</f>
        <v>7</v>
      </c>
      <c r="U682" s="179" t="str">
        <f>IFERROR(VLOOKUP(N682,TD!$B$50:$F$54,2,0)," ")</f>
        <v>O230117</v>
      </c>
      <c r="V682" s="179" t="str">
        <f>IFERROR(VLOOKUP(N682,TD!$B$50:$F$54,3,0)," ")</f>
        <v>4503</v>
      </c>
      <c r="W682" s="179">
        <f>IFERROR(VLOOKUP(N682,TD!$B$50:$F$54,4,0)," ")</f>
        <v>20240255</v>
      </c>
      <c r="X682" s="167">
        <v>14</v>
      </c>
      <c r="Y682" s="168" t="str">
        <f>IFERROR(VLOOKUP(X682,TD!$J$51:$K$64,2,0)," ")</f>
        <v xml:space="preserve">Infraestructura física misional construida mantenida y dotada </v>
      </c>
      <c r="Z682" s="175" t="str">
        <f t="shared" si="40"/>
        <v xml:space="preserve">14-Infraestructura física misional construida mantenida y dotada </v>
      </c>
      <c r="AA682" s="167" t="s">
        <v>225</v>
      </c>
      <c r="AB682" s="168" t="str">
        <f>IFERROR(VLOOKUP(AA682,TD!$N$51:$O$66,2,0)," ")</f>
        <v>Estaciones de bomberos adecuadas</v>
      </c>
      <c r="AC682" s="175" t="str">
        <f t="shared" si="41"/>
        <v>014_Estaciones de bomberos adecuadas</v>
      </c>
      <c r="AD682" s="175" t="str">
        <f t="shared" si="42"/>
        <v>14-Infraestructura física misional construida mantenida y dotada  014_Estaciones de bomberos adecuadas</v>
      </c>
      <c r="AE682" s="179" t="str">
        <f t="shared" si="43"/>
        <v>O23011745032024025514014</v>
      </c>
      <c r="AF682" s="168" t="str">
        <f>IFERROR(VLOOKUP(AD682,TD!$J$66:$K$89,2,0)," ")</f>
        <v>PM/0131/0114/45030140255</v>
      </c>
      <c r="AG682" s="118" t="s">
        <v>94</v>
      </c>
      <c r="AH682" s="167" t="s">
        <v>194</v>
      </c>
      <c r="AI682" s="183" t="str">
        <f>CONCATENATE(PAA[[#This Row],[Id Interno]],"-",PAA[[#This Row],[tipo de Contrato (TH talento humano - B/S bienes y/o servicios)]],"-",S682,"-",T682,"-",PAA[[#This Row],[Objeto de la contratación]])</f>
        <v xml:space="preserve">20260691-BS-8173-7-Reconocimiento y pago Pasivo Exigible FERIAS </v>
      </c>
    </row>
    <row r="683" spans="2:35" ht="112" x14ac:dyDescent="0.35">
      <c r="B683" s="153">
        <v>20260692</v>
      </c>
      <c r="C683" s="121" t="s">
        <v>1026</v>
      </c>
      <c r="D683" s="121" t="s">
        <v>119</v>
      </c>
      <c r="E683" s="121" t="s">
        <v>402</v>
      </c>
      <c r="F683" s="121" t="s">
        <v>128</v>
      </c>
      <c r="G683" s="131" t="s">
        <v>377</v>
      </c>
      <c r="H683" s="154">
        <v>0</v>
      </c>
      <c r="I683" s="154">
        <v>0</v>
      </c>
      <c r="J683" s="135">
        <v>11378345</v>
      </c>
      <c r="K683" s="155" t="s">
        <v>398</v>
      </c>
      <c r="L683" s="177" t="s">
        <v>155</v>
      </c>
      <c r="M683" s="178" t="s">
        <v>422</v>
      </c>
      <c r="N683" s="121" t="s">
        <v>197</v>
      </c>
      <c r="O683" s="178" t="s">
        <v>925</v>
      </c>
      <c r="P683" s="178" t="s">
        <v>162</v>
      </c>
      <c r="Q683" s="156" t="s">
        <v>335</v>
      </c>
      <c r="R683" s="178" t="s">
        <v>207</v>
      </c>
      <c r="S683" s="173" t="str">
        <f>MID(PAA[[#This Row],[Meta Proyecto de Inversión]],1,4)</f>
        <v>8126</v>
      </c>
      <c r="T683" s="173" t="str">
        <f>MID(PAA[[#This Row],[Meta Proyecto de Inversión]],6,1)</f>
        <v>8</v>
      </c>
      <c r="U683" s="179" t="str">
        <f>IFERROR(VLOOKUP(N683,TD!$B$50:$F$54,2,0)," ")</f>
        <v>O230117</v>
      </c>
      <c r="V683" s="179" t="str">
        <f>IFERROR(VLOOKUP(N683,TD!$B$50:$F$54,3,0)," ")</f>
        <v>4599</v>
      </c>
      <c r="W683" s="179">
        <f>IFERROR(VLOOKUP(N683,TD!$B$50:$F$54,4,0)," ")</f>
        <v>20240207</v>
      </c>
      <c r="X683" s="178" t="s">
        <v>174</v>
      </c>
      <c r="Y683" s="168" t="str">
        <f>IFERROR(VLOOKUP(X683,TD!$J$51:$K$64,2,0)," ")</f>
        <v>Infraestructura física, mantenimiento y dotación (Sedes construidas, mantenidas reforzadas)</v>
      </c>
      <c r="Z683" s="175" t="str">
        <f t="shared" si="40"/>
        <v>08-Infraestructura física, mantenimiento y dotación (Sedes construidas, mantenidas reforzadas)</v>
      </c>
      <c r="AA683" s="178" t="s">
        <v>227</v>
      </c>
      <c r="AB683" s="168" t="str">
        <f>IFERROR(VLOOKUP(AA683,TD!$N$51:$O$66,2,0)," ")</f>
        <v>Sedes mantenidas</v>
      </c>
      <c r="AC683" s="175" t="str">
        <f t="shared" si="41"/>
        <v>016_Sedes mantenidas</v>
      </c>
      <c r="AD683" s="175" t="str">
        <f t="shared" si="42"/>
        <v>08-Infraestructura física, mantenimiento y dotación (Sedes construidas, mantenidas reforzadas) 016_Sedes mantenidas</v>
      </c>
      <c r="AE683" s="179" t="str">
        <f t="shared" si="43"/>
        <v>O23011745992024020708016</v>
      </c>
      <c r="AF683" s="168" t="str">
        <f>IFERROR(VLOOKUP(AD683,TD!$J$66:$K$89,2,0)," ")</f>
        <v>PM/0131/0108/45990160207</v>
      </c>
      <c r="AG683" s="135" t="s">
        <v>565</v>
      </c>
      <c r="AH683" s="182" t="s">
        <v>194</v>
      </c>
      <c r="AI683" s="183" t="str">
        <f>CONCATENATE(PAA[[#This Row],[Id Interno]],"-",PAA[[#This Row],[tipo de Contrato (TH talento humano - B/S bienes y/o servicios)]],"-",S683,"-",T683,"-",PAA[[#This Row],[Objeto de la contratación]])</f>
        <v>20260692-BS-8126-8-Reconocimiento y pago Pasivo Exigible contrato de consultoria No 569 de 2023 suscrito con INGENIERIA DE BOMBAS Y PLANTAS S.A.S.,  cuyo objeto es Mantenimiento correctivo y/o preventivo, suministros y repuestos de los equipos hidroneumáticos, motobombas eléctricas, bombas sumergibles, tableros de control y fuerza y demás equipos de bombeo instalados en las estaciones de bomberos de la UAE Cuerpo oficial de Bomberos -SGC, Reconoce el valor de $11.378.345</v>
      </c>
    </row>
  </sheetData>
  <mergeCells count="8">
    <mergeCell ref="F7:M7"/>
    <mergeCell ref="B2:F2"/>
    <mergeCell ref="F3:M3"/>
    <mergeCell ref="F4:M4"/>
    <mergeCell ref="N5:P5"/>
    <mergeCell ref="N6:P6"/>
    <mergeCell ref="F5:M5"/>
    <mergeCell ref="F6:M6"/>
  </mergeCells>
  <phoneticPr fontId="15" type="noConversion"/>
  <conditionalFormatting sqref="B12:B683">
    <cfRule type="duplicateValues" dxfId="0" priority="28"/>
  </conditionalFormatting>
  <hyperlinks>
    <hyperlink ref="O91" r:id="rId1" xr:uid="{67ED24B7-F4F9-4829-8333-FF5F4D482AA0}"/>
    <hyperlink ref="O13:O349" r:id="rId2" display="Subdirector@ de Gestión Corporativa" xr:uid="{4A323593-15EA-45D2-9634-A21BA9F6B864}"/>
    <hyperlink ref="O166" r:id="rId3" xr:uid="{81B5539B-B166-4896-9A39-27DB4B634BBD}"/>
    <hyperlink ref="O601" r:id="rId4" display="Subdirector@ de Gestión del Riesgo" xr:uid="{2DE2B215-9BB6-4D50-9C69-466623B82D83}"/>
    <hyperlink ref="O602" r:id="rId5" display="Subdirector@ de Gestión del Riesgo" xr:uid="{028CA609-76AF-4559-BA98-EFE6E22D3935}"/>
    <hyperlink ref="O172" r:id="rId6" xr:uid="{FEE9E9E5-B939-4FE7-90D7-C043A3ECF549}"/>
    <hyperlink ref="O32" r:id="rId7" display="Subdirector@ de Gestión Corporativa" xr:uid="{6D3A8CE2-19A9-43FF-A82C-BF5591AEECDD}"/>
    <hyperlink ref="O679" r:id="rId8" xr:uid="{70CB5996-4E29-4E5A-A676-D9D44566E773}"/>
    <hyperlink ref="O680" r:id="rId9" xr:uid="{7CD4F2D8-0F7D-4E84-AB04-782FBB4D8B19}"/>
    <hyperlink ref="O681" r:id="rId10" xr:uid="{E554F2EC-DCE4-4C5A-8624-BAE0786ABE99}"/>
    <hyperlink ref="O682" r:id="rId11" xr:uid="{33C3E430-049A-4C12-9796-85B85E5CAD87}"/>
  </hyperlinks>
  <pageMargins left="0.7" right="0.7" top="0.75" bottom="0.75" header="0.3" footer="0.3"/>
  <pageSetup paperSize="9" scale="12" orientation="portrait" horizontalDpi="4294967294" verticalDpi="4294967294" r:id="rId12"/>
  <customProperties>
    <customPr name="EpmWorksheetKeyString_GUID" r:id="rId13"/>
  </customProperties>
  <ignoredErrors>
    <ignoredError sqref="O8" unlockedFormula="1"/>
  </ignoredErrors>
  <drawing r:id="rId14"/>
  <tableParts count="1">
    <tablePart r:id="rId15"/>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L12:L683</xm:sqref>
        </x14:dataValidation>
        <x14:dataValidation type="list" allowBlank="1" showInputMessage="1" showErrorMessage="1" xr:uid="{367956A3-3FF4-4469-AF49-C057EA7486FA}">
          <x14:formula1>
            <xm:f>TD!$D$2:$D$29</xm:f>
          </x14:formula1>
          <xm:sqref>F12:F683</xm:sqref>
        </x14:dataValidation>
        <x14:dataValidation type="list" allowBlank="1" showInputMessage="1" showErrorMessage="1" xr:uid="{AE9575A7-4CB7-4BD1-805F-4119048BA672}">
          <x14:formula1>
            <xm:f>TD!$B$15:$B$16</xm:f>
          </x14:formula1>
          <xm:sqref>E12:E683</xm:sqref>
        </x14:dataValidation>
        <x14:dataValidation type="list" allowBlank="1" showInputMessage="1" showErrorMessage="1" xr:uid="{447F3D67-5446-44A6-9358-32563267660F}">
          <x14:formula1>
            <xm:f>TD!$B$19:$B$31</xm:f>
          </x14:formula1>
          <xm:sqref>G12:G683</xm:sqref>
        </x14:dataValidation>
        <x14:dataValidation type="list" allowBlank="1" showInputMessage="1" showErrorMessage="1" xr:uid="{167B3C98-C85F-496C-B1F5-3644BB267750}">
          <x14:formula1>
            <xm:f>TD!$B$51:$B$54</xm:f>
          </x14:formula1>
          <xm:sqref>N12:N683</xm:sqref>
        </x14:dataValidation>
        <x14:dataValidation type="list" allowBlank="1" showInputMessage="1" showErrorMessage="1" xr:uid="{C19D9E6E-AEC7-4142-B89D-D61322877AFC}">
          <x14:formula1>
            <xm:f>TD!$J$3:$J$24</xm:f>
          </x14:formula1>
          <xm:sqref>R12:R683</xm:sqref>
        </x14:dataValidation>
        <x14:dataValidation type="list" allowBlank="1" showInputMessage="1" showErrorMessage="1" xr:uid="{B4D90150-9848-474F-8126-9F973D312285}">
          <x14:formula1>
            <xm:f>TD!$J$51:$J$64</xm:f>
          </x14:formula1>
          <xm:sqref>X12:X683</xm:sqref>
        </x14:dataValidation>
        <x14:dataValidation type="list" allowBlank="1" showInputMessage="1" showErrorMessage="1" xr:uid="{2840086A-4D8A-4E66-AD6D-EE95601C2C7C}">
          <x14:formula1>
            <xm:f>TD!$D$57:$D$58</xm:f>
          </x14:formula1>
          <xm:sqref>K12:K683</xm:sqref>
        </x14:dataValidation>
        <x14:dataValidation type="list" allowBlank="1" showInputMessage="1" showErrorMessage="1" xr:uid="{06E99C44-5C60-468B-8DDC-A942983538C2}">
          <x14:formula1>
            <xm:f>TD!$N$51:$N$63</xm:f>
          </x14:formula1>
          <xm:sqref>AA12:AA683</xm:sqref>
        </x14:dataValidation>
        <x14:dataValidation type="list" allowBlank="1" showInputMessage="1" showErrorMessage="1" xr:uid="{745A9AE1-DD02-4B8A-AEC0-3B73FB6B7E5F}">
          <x14:formula1>
            <xm:f>TD!$X$51:$X$52</xm:f>
          </x14:formula1>
          <xm:sqref>AH12:AH683</xm:sqref>
        </x14:dataValidation>
        <x14:dataValidation type="list" allowBlank="1" showInputMessage="1" showErrorMessage="1" xr:uid="{80D5954D-9596-4C04-B538-A744D1B2CB65}">
          <x14:formula1>
            <xm:f>TD!$Q$2:$Q$7</xm:f>
          </x14:formula1>
          <xm:sqref>P12:P683</xm:sqref>
        </x14:dataValidation>
        <x14:dataValidation type="list" allowBlank="1" showInputMessage="1" showErrorMessage="1" xr:uid="{74AFF05A-906B-4B39-99D3-E0E68439EEF0}">
          <x14:formula1>
            <xm:f>TD!$B$2:$B$11</xm:f>
          </x14:formula1>
          <xm:sqref>D12:D683</xm:sqref>
        </x14:dataValidation>
        <x14:dataValidation type="list" allowBlank="1" showInputMessage="1" showErrorMessage="1" xr:uid="{AF099CF4-1B60-420B-AF00-F2137A73C9C0}">
          <x14:formula1>
            <xm:f>TD!$F$2:$F$43</xm:f>
          </x14:formula1>
          <xm:sqref>AG12:AG683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25" t="s">
        <v>122</v>
      </c>
      <c r="C12" s="26" t="s">
        <v>302</v>
      </c>
      <c r="D12" s="30">
        <v>260870960</v>
      </c>
      <c r="E12" s="26" t="s">
        <v>300</v>
      </c>
      <c r="F12" s="26" t="s">
        <v>254</v>
      </c>
      <c r="G12" s="25" t="s">
        <v>129</v>
      </c>
    </row>
    <row r="13" spans="2:7" ht="33" x14ac:dyDescent="0.35">
      <c r="B13" s="229"/>
      <c r="C13" s="26" t="s">
        <v>303</v>
      </c>
      <c r="D13" s="30">
        <v>206558000</v>
      </c>
      <c r="E13" s="26" t="s">
        <v>300</v>
      </c>
      <c r="F13" s="26" t="s">
        <v>254</v>
      </c>
      <c r="G13" s="25" t="s">
        <v>129</v>
      </c>
    </row>
    <row r="14" spans="2:7" ht="33" x14ac:dyDescent="0.35">
      <c r="B14" s="229"/>
      <c r="C14" s="26" t="s">
        <v>304</v>
      </c>
      <c r="D14" s="30">
        <v>171068294</v>
      </c>
      <c r="E14" s="26" t="s">
        <v>300</v>
      </c>
      <c r="F14" s="26" t="s">
        <v>254</v>
      </c>
      <c r="G14" s="25" t="s">
        <v>129</v>
      </c>
    </row>
    <row r="15" spans="2:7" ht="33" x14ac:dyDescent="0.35">
      <c r="B15" s="229"/>
      <c r="C15" s="26" t="s">
        <v>305</v>
      </c>
      <c r="D15" s="30">
        <v>229431788</v>
      </c>
      <c r="E15" s="26" t="s">
        <v>300</v>
      </c>
      <c r="F15" s="26" t="s">
        <v>254</v>
      </c>
      <c r="G15" s="25" t="s">
        <v>129</v>
      </c>
    </row>
    <row r="16" spans="2:7" ht="33" x14ac:dyDescent="0.35">
      <c r="B16" s="226"/>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30" t="s">
        <v>87</v>
      </c>
      <c r="C23" s="233" t="s">
        <v>308</v>
      </c>
      <c r="D23" s="48">
        <v>162500000</v>
      </c>
      <c r="E23" s="50" t="s">
        <v>309</v>
      </c>
      <c r="F23" s="50" t="s">
        <v>247</v>
      </c>
      <c r="G23" s="49" t="s">
        <v>129</v>
      </c>
    </row>
    <row r="24" spans="2:11" ht="33" x14ac:dyDescent="0.35">
      <c r="B24" s="231"/>
      <c r="C24" s="234"/>
      <c r="D24" s="48">
        <v>698601047</v>
      </c>
      <c r="E24" s="50" t="s">
        <v>310</v>
      </c>
      <c r="F24" s="50" t="s">
        <v>248</v>
      </c>
      <c r="G24" s="49" t="s">
        <v>311</v>
      </c>
    </row>
    <row r="25" spans="2:11" ht="33" x14ac:dyDescent="0.35">
      <c r="B25" s="232"/>
      <c r="C25" s="235"/>
      <c r="D25" s="48">
        <v>387093222</v>
      </c>
      <c r="E25" s="50" t="s">
        <v>312</v>
      </c>
      <c r="F25" s="50" t="s">
        <v>250</v>
      </c>
      <c r="G25" s="49" t="s">
        <v>129</v>
      </c>
    </row>
    <row r="26" spans="2:11" ht="33" x14ac:dyDescent="0.35">
      <c r="B26" s="225" t="s">
        <v>91</v>
      </c>
      <c r="C26" s="227" t="s">
        <v>313</v>
      </c>
      <c r="D26" s="30">
        <v>1275620000</v>
      </c>
      <c r="E26" s="26" t="s">
        <v>314</v>
      </c>
      <c r="F26" s="26" t="s">
        <v>246</v>
      </c>
      <c r="G26" s="25" t="s">
        <v>129</v>
      </c>
    </row>
    <row r="27" spans="2:11" ht="49.5" x14ac:dyDescent="0.35">
      <c r="B27" s="226"/>
      <c r="C27" s="228"/>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25" t="s">
        <v>99</v>
      </c>
      <c r="C29" s="227" t="s">
        <v>318</v>
      </c>
      <c r="D29" s="30">
        <v>4450000000</v>
      </c>
      <c r="E29" s="26" t="s">
        <v>317</v>
      </c>
      <c r="F29" s="26" t="s">
        <v>255</v>
      </c>
      <c r="G29" s="25" t="s">
        <v>342</v>
      </c>
    </row>
    <row r="30" spans="2:11" ht="33" x14ac:dyDescent="0.35">
      <c r="B30" s="226"/>
      <c r="C30" s="228"/>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551</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566</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955</v>
      </c>
    </row>
    <row r="15" spans="2:19" x14ac:dyDescent="0.3">
      <c r="B15" s="15" t="s">
        <v>363</v>
      </c>
      <c r="D15" s="15" t="s">
        <v>131</v>
      </c>
      <c r="F15" s="15" t="s">
        <v>102</v>
      </c>
      <c r="H15" s="15" t="s">
        <v>96</v>
      </c>
      <c r="I15" s="16">
        <v>8173</v>
      </c>
      <c r="J15" s="17" t="s">
        <v>212</v>
      </c>
    </row>
    <row r="16" spans="2:19" x14ac:dyDescent="0.3">
      <c r="B16" s="15" t="s">
        <v>402</v>
      </c>
      <c r="D16" s="15" t="s">
        <v>133</v>
      </c>
      <c r="F16" s="15" t="s">
        <v>550</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549</v>
      </c>
    </row>
    <row r="26" spans="2:10" x14ac:dyDescent="0.3">
      <c r="B26" s="15" t="s">
        <v>380</v>
      </c>
      <c r="D26" s="15" t="s">
        <v>144</v>
      </c>
      <c r="F26" s="15" t="s">
        <v>385</v>
      </c>
    </row>
    <row r="27" spans="2:10" x14ac:dyDescent="0.3">
      <c r="B27" s="15" t="s">
        <v>381</v>
      </c>
      <c r="D27" s="15" t="s">
        <v>145</v>
      </c>
      <c r="F27" s="15" t="s">
        <v>556</v>
      </c>
      <c r="H27" s="15" t="s">
        <v>336</v>
      </c>
    </row>
    <row r="28" spans="2:10" x14ac:dyDescent="0.3">
      <c r="B28" s="15" t="s">
        <v>382</v>
      </c>
      <c r="D28" s="15" t="s">
        <v>146</v>
      </c>
      <c r="F28" s="15" t="s">
        <v>559</v>
      </c>
    </row>
    <row r="29" spans="2:10" x14ac:dyDescent="0.3">
      <c r="B29" s="15" t="s">
        <v>383</v>
      </c>
      <c r="D29" s="15" t="s">
        <v>147</v>
      </c>
      <c r="F29" s="15" t="s">
        <v>560</v>
      </c>
    </row>
    <row r="30" spans="2:10" x14ac:dyDescent="0.3">
      <c r="B30" s="15" t="s">
        <v>384</v>
      </c>
      <c r="F30" s="15" t="s">
        <v>561</v>
      </c>
    </row>
    <row r="31" spans="2:10" x14ac:dyDescent="0.3">
      <c r="B31" s="15" t="s">
        <v>965</v>
      </c>
      <c r="F31" s="15" t="s">
        <v>562</v>
      </c>
    </row>
    <row r="32" spans="2:10" x14ac:dyDescent="0.3">
      <c r="F32" s="15" t="s">
        <v>564</v>
      </c>
    </row>
    <row r="33" spans="6:6" x14ac:dyDescent="0.3">
      <c r="F33" s="15" t="s">
        <v>565</v>
      </c>
    </row>
    <row r="34" spans="6:6" x14ac:dyDescent="0.3">
      <c r="F34" s="15" t="s">
        <v>332</v>
      </c>
    </row>
    <row r="35" spans="6:6" x14ac:dyDescent="0.3">
      <c r="F35" s="15" t="s">
        <v>900</v>
      </c>
    </row>
    <row r="36" spans="6:6" x14ac:dyDescent="0.3">
      <c r="F36" s="15" t="s">
        <v>901</v>
      </c>
    </row>
    <row r="37" spans="6:6" x14ac:dyDescent="0.3">
      <c r="F37" s="15" t="s">
        <v>902</v>
      </c>
    </row>
    <row r="38" spans="6:6" x14ac:dyDescent="0.3">
      <c r="F38" s="15" t="s">
        <v>903</v>
      </c>
    </row>
    <row r="39" spans="6:6" x14ac:dyDescent="0.3">
      <c r="F39" s="15" t="s">
        <v>904</v>
      </c>
    </row>
    <row r="40" spans="6:6" x14ac:dyDescent="0.3">
      <c r="F40" s="15" t="s">
        <v>905</v>
      </c>
    </row>
    <row r="41" spans="6:6" x14ac:dyDescent="0.3">
      <c r="F41" s="15" t="s">
        <v>906</v>
      </c>
    </row>
    <row r="42" spans="6:6" x14ac:dyDescent="0.3">
      <c r="F42" s="15" t="s">
        <v>907</v>
      </c>
    </row>
    <row r="43" spans="6:6" x14ac:dyDescent="0.3">
      <c r="F43" s="15" t="s">
        <v>908</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558</v>
      </c>
      <c r="K85" s="15" t="s">
        <v>557</v>
      </c>
    </row>
    <row r="86" spans="10:11" x14ac:dyDescent="0.3">
      <c r="J86" s="15" t="s">
        <v>393</v>
      </c>
      <c r="K86" s="15" t="s">
        <v>394</v>
      </c>
    </row>
    <row r="87" spans="10:11" x14ac:dyDescent="0.3">
      <c r="J87" s="15" t="s">
        <v>552</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43" t="s">
        <v>60</v>
      </c>
      <c r="F3" s="243"/>
      <c r="G3" s="243"/>
      <c r="H3" s="243"/>
      <c r="I3" s="243"/>
      <c r="J3" s="243"/>
    </row>
    <row r="5" spans="2:10" x14ac:dyDescent="0.35">
      <c r="B5" s="9" t="s">
        <v>49</v>
      </c>
      <c r="C5" s="7" t="s">
        <v>50</v>
      </c>
      <c r="E5" s="9" t="s">
        <v>0</v>
      </c>
      <c r="F5" s="9" t="s">
        <v>52</v>
      </c>
      <c r="G5" s="11">
        <v>7637</v>
      </c>
      <c r="H5" s="11">
        <v>7655</v>
      </c>
      <c r="I5" s="11">
        <v>7658</v>
      </c>
      <c r="J5" s="9" t="s">
        <v>54</v>
      </c>
    </row>
    <row r="6" spans="2:10" x14ac:dyDescent="0.35">
      <c r="B6" s="1">
        <v>7658</v>
      </c>
      <c r="C6" s="4">
        <v>32529175840</v>
      </c>
      <c r="E6" s="236" t="s">
        <v>45</v>
      </c>
      <c r="F6" s="236"/>
      <c r="G6" s="4"/>
      <c r="H6" s="4">
        <v>596500000</v>
      </c>
      <c r="I6" s="4"/>
      <c r="J6" s="4">
        <v>596500000</v>
      </c>
    </row>
    <row r="7" spans="2:10" x14ac:dyDescent="0.35">
      <c r="B7" s="1">
        <v>7655</v>
      </c>
      <c r="C7" s="4">
        <v>6691034160</v>
      </c>
      <c r="E7" s="236" t="s">
        <v>44</v>
      </c>
      <c r="F7" s="236"/>
      <c r="G7" s="4"/>
      <c r="H7" s="4">
        <v>403500000</v>
      </c>
      <c r="I7" s="4"/>
      <c r="J7" s="4">
        <v>403500000</v>
      </c>
    </row>
    <row r="8" spans="2:10" x14ac:dyDescent="0.35">
      <c r="B8" s="1">
        <v>7637</v>
      </c>
      <c r="C8" s="4">
        <v>3299800000</v>
      </c>
      <c r="E8" s="236" t="s">
        <v>36</v>
      </c>
      <c r="F8" s="236"/>
      <c r="G8" s="4">
        <v>3299800000</v>
      </c>
      <c r="H8" s="4">
        <v>900200000</v>
      </c>
      <c r="I8" s="4"/>
      <c r="J8" s="4">
        <v>4200000000</v>
      </c>
    </row>
    <row r="9" spans="2:10" x14ac:dyDescent="0.35">
      <c r="B9" s="9" t="s">
        <v>51</v>
      </c>
      <c r="C9" s="8">
        <v>42520010000</v>
      </c>
      <c r="E9" s="236" t="s">
        <v>46</v>
      </c>
      <c r="F9" s="236"/>
      <c r="G9" s="4"/>
      <c r="H9" s="4">
        <v>432858000</v>
      </c>
      <c r="I9" s="4"/>
      <c r="J9" s="4">
        <v>432858000</v>
      </c>
    </row>
    <row r="10" spans="2:10" x14ac:dyDescent="0.35">
      <c r="E10" s="236" t="s">
        <v>32</v>
      </c>
      <c r="F10" s="236"/>
      <c r="G10" s="4"/>
      <c r="H10" s="4">
        <v>323006000</v>
      </c>
      <c r="I10" s="4"/>
      <c r="J10" s="4">
        <v>323006000</v>
      </c>
    </row>
    <row r="11" spans="2:10" x14ac:dyDescent="0.35">
      <c r="E11" s="236" t="s">
        <v>28</v>
      </c>
      <c r="F11" s="236"/>
      <c r="G11" s="4"/>
      <c r="H11" s="4">
        <v>1200000000</v>
      </c>
      <c r="I11" s="4"/>
      <c r="J11" s="4">
        <v>1200000000</v>
      </c>
    </row>
    <row r="12" spans="2:10" x14ac:dyDescent="0.35">
      <c r="E12" s="236" t="s">
        <v>3</v>
      </c>
      <c r="F12" s="236"/>
      <c r="G12" s="4"/>
      <c r="H12" s="4">
        <v>2214252160</v>
      </c>
      <c r="I12" s="4">
        <v>7786929840</v>
      </c>
      <c r="J12" s="4">
        <v>10001182000</v>
      </c>
    </row>
    <row r="13" spans="2:10" x14ac:dyDescent="0.35">
      <c r="E13" s="236" t="s">
        <v>29</v>
      </c>
      <c r="F13" s="236"/>
      <c r="G13" s="4"/>
      <c r="H13" s="4">
        <v>170000000</v>
      </c>
      <c r="I13" s="4">
        <v>3730000000</v>
      </c>
      <c r="J13" s="4">
        <v>3900000000</v>
      </c>
    </row>
    <row r="14" spans="2:10" x14ac:dyDescent="0.35">
      <c r="E14" s="236" t="s">
        <v>33</v>
      </c>
      <c r="F14" s="236"/>
      <c r="G14" s="4"/>
      <c r="H14" s="4">
        <v>450718000</v>
      </c>
      <c r="I14" s="4">
        <v>1449282000</v>
      </c>
      <c r="J14" s="4">
        <v>1900000000</v>
      </c>
    </row>
    <row r="15" spans="2:10" x14ac:dyDescent="0.35">
      <c r="E15" s="236" t="s">
        <v>19</v>
      </c>
      <c r="F15" s="236"/>
      <c r="G15" s="4"/>
      <c r="H15" s="4"/>
      <c r="I15" s="4">
        <v>10011982000</v>
      </c>
      <c r="J15" s="4">
        <v>10011982000</v>
      </c>
    </row>
    <row r="16" spans="2:10" x14ac:dyDescent="0.35">
      <c r="E16" s="236" t="s">
        <v>47</v>
      </c>
      <c r="F16" s="236"/>
      <c r="G16" s="4"/>
      <c r="H16" s="4"/>
      <c r="I16" s="4">
        <v>9550982000</v>
      </c>
      <c r="J16" s="4">
        <v>9550982000</v>
      </c>
    </row>
    <row r="17" spans="3:10" x14ac:dyDescent="0.35">
      <c r="E17" s="238" t="s">
        <v>53</v>
      </c>
      <c r="F17" s="239"/>
      <c r="G17" s="8">
        <v>3299800000</v>
      </c>
      <c r="H17" s="8">
        <v>6691034160</v>
      </c>
      <c r="I17" s="8">
        <v>32529175840</v>
      </c>
      <c r="J17" s="8">
        <v>42520010000</v>
      </c>
    </row>
    <row r="20" spans="3:10" x14ac:dyDescent="0.35">
      <c r="C20" s="240" t="s">
        <v>62</v>
      </c>
      <c r="D20" s="240"/>
      <c r="E20" s="240"/>
      <c r="F20" s="240"/>
      <c r="G20" s="240"/>
    </row>
    <row r="22" spans="3:10" x14ac:dyDescent="0.35">
      <c r="C22" s="12" t="s">
        <v>63</v>
      </c>
    </row>
    <row r="23" spans="3:10" x14ac:dyDescent="0.35">
      <c r="C23" s="9" t="s">
        <v>55</v>
      </c>
      <c r="D23" s="13" t="s">
        <v>56</v>
      </c>
      <c r="E23" s="237" t="s">
        <v>0</v>
      </c>
      <c r="F23" s="237"/>
      <c r="G23" s="9" t="s">
        <v>57</v>
      </c>
    </row>
    <row r="24" spans="3:10" x14ac:dyDescent="0.35">
      <c r="C24" s="3" t="s">
        <v>35</v>
      </c>
      <c r="D24" s="6" t="s">
        <v>34</v>
      </c>
      <c r="E24" s="236" t="s">
        <v>33</v>
      </c>
      <c r="F24" s="236"/>
      <c r="G24" s="4">
        <v>1449282000</v>
      </c>
    </row>
    <row r="25" spans="3:10" x14ac:dyDescent="0.35">
      <c r="C25" s="3" t="s">
        <v>31</v>
      </c>
      <c r="D25" s="6" t="s">
        <v>30</v>
      </c>
      <c r="E25" s="236" t="s">
        <v>29</v>
      </c>
      <c r="F25" s="236"/>
      <c r="G25" s="4">
        <v>3730000000</v>
      </c>
    </row>
    <row r="26" spans="3:10" x14ac:dyDescent="0.35">
      <c r="C26" s="3" t="s">
        <v>6</v>
      </c>
      <c r="D26" s="6" t="s">
        <v>9</v>
      </c>
      <c r="E26" s="236" t="s">
        <v>3</v>
      </c>
      <c r="F26" s="236"/>
      <c r="G26" s="4">
        <v>2822768000</v>
      </c>
    </row>
    <row r="27" spans="3:10" x14ac:dyDescent="0.35">
      <c r="C27" s="3" t="s">
        <v>6</v>
      </c>
      <c r="D27" s="6" t="s">
        <v>48</v>
      </c>
      <c r="E27" s="236" t="s">
        <v>47</v>
      </c>
      <c r="F27" s="236"/>
      <c r="G27" s="4">
        <v>9550982000</v>
      </c>
    </row>
    <row r="28" spans="3:10" x14ac:dyDescent="0.35">
      <c r="C28" s="3" t="s">
        <v>6</v>
      </c>
      <c r="D28" s="6" t="s">
        <v>23</v>
      </c>
      <c r="E28" s="236" t="s">
        <v>19</v>
      </c>
      <c r="F28" s="236"/>
      <c r="G28" s="4">
        <v>2028491000</v>
      </c>
    </row>
    <row r="29" spans="3:10" x14ac:dyDescent="0.35">
      <c r="C29" s="3" t="s">
        <v>6</v>
      </c>
      <c r="D29" s="6" t="s">
        <v>21</v>
      </c>
      <c r="E29" s="236" t="s">
        <v>19</v>
      </c>
      <c r="F29" s="236"/>
      <c r="G29" s="4">
        <v>7983491000</v>
      </c>
    </row>
    <row r="30" spans="3:10" x14ac:dyDescent="0.35">
      <c r="C30" s="3" t="s">
        <v>18</v>
      </c>
      <c r="D30" s="6" t="s">
        <v>17</v>
      </c>
      <c r="E30" s="236" t="s">
        <v>3</v>
      </c>
      <c r="F30" s="236"/>
      <c r="G30" s="4">
        <v>100000000</v>
      </c>
    </row>
    <row r="31" spans="3:10" x14ac:dyDescent="0.35">
      <c r="C31" s="3" t="s">
        <v>15</v>
      </c>
      <c r="D31" s="6" t="s">
        <v>14</v>
      </c>
      <c r="E31" s="236" t="s">
        <v>3</v>
      </c>
      <c r="F31" s="236"/>
      <c r="G31" s="4">
        <v>4864161840</v>
      </c>
    </row>
    <row r="32" spans="3:10" x14ac:dyDescent="0.35">
      <c r="C32" s="238" t="s">
        <v>27</v>
      </c>
      <c r="D32" s="242"/>
      <c r="E32" s="242"/>
      <c r="F32" s="239"/>
      <c r="G32" s="8">
        <f>SUM(G24:G31)</f>
        <v>32529175840</v>
      </c>
    </row>
    <row r="34" spans="3:7" x14ac:dyDescent="0.35">
      <c r="C34" s="12" t="s">
        <v>64</v>
      </c>
    </row>
    <row r="35" spans="3:7" x14ac:dyDescent="0.35">
      <c r="C35" s="9" t="s">
        <v>55</v>
      </c>
      <c r="D35" s="13" t="s">
        <v>56</v>
      </c>
      <c r="E35" s="237" t="s">
        <v>0</v>
      </c>
      <c r="F35" s="237"/>
      <c r="G35" s="9" t="s">
        <v>57</v>
      </c>
    </row>
    <row r="36" spans="3:7" x14ac:dyDescent="0.35">
      <c r="C36" s="6" t="s">
        <v>16</v>
      </c>
      <c r="D36" s="2" t="s">
        <v>5</v>
      </c>
      <c r="E36" s="236" t="s">
        <v>45</v>
      </c>
      <c r="F36" s="236"/>
      <c r="G36" s="2">
        <v>596500000</v>
      </c>
    </row>
    <row r="37" spans="3:7" x14ac:dyDescent="0.35">
      <c r="C37" s="6" t="s">
        <v>16</v>
      </c>
      <c r="D37" s="2" t="s">
        <v>5</v>
      </c>
      <c r="E37" s="236" t="s">
        <v>44</v>
      </c>
      <c r="F37" s="236"/>
      <c r="G37" s="2">
        <v>403500000</v>
      </c>
    </row>
    <row r="38" spans="3:7" x14ac:dyDescent="0.35">
      <c r="C38" s="6" t="s">
        <v>16</v>
      </c>
      <c r="D38" s="2" t="s">
        <v>5</v>
      </c>
      <c r="E38" s="236" t="s">
        <v>36</v>
      </c>
      <c r="F38" s="236"/>
      <c r="G38" s="2">
        <v>900200000</v>
      </c>
    </row>
    <row r="39" spans="3:7" x14ac:dyDescent="0.35">
      <c r="C39" s="6" t="s">
        <v>16</v>
      </c>
      <c r="D39" s="2" t="s">
        <v>5</v>
      </c>
      <c r="E39" s="236" t="s">
        <v>46</v>
      </c>
      <c r="F39" s="236"/>
      <c r="G39" s="2">
        <v>432858000</v>
      </c>
    </row>
    <row r="40" spans="3:7" x14ac:dyDescent="0.35">
      <c r="C40" s="6" t="s">
        <v>16</v>
      </c>
      <c r="D40" s="2" t="s">
        <v>5</v>
      </c>
      <c r="E40" s="236" t="s">
        <v>32</v>
      </c>
      <c r="F40" s="236"/>
      <c r="G40" s="2">
        <v>323006000</v>
      </c>
    </row>
    <row r="41" spans="3:7" x14ac:dyDescent="0.35">
      <c r="C41" s="6" t="s">
        <v>16</v>
      </c>
      <c r="D41" s="2" t="s">
        <v>5</v>
      </c>
      <c r="E41" s="236" t="s">
        <v>28</v>
      </c>
      <c r="F41" s="236"/>
      <c r="G41" s="2">
        <v>1200000000</v>
      </c>
    </row>
    <row r="42" spans="3:7" x14ac:dyDescent="0.35">
      <c r="C42" s="6" t="s">
        <v>16</v>
      </c>
      <c r="D42" s="2" t="s">
        <v>5</v>
      </c>
      <c r="E42" s="236" t="s">
        <v>3</v>
      </c>
      <c r="F42" s="236"/>
      <c r="G42" s="2">
        <v>2214252160</v>
      </c>
    </row>
    <row r="43" spans="3:7" x14ac:dyDescent="0.35">
      <c r="C43" s="6" t="s">
        <v>16</v>
      </c>
      <c r="D43" s="2" t="s">
        <v>5</v>
      </c>
      <c r="E43" s="236" t="s">
        <v>29</v>
      </c>
      <c r="F43" s="236"/>
      <c r="G43" s="2">
        <v>170000000</v>
      </c>
    </row>
    <row r="44" spans="3:7" x14ac:dyDescent="0.35">
      <c r="C44" s="6" t="s">
        <v>16</v>
      </c>
      <c r="D44" s="2" t="s">
        <v>5</v>
      </c>
      <c r="E44" s="236" t="s">
        <v>33</v>
      </c>
      <c r="F44" s="236"/>
      <c r="G44" s="2">
        <v>450718000</v>
      </c>
    </row>
    <row r="45" spans="3:7" x14ac:dyDescent="0.35">
      <c r="C45" s="238" t="s">
        <v>27</v>
      </c>
      <c r="D45" s="242"/>
      <c r="E45" s="242"/>
      <c r="F45" s="239"/>
      <c r="G45" s="8">
        <f>SUM(G36:G44)</f>
        <v>6691034160</v>
      </c>
    </row>
    <row r="47" spans="3:7" x14ac:dyDescent="0.35">
      <c r="C47" s="12" t="s">
        <v>65</v>
      </c>
    </row>
    <row r="48" spans="3:7" x14ac:dyDescent="0.35">
      <c r="C48" s="9" t="s">
        <v>55</v>
      </c>
      <c r="D48" s="13" t="s">
        <v>56</v>
      </c>
      <c r="E48" s="237" t="s">
        <v>0</v>
      </c>
      <c r="F48" s="237"/>
      <c r="G48" s="9" t="s">
        <v>57</v>
      </c>
    </row>
    <row r="49" spans="3:7" x14ac:dyDescent="0.35">
      <c r="C49" s="6" t="s">
        <v>39</v>
      </c>
      <c r="D49" s="2" t="s">
        <v>41</v>
      </c>
      <c r="E49" s="236" t="s">
        <v>36</v>
      </c>
      <c r="F49" s="236"/>
      <c r="G49" s="6">
        <v>575315000</v>
      </c>
    </row>
    <row r="50" spans="3:7" x14ac:dyDescent="0.35">
      <c r="C50" s="6" t="s">
        <v>39</v>
      </c>
      <c r="D50" s="2" t="s">
        <v>38</v>
      </c>
      <c r="E50" s="236" t="s">
        <v>36</v>
      </c>
      <c r="F50" s="236"/>
      <c r="G50" s="6">
        <v>2724485000</v>
      </c>
    </row>
    <row r="51" spans="3:7" x14ac:dyDescent="0.35">
      <c r="C51" s="238" t="s">
        <v>27</v>
      </c>
      <c r="D51" s="242"/>
      <c r="E51" s="242"/>
      <c r="F51" s="239"/>
      <c r="G51" s="7">
        <f>SUM(G49:G50)</f>
        <v>3299800000</v>
      </c>
    </row>
    <row r="54" spans="3:7" x14ac:dyDescent="0.35">
      <c r="C54" s="14"/>
      <c r="D54" s="14"/>
      <c r="E54" s="243" t="s">
        <v>58</v>
      </c>
      <c r="F54" s="243"/>
      <c r="G54" s="243"/>
    </row>
    <row r="56" spans="3:7" x14ac:dyDescent="0.35">
      <c r="E56" s="12" t="s">
        <v>63</v>
      </c>
    </row>
    <row r="57" spans="3:7" x14ac:dyDescent="0.35">
      <c r="E57" s="237" t="s">
        <v>61</v>
      </c>
      <c r="F57" s="237"/>
      <c r="G57" s="9" t="s">
        <v>57</v>
      </c>
    </row>
    <row r="58" spans="3:7" x14ac:dyDescent="0.35">
      <c r="E58" s="241" t="s">
        <v>10</v>
      </c>
      <c r="F58" s="241"/>
      <c r="G58" s="6">
        <v>2490000000</v>
      </c>
    </row>
    <row r="59" spans="3:7" x14ac:dyDescent="0.35">
      <c r="E59" s="241" t="s">
        <v>22</v>
      </c>
      <c r="F59" s="241"/>
      <c r="G59" s="6">
        <v>1400000000</v>
      </c>
    </row>
    <row r="60" spans="3:7" x14ac:dyDescent="0.35">
      <c r="E60" s="241" t="s">
        <v>26</v>
      </c>
      <c r="F60" s="241"/>
      <c r="G60" s="6">
        <v>60000000</v>
      </c>
    </row>
    <row r="61" spans="3:7" x14ac:dyDescent="0.35">
      <c r="E61" s="241" t="s">
        <v>11</v>
      </c>
      <c r="F61" s="241"/>
      <c r="G61" s="6">
        <v>12229155840</v>
      </c>
    </row>
    <row r="62" spans="3:7" x14ac:dyDescent="0.35">
      <c r="E62" s="241" t="s">
        <v>24</v>
      </c>
      <c r="F62" s="241"/>
      <c r="G62" s="6">
        <v>375000000</v>
      </c>
    </row>
    <row r="63" spans="3:7" x14ac:dyDescent="0.35">
      <c r="E63" s="241" t="s">
        <v>7</v>
      </c>
      <c r="F63" s="241"/>
      <c r="G63" s="6">
        <v>92758400</v>
      </c>
    </row>
    <row r="64" spans="3:7" x14ac:dyDescent="0.35">
      <c r="E64" s="241" t="s">
        <v>25</v>
      </c>
      <c r="F64" s="241"/>
      <c r="G64" s="6">
        <v>120000000</v>
      </c>
    </row>
    <row r="65" spans="5:7" x14ac:dyDescent="0.35">
      <c r="E65" s="241" t="s">
        <v>4</v>
      </c>
      <c r="F65" s="241"/>
      <c r="G65" s="6">
        <v>10259061600</v>
      </c>
    </row>
    <row r="66" spans="5:7" x14ac:dyDescent="0.35">
      <c r="E66" s="241" t="s">
        <v>13</v>
      </c>
      <c r="F66" s="241"/>
      <c r="G66" s="6">
        <v>500000000</v>
      </c>
    </row>
    <row r="67" spans="5:7" x14ac:dyDescent="0.35">
      <c r="E67" s="241" t="s">
        <v>12</v>
      </c>
      <c r="F67" s="241"/>
      <c r="G67" s="6">
        <v>100000000</v>
      </c>
    </row>
    <row r="68" spans="5:7" x14ac:dyDescent="0.35">
      <c r="E68" s="241" t="s">
        <v>20</v>
      </c>
      <c r="F68" s="241"/>
      <c r="G68" s="6">
        <v>4350000000</v>
      </c>
    </row>
    <row r="69" spans="5:7" x14ac:dyDescent="0.35">
      <c r="E69" s="241" t="s">
        <v>8</v>
      </c>
      <c r="F69" s="241"/>
      <c r="G69" s="6">
        <v>553200000</v>
      </c>
    </row>
    <row r="70" spans="5:7" x14ac:dyDescent="0.35">
      <c r="E70" s="244" t="s">
        <v>27</v>
      </c>
      <c r="F70" s="244"/>
      <c r="G70" s="7">
        <f>SUM(G58:G69)</f>
        <v>32529175840</v>
      </c>
    </row>
    <row r="72" spans="5:7" x14ac:dyDescent="0.35">
      <c r="E72" s="12" t="s">
        <v>64</v>
      </c>
    </row>
    <row r="73" spans="5:7" x14ac:dyDescent="0.35">
      <c r="E73" s="237" t="s">
        <v>61</v>
      </c>
      <c r="F73" s="237"/>
      <c r="G73" s="9" t="s">
        <v>57</v>
      </c>
    </row>
    <row r="74" spans="5:7" x14ac:dyDescent="0.35">
      <c r="E74" s="241" t="s">
        <v>7</v>
      </c>
      <c r="F74" s="241"/>
      <c r="G74" s="6">
        <v>1177022750</v>
      </c>
    </row>
    <row r="75" spans="5:7" x14ac:dyDescent="0.35">
      <c r="E75" s="241" t="s">
        <v>4</v>
      </c>
      <c r="F75" s="241"/>
      <c r="G75" s="6">
        <v>5514011410</v>
      </c>
    </row>
    <row r="76" spans="5:7" x14ac:dyDescent="0.35">
      <c r="E76" s="244" t="s">
        <v>27</v>
      </c>
      <c r="F76" s="244"/>
      <c r="G76" s="7">
        <f>SUM(G74:G75)</f>
        <v>6691034160</v>
      </c>
    </row>
    <row r="79" spans="5:7" x14ac:dyDescent="0.35">
      <c r="E79" s="12" t="s">
        <v>65</v>
      </c>
    </row>
    <row r="80" spans="5:7" x14ac:dyDescent="0.35">
      <c r="E80" s="237" t="s">
        <v>61</v>
      </c>
      <c r="F80" s="237"/>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44" t="s">
        <v>27</v>
      </c>
      <c r="F86" s="244"/>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VR10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2026-04-10T23:24:00Z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